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DieseArbeitsmappe"/>
  <bookViews>
    <workbookView xWindow="-15" yWindow="285" windowWidth="12555" windowHeight="5835" tabRatio="843"/>
  </bookViews>
  <sheets>
    <sheet name="intro" sheetId="54" r:id="rId1"/>
    <sheet name="Tables Sect. 5.1.1-5.1.8 --&gt;" sheetId="101" r:id="rId2"/>
    <sheet name="X-MG-Si" sheetId="9" r:id="rId3"/>
    <sheet name="X-MO-EG" sheetId="11" r:id="rId4"/>
    <sheet name="X-SoG-Siemens" sheetId="12" r:id="rId5"/>
    <sheet name="X-Si-Market" sheetId="13" r:id="rId6"/>
    <sheet name="X-CZ-Si" sheetId="14" r:id="rId7"/>
    <sheet name="X-mc-Si" sheetId="15" r:id="rId8"/>
    <sheet name="X-Wafer" sheetId="16" r:id="rId9"/>
    <sheet name="X-Wafer-Market" sheetId="73" r:id="rId10"/>
    <sheet name="X-cell" sheetId="19" r:id="rId11"/>
    <sheet name="X-Panel" sheetId="23" r:id="rId12"/>
    <sheet name="X-Panel-Market-RER" sheetId="65" r:id="rId13"/>
    <sheet name="X-Panel-Market-US" sheetId="100" r:id="rId14"/>
    <sheet name="old CdTe" sheetId="25" state="hidden" r:id="rId15"/>
    <sheet name="XXX-CdTe DE" sheetId="26" state="hidden" r:id="rId16"/>
    <sheet name="Fence" sheetId="56" state="hidden" r:id="rId17"/>
    <sheet name="XXX-Montage" sheetId="29" state="hidden" r:id="rId18"/>
    <sheet name="X-sc-plants-RER" sheetId="77" r:id="rId19"/>
    <sheet name="X-sc-plants-US" sheetId="86" r:id="rId20"/>
    <sheet name="X-sc-plants-APAC" sheetId="87" r:id="rId21"/>
    <sheet name="X-sc-plants-CN" sheetId="88" r:id="rId22"/>
    <sheet name="X-multi-plants-RER" sheetId="79" r:id="rId23"/>
    <sheet name="X-multi-plants-US" sheetId="89" r:id="rId24"/>
    <sheet name="X-multi-plants-APAC" sheetId="90" r:id="rId25"/>
    <sheet name="X-multi-plants-CN" sheetId="91" r:id="rId26"/>
    <sheet name="X-electricityCH_neu_old" sheetId="64" state="hidden" r:id="rId27"/>
    <sheet name="X-elecCH_scenario" sheetId="58" state="hidden" r:id="rId28"/>
    <sheet name="X-elecCH_old" sheetId="41" state="hidden" r:id="rId29"/>
    <sheet name="X-elec-CH" sheetId="92" r:id="rId30"/>
    <sheet name="X-elec-RER" sheetId="93" r:id="rId31"/>
    <sheet name="X-elec-US" sheetId="95" r:id="rId32"/>
    <sheet name="X-elec-APAC" sheetId="96" r:id="rId33"/>
    <sheet name="X-Process" sheetId="1" r:id="rId34"/>
    <sheet name="X-Source" sheetId="2" r:id="rId35"/>
    <sheet name="X-Person" sheetId="3" r:id="rId36"/>
    <sheet name="Tables Sect. 5.1.9 --&gt;" sheetId="103" r:id="rId37"/>
    <sheet name="intro (2)" sheetId="104" r:id="rId38"/>
    <sheet name="X-MG-Si (2)" sheetId="105" r:id="rId39"/>
    <sheet name="X-SoG-Si (2)" sheetId="106" r:id="rId40"/>
    <sheet name="X-Ingot (2)" sheetId="107" r:id="rId41"/>
    <sheet name="X-Cell (2)" sheetId="108" r:id="rId42"/>
    <sheet name="X-Panel (2)" sheetId="109" r:id="rId43"/>
    <sheet name="X-Plant (2)" sheetId="110" r:id="rId44"/>
    <sheet name="X-Elec (2)" sheetId="111" r:id="rId45"/>
    <sheet name="X-Process (2)" sheetId="112" r:id="rId46"/>
    <sheet name="X-Source (2)" sheetId="113" r:id="rId47"/>
    <sheet name="X-Person (2)" sheetId="114" r:id="rId48"/>
    <sheet name="Tables Sect. 5.2-5.3 --&gt;" sheetId="102" r:id="rId49"/>
    <sheet name="X-CIS" sheetId="27" r:id="rId50"/>
    <sheet name="X-a-Si" sheetId="28" r:id="rId51"/>
    <sheet name="X-a-plants" sheetId="36" r:id="rId52"/>
    <sheet name="X-CdTe" sheetId="68" r:id="rId53"/>
    <sheet name="X-CdTe-RER" sheetId="51" r:id="rId54"/>
    <sheet name="X-CdTe-Plant" sheetId="63" r:id="rId55"/>
    <sheet name="Tables Section 5.5 --&gt;" sheetId="115" r:id="rId56"/>
    <sheet name="X-Mounting" sheetId="117" r:id="rId57"/>
    <sheet name="Tables Section 5.9 --&gt;" sheetId="116" r:id="rId58"/>
    <sheet name="Table-JP" sheetId="118" r:id="rId59"/>
    <sheet name="Table-MY" sheetId="119" r:id="rId60"/>
    <sheet name="Table-KR" sheetId="120" r:id="rId61"/>
    <sheet name="Table-TW" sheetId="121" r:id="rId62"/>
    <sheet name="Table-CN" sheetId="122" r:id="rId63"/>
    <sheet name="Table-IN" sheetId="123" r:id="rId64"/>
    <sheet name="Table-ES" sheetId="124" r:id="rId65"/>
    <sheet name="Table-DE" sheetId="125" r:id="rId66"/>
    <sheet name="Table-MX" sheetId="126" r:id="rId67"/>
    <sheet name="Table-US" sheetId="127" r:id="rId68"/>
  </sheets>
  <externalReferences>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_ENREF_25" localSheetId="59">'Table-MY'!$B$56</definedName>
    <definedName name="_xlnm._FilterDatabase" localSheetId="16" hidden="1">Fence!$A$6:$AJ$14</definedName>
    <definedName name="_xlnm._FilterDatabase" localSheetId="62" hidden="1">#REF!</definedName>
    <definedName name="_xlnm._FilterDatabase" localSheetId="65" hidden="1">#REF!</definedName>
    <definedName name="_xlnm._FilterDatabase" localSheetId="64" hidden="1">#REF!</definedName>
    <definedName name="_xlnm._FilterDatabase" localSheetId="63" hidden="1">#REF!</definedName>
    <definedName name="_xlnm._FilterDatabase" localSheetId="60" hidden="1">#REF!</definedName>
    <definedName name="_xlnm._FilterDatabase" localSheetId="66" hidden="1">#REF!</definedName>
    <definedName name="_xlnm._FilterDatabase" localSheetId="59" hidden="1">#REF!</definedName>
    <definedName name="_xlnm._FilterDatabase" localSheetId="36" hidden="1">#REF!</definedName>
    <definedName name="_xlnm._FilterDatabase" localSheetId="61" hidden="1">#REF!</definedName>
    <definedName name="_xlnm._FilterDatabase" localSheetId="67" hidden="1">#REF!</definedName>
    <definedName name="_xlnm._FilterDatabase" localSheetId="10" hidden="1">'X-cell'!$A$6:$AW$106</definedName>
    <definedName name="_xlnm._FilterDatabase" localSheetId="41" hidden="1">#REF!</definedName>
    <definedName name="_xlnm._FilterDatabase" localSheetId="44" hidden="1">#REF!</definedName>
    <definedName name="_xlnm._FilterDatabase" localSheetId="32" hidden="1">#REF!</definedName>
    <definedName name="_xlnm._FilterDatabase" localSheetId="29" hidden="1">#REF!</definedName>
    <definedName name="_xlnm._FilterDatabase" localSheetId="30" hidden="1">#REF!</definedName>
    <definedName name="_xlnm._FilterDatabase" localSheetId="31" hidden="1">#REF!</definedName>
    <definedName name="_xlnm._FilterDatabase" localSheetId="40" hidden="1">#REF!</definedName>
    <definedName name="_xlnm._FilterDatabase" localSheetId="56" hidden="1">'X-Mounting'!$A$6:$AM$39</definedName>
    <definedName name="_xlnm._FilterDatabase" localSheetId="24" hidden="1">#REF!</definedName>
    <definedName name="_xlnm._FilterDatabase" localSheetId="25" hidden="1">#REF!</definedName>
    <definedName name="_xlnm._FilterDatabase" localSheetId="22" hidden="1">#REF!</definedName>
    <definedName name="_xlnm._FilterDatabase" localSheetId="23" hidden="1">#REF!</definedName>
    <definedName name="_xlnm._FilterDatabase" localSheetId="42" hidden="1">#REF!</definedName>
    <definedName name="_xlnm._FilterDatabase" localSheetId="12" hidden="1">#REF!</definedName>
    <definedName name="_xlnm._FilterDatabase" localSheetId="13" hidden="1">#REF!</definedName>
    <definedName name="_xlnm._FilterDatabase" localSheetId="35" hidden="1">'X-Person'!$A$1:$D$8</definedName>
    <definedName name="_xlnm._FilterDatabase" localSheetId="47" hidden="1">'X-Person (2)'!$A$1:$C$8</definedName>
    <definedName name="_xlnm._FilterDatabase" localSheetId="43" hidden="1">#REF!</definedName>
    <definedName name="_xlnm._FilterDatabase" localSheetId="33" hidden="1">'X-Process'!$A$1:$GF$46</definedName>
    <definedName name="_xlnm._FilterDatabase" localSheetId="45" hidden="1">'X-Process (2)'!$A$1:$C$49</definedName>
    <definedName name="_xlnm._FilterDatabase" localSheetId="20" hidden="1">#REF!</definedName>
    <definedName name="_xlnm._FilterDatabase" localSheetId="21" hidden="1">#REF!</definedName>
    <definedName name="_xlnm._FilterDatabase" localSheetId="18" hidden="1">#REF!</definedName>
    <definedName name="_xlnm._FilterDatabase" localSheetId="19" hidden="1">#REF!</definedName>
    <definedName name="_xlnm._FilterDatabase" localSheetId="39" hidden="1">#REF!</definedName>
    <definedName name="_xlnm._FilterDatabase" localSheetId="34" hidden="1">'X-Source'!$A$1:$D$15</definedName>
    <definedName name="_xlnm._FilterDatabase" localSheetId="46" hidden="1">'X-Source (2)'!$A$1:$D$15</definedName>
    <definedName name="_xlnm._FilterDatabase" localSheetId="9" hidden="1">#REF!</definedName>
    <definedName name="_xlnm._FilterDatabase" localSheetId="17" hidden="1">'XXX-Montage'!$A$6:$CG$28</definedName>
    <definedName name="_xlnm._FilterDatabase" hidden="1">#REF!</definedName>
    <definedName name="amount_inverter" localSheetId="36">#REF!</definedName>
    <definedName name="amount_inverter" localSheetId="56">'[1]X-multi-plants-old'!$L$8</definedName>
    <definedName name="amount_inverter" localSheetId="24">'X-multi-plants-APAC'!$L$8</definedName>
    <definedName name="amount_inverter" localSheetId="25">'X-multi-plants-CN'!$L$8</definedName>
    <definedName name="amount_inverter" localSheetId="22">'X-multi-plants-RER'!$L$8</definedName>
    <definedName name="amount_inverter" localSheetId="23">'X-multi-plants-US'!$L$8</definedName>
    <definedName name="amount_inverter">#REF!</definedName>
    <definedName name="Cass_to_clean" localSheetId="36">#REF!</definedName>
    <definedName name="Cass_to_clean" localSheetId="56">#REF!</definedName>
    <definedName name="Cass_to_clean">#REF!</definedName>
    <definedName name="cell_infra" localSheetId="36">#REF!</definedName>
    <definedName name="cell_infra" localSheetId="56">'[1]X-cell-plant'!$P$25</definedName>
    <definedName name="cell_infra">#REF!</definedName>
    <definedName name="Cent_to_Cass" localSheetId="36">#REF!</definedName>
    <definedName name="Cent_to_Cass" localSheetId="56">#REF!</definedName>
    <definedName name="Cent_to_Cass">#REF!</definedName>
    <definedName name="Clean_to_Cent" localSheetId="36">#REF!</definedName>
    <definedName name="Clean_to_Cent" localSheetId="56">#REF!</definedName>
    <definedName name="Clean_to_Cent">#REF!</definedName>
    <definedName name="cleaning_of_20_substrates" localSheetId="36">#REF!</definedName>
    <definedName name="cleaning_of_20_substrates" localSheetId="56">#REF!</definedName>
    <definedName name="cleaning_of_20_substrates">#REF!</definedName>
    <definedName name="correction_yield" localSheetId="36">#REF!</definedName>
    <definedName name="correction_yield" localSheetId="56">[1]Ertrag!$N$19</definedName>
    <definedName name="correction_yield">#REF!</definedName>
    <definedName name="disposal_panel" localSheetId="56">'[1]X-Panel'!$CG$72</definedName>
    <definedName name="disposal_panel">'X-Panel'!$CG$72</definedName>
    <definedName name="dollar" localSheetId="36">'[2]1 approval'!#REF!</definedName>
    <definedName name="dollar">'[2]1 approval'!#REF!</definedName>
    <definedName name="efficiency" localSheetId="36">#REF!</definedName>
    <definedName name="efficiency" localSheetId="56">'[1]X-fluor'!$T$47</definedName>
    <definedName name="efficiency">#REF!</definedName>
    <definedName name="effluent_cell" localSheetId="36">'X-cell'!#REF!</definedName>
    <definedName name="effluent_cell" localSheetId="56">'[1]X-cell'!$AX$68</definedName>
    <definedName name="effluent_cell">'X-cell'!#REF!</definedName>
    <definedName name="entry" localSheetId="56">'[1]X-Person'!$H$2</definedName>
    <definedName name="entry">'X-Person'!$H$2</definedName>
    <definedName name="eric" localSheetId="56">'[1]X-Person'!$G$2</definedName>
    <definedName name="eric">'X-Person'!$G$2</definedName>
    <definedName name="Ertrag_CH" localSheetId="36">#REF!</definedName>
    <definedName name="Ertrag_CH" localSheetId="56">[1]Ertrag!$B$19</definedName>
    <definedName name="Ertrag_CH">#REF!</definedName>
    <definedName name="Exchange_LL_with_Cent" localSheetId="36">#REF!</definedName>
    <definedName name="Exchange_LL_with_Cent" localSheetId="56">#REF!</definedName>
    <definedName name="Exchange_LL_with_Cent">#REF!</definedName>
    <definedName name="ext_cost" localSheetId="36">'[2]6 labour onsite'!#REF!</definedName>
    <definedName name="ext_cost" localSheetId="56">'[2]6 labour onsite'!#REF!</definedName>
    <definedName name="ext_cost">'[2]6 labour onsite'!#REF!</definedName>
    <definedName name="Fassade" localSheetId="36">#REF!</definedName>
    <definedName name="Fassade" localSheetId="56">[1]Ertrag!$B$21</definedName>
    <definedName name="Fassade">#REF!</definedName>
    <definedName name="generator">'X-Person (2)'!$F$2</definedName>
    <definedName name="i_wafer_m2" localSheetId="36">#REF!</definedName>
    <definedName name="i_wafer_m2" localSheetId="56">'[1]X-Ex Plant-Waf'!$L$20</definedName>
    <definedName name="i_wafer_m2">#REF!</definedName>
    <definedName name="inverter" localSheetId="36">#REF!</definedName>
    <definedName name="inverter" localSheetId="56">'[1]X-multi-plants-old'!$AS$8</definedName>
    <definedName name="inverter" localSheetId="24">'X-multi-plants-APAC'!#REF!</definedName>
    <definedName name="inverter" localSheetId="25">'X-multi-plants-CN'!#REF!</definedName>
    <definedName name="inverter" localSheetId="22">'X-multi-plants-RER'!#REF!</definedName>
    <definedName name="inverter" localSheetId="23">'X-multi-plants-US'!#REF!</definedName>
    <definedName name="inverter">#REF!</definedName>
    <definedName name="lifetime" localSheetId="29">'X-elec-CH'!#REF!</definedName>
    <definedName name="lifetime" localSheetId="27">'X-elecCH_scenario'!$L$71</definedName>
    <definedName name="lifetime" localSheetId="56">'[1]X-elecCH_old'!$L$53</definedName>
    <definedName name="lifetime">'X-elecCH_old'!$L$53</definedName>
    <definedName name="mariska" localSheetId="56">'[1]X-Person'!$F$2</definedName>
    <definedName name="mariska">'X-Person'!$F$2</definedName>
    <definedName name="module_infra" localSheetId="36">#REF!</definedName>
    <definedName name="module_infra" localSheetId="56">'[1]X-pan-plant'!$L$20</definedName>
    <definedName name="module_infra">#REF!</definedName>
    <definedName name="name_is_208">"Linie 208"</definedName>
    <definedName name="names" localSheetId="0">intro!$B$41</definedName>
    <definedName name="names" localSheetId="56">[1]intro!$B$41</definedName>
    <definedName name="names">intro!$B$41</definedName>
    <definedName name="new_wastewater" localSheetId="36">#REF!</definedName>
    <definedName name="new_wastewater">#REF!</definedName>
    <definedName name="pcSi_m2" localSheetId="36">'X-mc-Si'!#REF!</definedName>
    <definedName name="pcSi_m2" localSheetId="56">'[1]X-mc-Si'!$AD$35</definedName>
    <definedName name="pcSi_m2">'X-mc-Si'!#REF!</definedName>
    <definedName name="_xlnm.Print_Area" localSheetId="16">Fence!$B$3:$K$27,Fence!$B$87:$K$125</definedName>
    <definedName name="_xlnm.Print_Area" localSheetId="0">intro!$A:$B</definedName>
    <definedName name="_xlnm.Print_Area" localSheetId="14">'old CdTe'!$C:$AD</definedName>
    <definedName name="_xlnm.Print_Area" localSheetId="51">'X-a-plants'!$B$3:$AI$29</definedName>
    <definedName name="_xlnm.Print_Area" localSheetId="50">'X-a-Si'!$B:$S</definedName>
    <definedName name="_xlnm.Print_Area" localSheetId="54">'X-CdTe-Plant'!$B$3:$O$21</definedName>
    <definedName name="_xlnm.Print_Area" localSheetId="53">'X-CdTe-RER'!$B:$S</definedName>
    <definedName name="_xlnm.Print_Area" localSheetId="10">'X-cell'!$B:$AW</definedName>
    <definedName name="_xlnm.Print_Area" localSheetId="49">'X-CIS'!$B:$S</definedName>
    <definedName name="_xlnm.Print_Area" localSheetId="6">'X-CZ-Si'!$B:$AA</definedName>
    <definedName name="_xlnm.Print_Area" localSheetId="32">'X-elec-APAC'!$B$3:$AB$37</definedName>
    <definedName name="_xlnm.Print_Area" localSheetId="29">'X-elec-CH'!$B$3:$CA$48</definedName>
    <definedName name="_xlnm.Print_Area" localSheetId="28">'X-elecCH_old'!$B$3:$CG$43</definedName>
    <definedName name="_xlnm.Print_Area" localSheetId="27">'X-elecCH_scenario'!$B$3:$DE$54</definedName>
    <definedName name="_xlnm.Print_Area" localSheetId="30">'X-elec-RER'!$B$3:$CK$53</definedName>
    <definedName name="_xlnm.Print_Area" localSheetId="26">'X-electricityCH_neu_old'!$B$3:$R$48</definedName>
    <definedName name="_xlnm.Print_Area" localSheetId="31">'X-elec-US'!$B$3:$W$35</definedName>
    <definedName name="_xlnm.Print_Area" localSheetId="7">'X-mc-Si'!$B:$AA</definedName>
    <definedName name="_xlnm.Print_Area" localSheetId="2">'X-MG-Si'!$B$3:$AB$55</definedName>
    <definedName name="_xlnm.Print_Area" localSheetId="3">'X-MO-EG'!$A:$AV</definedName>
    <definedName name="_xlnm.Print_Area" localSheetId="56">'X-Mounting'!$B$3:$AE$55,'X-Mounting'!#REF!</definedName>
    <definedName name="_xlnm.Print_Area" localSheetId="24">'X-multi-plants-APAC'!$B$3:$AE$26</definedName>
    <definedName name="_xlnm.Print_Area" localSheetId="25">'X-multi-plants-CN'!$B$3:$AE$26</definedName>
    <definedName name="_xlnm.Print_Area" localSheetId="22">'X-multi-plants-RER'!$B$3:$AE$26</definedName>
    <definedName name="_xlnm.Print_Area" localSheetId="23">'X-multi-plants-US'!$B$3:$AE$26</definedName>
    <definedName name="_xlnm.Print_Area" localSheetId="11">'X-Panel'!$B:$CM</definedName>
    <definedName name="_xlnm.Print_Area" localSheetId="12">'X-Panel-Market-RER'!$B:$AA</definedName>
    <definedName name="_xlnm.Print_Area" localSheetId="13">'X-Panel-Market-US'!$B:$AA</definedName>
    <definedName name="_xlnm.Print_Area" localSheetId="20">'X-sc-plants-APAC'!$B$3:$AE$25</definedName>
    <definedName name="_xlnm.Print_Area" localSheetId="21">'X-sc-plants-CN'!$B$3:$AE$25</definedName>
    <definedName name="_xlnm.Print_Area" localSheetId="18">'X-sc-plants-RER'!$B$3:$AE$25</definedName>
    <definedName name="_xlnm.Print_Area" localSheetId="19">'X-sc-plants-US'!$B$3:$AE$25</definedName>
    <definedName name="_xlnm.Print_Area" localSheetId="5">'X-Si-Market'!$B:$AA</definedName>
    <definedName name="_xlnm.Print_Area" localSheetId="4">'X-SoG-Siemens'!$B:$O</definedName>
    <definedName name="_xlnm.Print_Area" localSheetId="8">'X-Wafer'!$B$3:$AV$81</definedName>
    <definedName name="_xlnm.Print_Area" localSheetId="9">'X-Wafer-Market'!$B:$AJ</definedName>
    <definedName name="_xlnm.Print_Area" localSheetId="15">'XXX-CdTe DE'!$B:$Y</definedName>
    <definedName name="_xlnm.Print_Area" localSheetId="17">'XXX-Montage'!$B$3:$BN$41</definedName>
    <definedName name="_xlnm.Print_Titles" localSheetId="52">'X-CdTe'!$F:$K,'X-CdTe'!$3:$6</definedName>
    <definedName name="_xlnm.Print_Titles" localSheetId="32">'X-elec-APAC'!$F:$K</definedName>
    <definedName name="_xlnm.Print_Titles" localSheetId="30">'X-elec-RER'!$F:$K</definedName>
    <definedName name="_xlnm.Print_Titles" localSheetId="31">'X-elec-US'!$F:$K</definedName>
    <definedName name="_xlnm.Print_Titles" localSheetId="56">'[1]X-Process'!$C:$C,'[1]X-Process'!$2:$2</definedName>
    <definedName name="_xlnm.Print_Titles">'X-Process'!$C:$C,'X-Process'!$2:$2</definedName>
    <definedName name="Pump" localSheetId="36">#REF!</definedName>
    <definedName name="Pump" localSheetId="56">#REF!</definedName>
    <definedName name="Pump">#REF!</definedName>
    <definedName name="review" localSheetId="56">'[1]X-Person'!$E$2</definedName>
    <definedName name="review">'X-Person'!$E$2</definedName>
    <definedName name="review2009" localSheetId="56">'[1]X-Person'!$I$2</definedName>
    <definedName name="review2009">'X-Person'!$I$2</definedName>
    <definedName name="Schrägdach" localSheetId="36">#REF!</definedName>
    <definedName name="Schrägdach" localSheetId="56">[1]Ertrag!$B$20</definedName>
    <definedName name="Schrägdach">#REF!</definedName>
    <definedName name="SF6_em_operation" localSheetId="62">'[3]SF6-Emissions'!$J$3</definedName>
    <definedName name="SF6_em_operation" localSheetId="65">'[4]SF6-Emissions'!$J$3</definedName>
    <definedName name="SF6_em_operation" localSheetId="64">'[5]SF6-Emissions'!$J$3</definedName>
    <definedName name="SF6_em_operation" localSheetId="63">'[6]SF6-Emissions'!$J$3</definedName>
    <definedName name="SF6_em_operation" localSheetId="60">'[7]SF6-Emissions'!$J$3</definedName>
    <definedName name="SF6_em_operation" localSheetId="66">'[8]SF6-Emissions'!$J$3</definedName>
    <definedName name="SF6_em_operation" localSheetId="59">'[9]SF6-Emissions'!$J$3</definedName>
    <definedName name="SF6_em_operation" localSheetId="61">'[10]SF6-Emissions'!$J$3</definedName>
    <definedName name="SF6_em_operation" localSheetId="67">'[11]SF6-Emissions'!$J$3</definedName>
    <definedName name="SF6_em_operation">'[12]SF6-Emissions'!$J$3</definedName>
    <definedName name="Si_m2" localSheetId="36">#REF!</definedName>
    <definedName name="Si_m2" localSheetId="56">'[1]Si-Effizienz'!$D$22</definedName>
    <definedName name="Si_m2">#REF!</definedName>
    <definedName name="source">'X-Source'!$D$2</definedName>
    <definedName name="SourceNumber" localSheetId="56">'[1]X-Source'!$D$2</definedName>
    <definedName name="SourceNumber">'X-Source'!$D$2</definedName>
    <definedName name="stromverlust" localSheetId="36">#REF!</definedName>
    <definedName name="stromverlust" localSheetId="56">[1]Ertrag!$B$26</definedName>
    <definedName name="stromverlust">#REF!</definedName>
    <definedName name="t_Exchange">[13]Definitions!$D$38</definedName>
    <definedName name="t_load4react">[13]Definitions!$D$24</definedName>
    <definedName name="travel_cost" localSheetId="36">'[2]6 labour onsite'!#REF!</definedName>
    <definedName name="travel_cost">'[2]6 labour onsite'!#REF!</definedName>
    <definedName name="trips" localSheetId="36">'[2]6 labour onsite'!#REF!</definedName>
    <definedName name="trips">'[2]6 labour onsite'!#REF!</definedName>
    <definedName name="Validator" localSheetId="56">'[1]X-Person'!$D$2</definedName>
    <definedName name="Validator">'X-Person'!$D$2</definedName>
    <definedName name="Vent" localSheetId="36">#REF!</definedName>
    <definedName name="Vent" localSheetId="56">#REF!</definedName>
    <definedName name="Vent">#REF!</definedName>
    <definedName name="Z_0111E7B5_3E0B_11D4_8303_000102284B93_.wvu.PrintArea" hidden="1">intro!$A:$B</definedName>
    <definedName name="Z_011E7B5_3E0B_11D4_8303_000102284B94" localSheetId="62" hidden="1">#REF!</definedName>
    <definedName name="Z_011E7B5_3E0B_11D4_8303_000102284B94" localSheetId="65" hidden="1">#REF!</definedName>
    <definedName name="Z_011E7B5_3E0B_11D4_8303_000102284B94" localSheetId="64" hidden="1">#REF!</definedName>
    <definedName name="Z_011E7B5_3E0B_11D4_8303_000102284B94" localSheetId="63" hidden="1">#REF!</definedName>
    <definedName name="Z_011E7B5_3E0B_11D4_8303_000102284B94" localSheetId="60" hidden="1">#REF!</definedName>
    <definedName name="Z_011E7B5_3E0B_11D4_8303_000102284B94" localSheetId="66" hidden="1">#REF!</definedName>
    <definedName name="Z_011E7B5_3E0B_11D4_8303_000102284B94" localSheetId="59" hidden="1">#REF!</definedName>
    <definedName name="Z_011E7B5_3E0B_11D4_8303_000102284B94" localSheetId="61" hidden="1">#REF!</definedName>
    <definedName name="Z_011E7B5_3E0B_11D4_8303_000102284B94" localSheetId="67" hidden="1">#REF!</definedName>
    <definedName name="Z_011E7B5_3E0B_11D4_8303_000102284B94" hidden="1">#REF!</definedName>
  </definedNames>
  <calcPr calcId="145621"/>
</workbook>
</file>

<file path=xl/calcChain.xml><?xml version="1.0" encoding="utf-8"?>
<calcChain xmlns="http://schemas.openxmlformats.org/spreadsheetml/2006/main">
  <c r="C50" i="127" l="1"/>
  <c r="C26" i="127"/>
  <c r="C11" i="127"/>
  <c r="C8" i="127"/>
  <c r="C50" i="126"/>
  <c r="C26" i="126"/>
  <c r="C11" i="126"/>
  <c r="C8" i="126"/>
  <c r="C50" i="125"/>
  <c r="C26" i="125"/>
  <c r="C11" i="125"/>
  <c r="C8" i="125"/>
  <c r="C50" i="124"/>
  <c r="C11" i="124"/>
  <c r="C8" i="124"/>
  <c r="C50" i="123"/>
  <c r="C50" i="122"/>
  <c r="C50" i="121"/>
  <c r="C50" i="120"/>
  <c r="C26" i="120"/>
  <c r="C11" i="120"/>
  <c r="C8" i="120"/>
  <c r="C50" i="119"/>
  <c r="C50" i="118"/>
  <c r="C26" i="118"/>
  <c r="C11" i="118"/>
  <c r="C8" i="118"/>
  <c r="D11" i="112" l="1"/>
  <c r="E11" i="112"/>
  <c r="F11" i="112"/>
  <c r="G11" i="112"/>
  <c r="H11" i="112"/>
  <c r="I11" i="112"/>
  <c r="J11" i="112"/>
  <c r="K11" i="112"/>
  <c r="L11" i="112"/>
  <c r="M11" i="112"/>
  <c r="N11" i="112"/>
  <c r="O11" i="112"/>
  <c r="P11" i="112"/>
  <c r="Q11" i="112"/>
  <c r="R11" i="112"/>
  <c r="S11" i="112"/>
  <c r="T11" i="112"/>
  <c r="U11" i="112"/>
  <c r="D38" i="112"/>
  <c r="E38" i="112"/>
  <c r="F38" i="112"/>
  <c r="G38" i="112"/>
  <c r="H38" i="112"/>
  <c r="I38" i="112"/>
  <c r="J38" i="112"/>
  <c r="K38" i="112"/>
  <c r="L38" i="112"/>
  <c r="M38" i="112"/>
  <c r="N38" i="112"/>
  <c r="O38" i="112"/>
  <c r="P38" i="112"/>
  <c r="Q38" i="112"/>
  <c r="R38" i="112"/>
  <c r="S38" i="112"/>
  <c r="T38" i="112"/>
  <c r="U38" i="112"/>
  <c r="D40" i="112"/>
  <c r="E40" i="112"/>
  <c r="F40" i="112"/>
  <c r="G40" i="112"/>
  <c r="H40" i="112"/>
  <c r="I40" i="112"/>
  <c r="J40" i="112"/>
  <c r="K40" i="112"/>
  <c r="L40" i="112"/>
  <c r="M40" i="112"/>
  <c r="N40" i="112"/>
  <c r="O40" i="112"/>
  <c r="P40" i="112"/>
  <c r="Q40" i="112"/>
  <c r="R40" i="112"/>
  <c r="S40" i="112"/>
  <c r="T40" i="112"/>
  <c r="U40" i="112"/>
  <c r="D44" i="112"/>
  <c r="E44" i="112"/>
  <c r="F44" i="112"/>
  <c r="G44" i="112"/>
  <c r="H44" i="112"/>
  <c r="I44" i="112"/>
  <c r="J44" i="112"/>
  <c r="K44" i="112"/>
  <c r="L44" i="112"/>
  <c r="M44" i="112"/>
  <c r="N44" i="112"/>
  <c r="O44" i="112"/>
  <c r="P44" i="112"/>
  <c r="Q44" i="112"/>
  <c r="R44" i="112"/>
  <c r="S44" i="112"/>
  <c r="T44" i="112"/>
  <c r="U44" i="112"/>
  <c r="D46" i="112"/>
  <c r="E46" i="112"/>
  <c r="F46" i="112"/>
  <c r="G46" i="112"/>
  <c r="H46" i="112"/>
  <c r="I46" i="112"/>
  <c r="J46" i="112"/>
  <c r="K46" i="112"/>
  <c r="L46" i="112"/>
  <c r="M46" i="112"/>
  <c r="N46" i="112"/>
  <c r="O46" i="112"/>
  <c r="P46" i="112"/>
  <c r="Q46" i="112"/>
  <c r="R46" i="112"/>
  <c r="S46" i="112"/>
  <c r="T46" i="112"/>
  <c r="U46" i="112"/>
  <c r="D47" i="112"/>
  <c r="E47" i="112"/>
  <c r="F47" i="112"/>
  <c r="G47" i="112"/>
  <c r="H47" i="112"/>
  <c r="I47" i="112"/>
  <c r="J47" i="112"/>
  <c r="K47" i="112"/>
  <c r="L47" i="112"/>
  <c r="M47" i="112"/>
  <c r="N47" i="112"/>
  <c r="O47" i="112"/>
  <c r="P47" i="112"/>
  <c r="Q47" i="112"/>
  <c r="R47" i="112"/>
  <c r="S47" i="112"/>
  <c r="T47" i="112"/>
  <c r="U47" i="112"/>
  <c r="D48" i="112"/>
  <c r="E48" i="112"/>
  <c r="F48" i="112"/>
  <c r="G48" i="112"/>
  <c r="H48" i="112"/>
  <c r="I48" i="112"/>
  <c r="J48" i="112"/>
  <c r="K48" i="112"/>
  <c r="L48" i="112"/>
  <c r="M48" i="112"/>
  <c r="N48" i="112"/>
  <c r="O48" i="112"/>
  <c r="P48" i="112"/>
  <c r="Q48" i="112"/>
  <c r="R48" i="112"/>
  <c r="S48" i="112"/>
  <c r="T48" i="112"/>
  <c r="U48" i="112"/>
  <c r="D50" i="112"/>
  <c r="E50" i="112"/>
  <c r="F50" i="112"/>
  <c r="G50" i="112"/>
  <c r="H50" i="112"/>
  <c r="I50" i="112"/>
  <c r="J50" i="112"/>
  <c r="K50" i="112"/>
  <c r="L50" i="112"/>
  <c r="M50" i="112"/>
  <c r="N50" i="112"/>
  <c r="O50" i="112"/>
  <c r="P50" i="112"/>
  <c r="Q50" i="112"/>
  <c r="R50" i="112"/>
  <c r="S50" i="112"/>
  <c r="T50" i="112"/>
  <c r="U50" i="112"/>
  <c r="L23" i="108"/>
  <c r="P23" i="108"/>
  <c r="L2" i="112"/>
  <c r="J3" i="112"/>
  <c r="H4" i="112"/>
  <c r="F5" i="112"/>
  <c r="D6" i="112"/>
  <c r="T6" i="112"/>
  <c r="P16" i="112"/>
  <c r="N17" i="112"/>
  <c r="L20" i="112"/>
  <c r="J21" i="112"/>
  <c r="H22" i="112"/>
  <c r="F23" i="112"/>
  <c r="D24" i="112"/>
  <c r="T24" i="112"/>
  <c r="R27" i="112"/>
  <c r="P28" i="112"/>
  <c r="U4" i="112"/>
  <c r="U6" i="112"/>
  <c r="O17" i="112"/>
  <c r="K21" i="112"/>
  <c r="G23" i="112"/>
  <c r="U24" i="112"/>
  <c r="Q28" i="112"/>
  <c r="D3" i="112"/>
  <c r="R4" i="112"/>
  <c r="R6" i="112"/>
  <c r="L17" i="112"/>
  <c r="H21" i="112"/>
  <c r="D23" i="112"/>
  <c r="R24" i="112"/>
  <c r="G2" i="112"/>
  <c r="E3" i="112"/>
  <c r="U3" i="112"/>
  <c r="S4" i="112"/>
  <c r="Q5" i="112"/>
  <c r="O6" i="112"/>
  <c r="O16" i="112"/>
  <c r="M17" i="112"/>
  <c r="K20" i="112"/>
  <c r="I21" i="112"/>
  <c r="G22" i="112"/>
  <c r="E23" i="112"/>
  <c r="U23" i="112"/>
  <c r="S24" i="112"/>
  <c r="Q27" i="112"/>
  <c r="O28" i="112"/>
  <c r="Q2" i="112"/>
  <c r="O3" i="112"/>
  <c r="Q4" i="112"/>
  <c r="I6" i="112"/>
  <c r="U16" i="112"/>
  <c r="Q20" i="112"/>
  <c r="M22" i="112"/>
  <c r="I24" i="112"/>
  <c r="E28" i="112"/>
  <c r="H3" i="112"/>
  <c r="D5" i="112"/>
  <c r="N6" i="112"/>
  <c r="P17" i="112"/>
  <c r="L21" i="112"/>
  <c r="H23" i="112"/>
  <c r="D27" i="112"/>
  <c r="N28" i="112"/>
  <c r="T21" i="112"/>
  <c r="L27" i="112"/>
  <c r="F4" i="112"/>
  <c r="N20" i="112"/>
  <c r="P2" i="112"/>
  <c r="N3" i="112"/>
  <c r="L4" i="112"/>
  <c r="J5" i="112"/>
  <c r="H6" i="112"/>
  <c r="D16" i="112"/>
  <c r="T16" i="112"/>
  <c r="R17" i="112"/>
  <c r="P20" i="112"/>
  <c r="N21" i="112"/>
  <c r="L22" i="112"/>
  <c r="J23" i="112"/>
  <c r="H24" i="112"/>
  <c r="F27" i="112"/>
  <c r="D28" i="112"/>
  <c r="T28" i="112"/>
  <c r="K5" i="112"/>
  <c r="I16" i="112"/>
  <c r="E20" i="112"/>
  <c r="S21" i="112"/>
  <c r="O23" i="112"/>
  <c r="K27" i="112"/>
  <c r="F2" i="112"/>
  <c r="L3" i="112"/>
  <c r="H5" i="112"/>
  <c r="F16" i="112"/>
  <c r="T17" i="112"/>
  <c r="P21" i="112"/>
  <c r="L23" i="112"/>
  <c r="H27" i="112"/>
  <c r="K2" i="112"/>
  <c r="I3" i="112"/>
  <c r="G4" i="112"/>
  <c r="E5" i="112"/>
  <c r="U5" i="112"/>
  <c r="S6" i="112"/>
  <c r="S16" i="112"/>
  <c r="Q17" i="112"/>
  <c r="O20" i="112"/>
  <c r="M21" i="112"/>
  <c r="K22" i="112"/>
  <c r="I23" i="112"/>
  <c r="G24" i="112"/>
  <c r="E27" i="112"/>
  <c r="U27" i="112"/>
  <c r="S28" i="112"/>
  <c r="U2" i="112"/>
  <c r="S3" i="112"/>
  <c r="G5" i="112"/>
  <c r="Q6" i="112"/>
  <c r="K17" i="112"/>
  <c r="G21" i="112"/>
  <c r="U22" i="112"/>
  <c r="Q24" i="112"/>
  <c r="M28" i="112"/>
  <c r="P3" i="112"/>
  <c r="L5" i="112"/>
  <c r="J16" i="112"/>
  <c r="F20" i="112"/>
  <c r="P23" i="112"/>
  <c r="R28" i="112"/>
  <c r="R16" i="112"/>
  <c r="F24" i="112"/>
  <c r="D2" i="112"/>
  <c r="T2" i="112"/>
  <c r="R3" i="112"/>
  <c r="P4" i="112"/>
  <c r="N5" i="112"/>
  <c r="L6" i="112"/>
  <c r="H16" i="112"/>
  <c r="F17" i="112"/>
  <c r="D20" i="112"/>
  <c r="T20" i="112"/>
  <c r="R21" i="112"/>
  <c r="P22" i="112"/>
  <c r="N23" i="112"/>
  <c r="L24" i="112"/>
  <c r="J27" i="112"/>
  <c r="H28" i="112"/>
  <c r="M2" i="112"/>
  <c r="E6" i="112"/>
  <c r="Q16" i="112"/>
  <c r="M20" i="112"/>
  <c r="I22" i="112"/>
  <c r="E24" i="112"/>
  <c r="S27" i="112"/>
  <c r="N2" i="112"/>
  <c r="T3" i="112"/>
  <c r="P5" i="112"/>
  <c r="N16" i="112"/>
  <c r="J20" i="112"/>
  <c r="F22" i="112"/>
  <c r="T23" i="112"/>
  <c r="P27" i="112"/>
  <c r="O2" i="112"/>
  <c r="M3" i="112"/>
  <c r="K4" i="112"/>
  <c r="I5" i="112"/>
  <c r="G6" i="112"/>
  <c r="G16" i="112"/>
  <c r="E17" i="112"/>
  <c r="U17" i="112"/>
  <c r="S20" i="112"/>
  <c r="Q21" i="112"/>
  <c r="O22" i="112"/>
  <c r="M23" i="112"/>
  <c r="K24" i="112"/>
  <c r="I27" i="112"/>
  <c r="G28" i="112"/>
  <c r="E2" i="112"/>
  <c r="G3" i="112"/>
  <c r="E4" i="112"/>
  <c r="O5" i="112"/>
  <c r="E16" i="112"/>
  <c r="S17" i="112"/>
  <c r="O21" i="112"/>
  <c r="K23" i="112"/>
  <c r="G27" i="112"/>
  <c r="U28" i="112"/>
  <c r="T5" i="112"/>
  <c r="J22" i="112"/>
  <c r="H2" i="112"/>
  <c r="F3" i="112"/>
  <c r="D4" i="112"/>
  <c r="T4" i="112"/>
  <c r="R5" i="112"/>
  <c r="P6" i="112"/>
  <c r="L16" i="112"/>
  <c r="J17" i="112"/>
  <c r="H20" i="112"/>
  <c r="F21" i="112"/>
  <c r="D22" i="112"/>
  <c r="T22" i="112"/>
  <c r="R23" i="112"/>
  <c r="P24" i="112"/>
  <c r="N27" i="112"/>
  <c r="L28" i="112"/>
  <c r="M4" i="112"/>
  <c r="M6" i="112"/>
  <c r="G17" i="112"/>
  <c r="U20" i="112"/>
  <c r="Q22" i="112"/>
  <c r="M24" i="112"/>
  <c r="I28" i="112"/>
  <c r="R2" i="112"/>
  <c r="J4" i="112"/>
  <c r="F6" i="112"/>
  <c r="D17" i="112"/>
  <c r="R20" i="112"/>
  <c r="N22" i="112"/>
  <c r="J24" i="112"/>
  <c r="F28" i="112"/>
  <c r="S2" i="112"/>
  <c r="Q3" i="112"/>
  <c r="O4" i="112"/>
  <c r="M5" i="112"/>
  <c r="K6" i="112"/>
  <c r="K16" i="112"/>
  <c r="I17" i="112"/>
  <c r="G20" i="112"/>
  <c r="E21" i="112"/>
  <c r="U21" i="112"/>
  <c r="S22" i="112"/>
  <c r="Q23" i="112"/>
  <c r="O24" i="112"/>
  <c r="M27" i="112"/>
  <c r="K28" i="112"/>
  <c r="I2" i="112"/>
  <c r="K3" i="112"/>
  <c r="I4" i="112"/>
  <c r="S5" i="112"/>
  <c r="M16" i="112"/>
  <c r="I20" i="112"/>
  <c r="E22" i="112"/>
  <c r="S23" i="112"/>
  <c r="O27" i="112"/>
  <c r="J2" i="112"/>
  <c r="N4" i="112"/>
  <c r="J6" i="112"/>
  <c r="H17" i="112"/>
  <c r="D21" i="112"/>
  <c r="R22" i="112"/>
  <c r="N24" i="112"/>
  <c r="J28" i="112"/>
  <c r="T27" i="112"/>
  <c r="CP27" i="41" l="1"/>
  <c r="CP26" i="41"/>
  <c r="DN38" i="58"/>
  <c r="DN37" i="58"/>
  <c r="BW24" i="29"/>
  <c r="CZ27" i="41"/>
  <c r="CY27" i="41"/>
  <c r="CX27" i="41"/>
  <c r="CW27" i="41"/>
  <c r="CV27" i="41"/>
  <c r="CU27" i="41"/>
  <c r="CZ26" i="41"/>
  <c r="CY26" i="41"/>
  <c r="CX26" i="41"/>
  <c r="CW26" i="41"/>
  <c r="CV26" i="41"/>
  <c r="CU26" i="41"/>
  <c r="CZ25" i="41"/>
  <c r="CY25" i="41"/>
  <c r="CX25" i="41"/>
  <c r="CW25" i="41"/>
  <c r="CV25" i="41"/>
  <c r="CU25" i="41"/>
  <c r="CZ24" i="41"/>
  <c r="CY24" i="41"/>
  <c r="CX24" i="41"/>
  <c r="CW24" i="41"/>
  <c r="CV24" i="41"/>
  <c r="CU24" i="41"/>
  <c r="CZ23" i="41"/>
  <c r="CY23" i="41"/>
  <c r="CX23" i="41"/>
  <c r="CW23" i="41"/>
  <c r="CV23" i="41"/>
  <c r="CU23" i="41"/>
  <c r="CZ22" i="41"/>
  <c r="CY22" i="41"/>
  <c r="CX22" i="41"/>
  <c r="CW22" i="41"/>
  <c r="CV22" i="41"/>
  <c r="CU22" i="41"/>
  <c r="CZ21" i="41"/>
  <c r="CY21" i="41"/>
  <c r="CX21" i="41"/>
  <c r="CW21" i="41"/>
  <c r="CV21" i="41"/>
  <c r="CU21" i="41"/>
  <c r="CZ20" i="41"/>
  <c r="CY20" i="41"/>
  <c r="CX20" i="41"/>
  <c r="CW20" i="41"/>
  <c r="CV20" i="41"/>
  <c r="CU20" i="41"/>
  <c r="CZ19" i="41"/>
  <c r="CY19" i="41"/>
  <c r="CX19" i="41"/>
  <c r="CW19" i="41"/>
  <c r="CV19" i="41"/>
  <c r="CU19" i="41"/>
  <c r="CZ18" i="41"/>
  <c r="CY18" i="41"/>
  <c r="CX18" i="41"/>
  <c r="CW18" i="41"/>
  <c r="CV18" i="41"/>
  <c r="CU18" i="41"/>
  <c r="CZ17" i="41"/>
  <c r="CY17" i="41"/>
  <c r="CX17" i="41"/>
  <c r="CW17" i="41"/>
  <c r="CV17" i="41"/>
  <c r="CU17" i="41"/>
  <c r="CZ16" i="41"/>
  <c r="CY16" i="41"/>
  <c r="CX16" i="41"/>
  <c r="CW16" i="41"/>
  <c r="CV16" i="41"/>
  <c r="CU16" i="41"/>
  <c r="CZ15" i="41"/>
  <c r="CY15" i="41"/>
  <c r="CX15" i="41"/>
  <c r="CW15" i="41"/>
  <c r="CV15" i="41"/>
  <c r="CU15" i="41"/>
  <c r="CZ14" i="41"/>
  <c r="CY14" i="41"/>
  <c r="CX14" i="41"/>
  <c r="CW14" i="41"/>
  <c r="CV14" i="41"/>
  <c r="CU14" i="41"/>
  <c r="CZ13" i="41"/>
  <c r="CY13" i="41"/>
  <c r="CX13" i="41"/>
  <c r="CW13" i="41"/>
  <c r="CV13" i="41"/>
  <c r="CU13" i="41"/>
  <c r="CZ12" i="41"/>
  <c r="CY12" i="41"/>
  <c r="CX12" i="41"/>
  <c r="CW12" i="41"/>
  <c r="CV12" i="41"/>
  <c r="CU12" i="41"/>
  <c r="CZ11" i="41"/>
  <c r="CY11" i="41"/>
  <c r="CX11" i="41"/>
  <c r="CW11" i="41"/>
  <c r="CV11" i="41"/>
  <c r="CU11" i="41"/>
  <c r="CZ10" i="41"/>
  <c r="CY10" i="41"/>
  <c r="CX10" i="41"/>
  <c r="CW10" i="41"/>
  <c r="CV10" i="41"/>
  <c r="CU10" i="41"/>
  <c r="CZ9" i="41"/>
  <c r="CY9" i="41"/>
  <c r="CX9" i="41"/>
  <c r="CW9" i="41"/>
  <c r="CV9" i="41"/>
  <c r="CU9" i="41"/>
  <c r="CZ8" i="41"/>
  <c r="CY8" i="41"/>
  <c r="CX8" i="41"/>
  <c r="CW8" i="41"/>
  <c r="CV8" i="41"/>
  <c r="CU8" i="41"/>
  <c r="CZ7" i="41"/>
  <c r="CY7" i="41"/>
  <c r="CX7" i="41"/>
  <c r="CW7" i="41"/>
  <c r="CV7" i="41"/>
  <c r="CU7" i="41"/>
  <c r="DX38" i="58"/>
  <c r="DW38" i="58"/>
  <c r="DV38" i="58"/>
  <c r="DU38" i="58"/>
  <c r="DT38" i="58"/>
  <c r="DS38" i="58"/>
  <c r="DX37" i="58"/>
  <c r="DW37" i="58"/>
  <c r="DV37" i="58"/>
  <c r="DU37" i="58"/>
  <c r="DT37" i="58"/>
  <c r="DS37" i="58"/>
  <c r="DX36" i="58"/>
  <c r="DW36" i="58"/>
  <c r="DV36" i="58"/>
  <c r="DU36" i="58"/>
  <c r="DT36" i="58"/>
  <c r="DS36" i="58"/>
  <c r="DX35" i="58"/>
  <c r="DW35" i="58"/>
  <c r="DV35" i="58"/>
  <c r="DU35" i="58"/>
  <c r="DT35" i="58"/>
  <c r="DS35" i="58"/>
  <c r="DX34" i="58"/>
  <c r="DW34" i="58"/>
  <c r="DV34" i="58"/>
  <c r="DU34" i="58"/>
  <c r="DT34" i="58"/>
  <c r="DS34" i="58"/>
  <c r="DX33" i="58"/>
  <c r="DW33" i="58"/>
  <c r="DV33" i="58"/>
  <c r="DU33" i="58"/>
  <c r="DT33" i="58"/>
  <c r="DS33" i="58"/>
  <c r="DX32" i="58"/>
  <c r="DW32" i="58"/>
  <c r="DV32" i="58"/>
  <c r="DU32" i="58"/>
  <c r="DT32" i="58"/>
  <c r="DS32" i="58"/>
  <c r="DX31" i="58"/>
  <c r="DW31" i="58"/>
  <c r="DV31" i="58"/>
  <c r="DU31" i="58"/>
  <c r="DT31" i="58"/>
  <c r="DS31" i="58"/>
  <c r="DX30" i="58"/>
  <c r="DW30" i="58"/>
  <c r="DV30" i="58"/>
  <c r="DU30" i="58"/>
  <c r="DT30" i="58"/>
  <c r="DS30" i="58"/>
  <c r="DX29" i="58"/>
  <c r="DW29" i="58"/>
  <c r="DV29" i="58"/>
  <c r="DU29" i="58"/>
  <c r="DT29" i="58"/>
  <c r="DS29" i="58"/>
  <c r="DX28" i="58"/>
  <c r="DW28" i="58"/>
  <c r="DV28" i="58"/>
  <c r="DU28" i="58"/>
  <c r="DT28" i="58"/>
  <c r="DS28" i="58"/>
  <c r="DX27" i="58"/>
  <c r="DW27" i="58"/>
  <c r="DV27" i="58"/>
  <c r="DU27" i="58"/>
  <c r="DT27" i="58"/>
  <c r="DS27" i="58"/>
  <c r="DX26" i="58"/>
  <c r="DW26" i="58"/>
  <c r="DV26" i="58"/>
  <c r="DU26" i="58"/>
  <c r="DT26" i="58"/>
  <c r="DS26" i="58"/>
  <c r="DX25" i="58"/>
  <c r="DW25" i="58"/>
  <c r="DV25" i="58"/>
  <c r="DU25" i="58"/>
  <c r="DT25" i="58"/>
  <c r="DS25" i="58"/>
  <c r="DX24" i="58"/>
  <c r="DW24" i="58"/>
  <c r="DV24" i="58"/>
  <c r="DU24" i="58"/>
  <c r="DT24" i="58"/>
  <c r="DS24" i="58"/>
  <c r="DX23" i="58"/>
  <c r="DW23" i="58"/>
  <c r="DV23" i="58"/>
  <c r="DU23" i="58"/>
  <c r="DT23" i="58"/>
  <c r="DS23" i="58"/>
  <c r="DX22" i="58"/>
  <c r="DW22" i="58"/>
  <c r="DV22" i="58"/>
  <c r="DU22" i="58"/>
  <c r="DT22" i="58"/>
  <c r="DS22" i="58"/>
  <c r="DX21" i="58"/>
  <c r="DW21" i="58"/>
  <c r="DV21" i="58"/>
  <c r="DU21" i="58"/>
  <c r="DT21" i="58"/>
  <c r="DS21" i="58"/>
  <c r="DX20" i="58"/>
  <c r="DW20" i="58"/>
  <c r="DV20" i="58"/>
  <c r="DU20" i="58"/>
  <c r="DT20" i="58"/>
  <c r="DS20" i="58"/>
  <c r="DX19" i="58"/>
  <c r="DW19" i="58"/>
  <c r="DV19" i="58"/>
  <c r="DU19" i="58"/>
  <c r="DT19" i="58"/>
  <c r="DS19" i="58"/>
  <c r="DX18" i="58"/>
  <c r="DW18" i="58"/>
  <c r="DV18" i="58"/>
  <c r="DU18" i="58"/>
  <c r="DT18" i="58"/>
  <c r="DS18" i="58"/>
  <c r="DX17" i="58"/>
  <c r="DW17" i="58"/>
  <c r="DV17" i="58"/>
  <c r="DU17" i="58"/>
  <c r="DT17" i="58"/>
  <c r="DS17" i="58"/>
  <c r="DX16" i="58"/>
  <c r="DW16" i="58"/>
  <c r="DV16" i="58"/>
  <c r="DU16" i="58"/>
  <c r="DT16" i="58"/>
  <c r="DS16" i="58"/>
  <c r="DX15" i="58"/>
  <c r="DW15" i="58"/>
  <c r="DV15" i="58"/>
  <c r="DU15" i="58"/>
  <c r="DT15" i="58"/>
  <c r="DS15" i="58"/>
  <c r="DX14" i="58"/>
  <c r="DW14" i="58"/>
  <c r="DV14" i="58"/>
  <c r="DU14" i="58"/>
  <c r="DT14" i="58"/>
  <c r="DS14" i="58"/>
  <c r="DX13" i="58"/>
  <c r="DW13" i="58"/>
  <c r="DV13" i="58"/>
  <c r="DU13" i="58"/>
  <c r="DT13" i="58"/>
  <c r="DS13" i="58"/>
  <c r="DX12" i="58"/>
  <c r="DW12" i="58"/>
  <c r="DV12" i="58"/>
  <c r="DU12" i="58"/>
  <c r="DT12" i="58"/>
  <c r="DS12" i="58"/>
  <c r="DX11" i="58"/>
  <c r="DW11" i="58"/>
  <c r="DV11" i="58"/>
  <c r="DU11" i="58"/>
  <c r="DT11" i="58"/>
  <c r="DS11" i="58"/>
  <c r="DX10" i="58"/>
  <c r="DW10" i="58"/>
  <c r="DV10" i="58"/>
  <c r="DU10" i="58"/>
  <c r="DT10" i="58"/>
  <c r="DS10" i="58"/>
  <c r="DX9" i="58"/>
  <c r="DW9" i="58"/>
  <c r="DV9" i="58"/>
  <c r="DU9" i="58"/>
  <c r="DT9" i="58"/>
  <c r="DS9" i="58"/>
  <c r="DX8" i="58"/>
  <c r="DW8" i="58"/>
  <c r="DV8" i="58"/>
  <c r="DU8" i="58"/>
  <c r="DT8" i="58"/>
  <c r="DS8" i="58"/>
  <c r="DX7" i="58"/>
  <c r="DW7" i="58"/>
  <c r="DV7" i="58"/>
  <c r="DU7" i="58"/>
  <c r="DT7" i="58"/>
  <c r="DS7" i="58"/>
  <c r="CG41" i="29"/>
  <c r="CF41" i="29"/>
  <c r="CE41" i="29"/>
  <c r="CD41" i="29"/>
  <c r="CC41" i="29"/>
  <c r="CB41" i="29"/>
  <c r="CG24" i="29"/>
  <c r="CF24" i="29"/>
  <c r="CE24" i="29"/>
  <c r="CD24" i="29"/>
  <c r="CC24" i="29"/>
  <c r="CB24" i="29"/>
  <c r="CG23" i="29"/>
  <c r="CF23" i="29"/>
  <c r="CE23" i="29"/>
  <c r="CD23" i="29"/>
  <c r="CC23" i="29"/>
  <c r="CB23" i="29"/>
  <c r="CG22" i="29"/>
  <c r="CF22" i="29"/>
  <c r="CE22" i="29"/>
  <c r="CD22" i="29"/>
  <c r="CC22" i="29"/>
  <c r="CB22" i="29"/>
  <c r="CG21" i="29"/>
  <c r="CF21" i="29"/>
  <c r="CE21" i="29"/>
  <c r="CD21" i="29"/>
  <c r="CC21" i="29"/>
  <c r="CB21" i="29"/>
  <c r="CG20" i="29"/>
  <c r="CF20" i="29"/>
  <c r="CE20" i="29"/>
  <c r="CD20" i="29"/>
  <c r="CC20" i="29"/>
  <c r="CB20" i="29"/>
  <c r="CG19" i="29"/>
  <c r="CF19" i="29"/>
  <c r="CE19" i="29"/>
  <c r="CD19" i="29"/>
  <c r="CC19" i="29"/>
  <c r="CB19" i="29"/>
  <c r="CG18" i="29"/>
  <c r="CF18" i="29"/>
  <c r="CE18" i="29"/>
  <c r="CD18" i="29"/>
  <c r="CC18" i="29"/>
  <c r="CB18" i="29"/>
  <c r="CG17" i="29"/>
  <c r="CF17" i="29"/>
  <c r="CE17" i="29"/>
  <c r="CD17" i="29"/>
  <c r="CC17" i="29"/>
  <c r="CB17" i="29"/>
  <c r="CG16" i="29"/>
  <c r="CF16" i="29"/>
  <c r="CE16" i="29"/>
  <c r="CD16" i="29"/>
  <c r="CC16" i="29"/>
  <c r="CB16" i="29"/>
  <c r="CG15" i="29"/>
  <c r="CF15" i="29"/>
  <c r="CE15" i="29"/>
  <c r="CD15" i="29"/>
  <c r="CC15" i="29"/>
  <c r="CB15" i="29"/>
  <c r="CG14" i="29"/>
  <c r="CF14" i="29"/>
  <c r="CE14" i="29"/>
  <c r="CD14" i="29"/>
  <c r="CC14" i="29"/>
  <c r="CB14" i="29"/>
  <c r="CG13" i="29"/>
  <c r="CF13" i="29"/>
  <c r="CE13" i="29"/>
  <c r="CD13" i="29"/>
  <c r="CC13" i="29"/>
  <c r="CB13" i="29"/>
  <c r="CG12" i="29"/>
  <c r="CF12" i="29"/>
  <c r="CE12" i="29"/>
  <c r="CD12" i="29"/>
  <c r="CC12" i="29"/>
  <c r="CB12" i="29"/>
  <c r="CG11" i="29"/>
  <c r="CF11" i="29"/>
  <c r="CE11" i="29"/>
  <c r="CD11" i="29"/>
  <c r="CC11" i="29"/>
  <c r="CB11" i="29"/>
  <c r="CG10" i="29"/>
  <c r="CF10" i="29"/>
  <c r="CE10" i="29"/>
  <c r="CD10" i="29"/>
  <c r="CC10" i="29"/>
  <c r="CB10" i="29"/>
  <c r="CG9" i="29"/>
  <c r="CF9" i="29"/>
  <c r="CE9" i="29"/>
  <c r="CD9" i="29"/>
  <c r="CC9" i="29"/>
  <c r="CB9" i="29"/>
  <c r="CG8" i="29"/>
  <c r="CF8" i="29"/>
  <c r="CE8" i="29"/>
  <c r="CD8" i="29"/>
  <c r="CC8" i="29"/>
  <c r="CB8" i="29"/>
  <c r="CG7" i="29"/>
  <c r="CF7" i="29"/>
  <c r="CE7" i="29"/>
  <c r="CD7" i="29"/>
  <c r="CC7" i="29"/>
  <c r="CB7" i="29"/>
  <c r="AJ13" i="56"/>
  <c r="AI13" i="56"/>
  <c r="AH13" i="56"/>
  <c r="AG13" i="56"/>
  <c r="AF13" i="56"/>
  <c r="AE13" i="56"/>
  <c r="AJ12" i="56"/>
  <c r="AI12" i="56"/>
  <c r="AH12" i="56"/>
  <c r="AG12" i="56"/>
  <c r="AF12" i="56"/>
  <c r="AE12" i="56"/>
  <c r="AJ11" i="56"/>
  <c r="AI11" i="56"/>
  <c r="AH11" i="56"/>
  <c r="AG11" i="56"/>
  <c r="AF11" i="56"/>
  <c r="AE11" i="56"/>
  <c r="AJ10" i="56"/>
  <c r="AI10" i="56"/>
  <c r="AH10" i="56"/>
  <c r="AG10" i="56"/>
  <c r="AF10" i="56"/>
  <c r="AE10" i="56"/>
  <c r="AJ9" i="56"/>
  <c r="AI9" i="56"/>
  <c r="AH9" i="56"/>
  <c r="AG9" i="56"/>
  <c r="AF9" i="56"/>
  <c r="AE9" i="56"/>
  <c r="AJ8" i="56"/>
  <c r="AI8" i="56"/>
  <c r="AH8" i="56"/>
  <c r="AG8" i="56"/>
  <c r="AF8" i="56"/>
  <c r="AE8" i="56"/>
  <c r="AJ7" i="56"/>
  <c r="AI7" i="56"/>
  <c r="AH7" i="56"/>
  <c r="AG7" i="56"/>
  <c r="AF7" i="56"/>
  <c r="AE7" i="56"/>
  <c r="AQ44" i="26"/>
  <c r="AP44" i="26"/>
  <c r="AO44" i="26"/>
  <c r="AN44" i="26"/>
  <c r="AM44" i="26"/>
  <c r="AL44" i="26"/>
  <c r="AQ36" i="26"/>
  <c r="AP36" i="26"/>
  <c r="AO36" i="26"/>
  <c r="AN36" i="26"/>
  <c r="AM36" i="26"/>
  <c r="AL36" i="26"/>
  <c r="AQ35" i="26"/>
  <c r="AP35" i="26"/>
  <c r="AO35" i="26"/>
  <c r="AN35" i="26"/>
  <c r="AM35" i="26"/>
  <c r="AL35" i="26"/>
  <c r="AQ34" i="26"/>
  <c r="AP34" i="26"/>
  <c r="AO34" i="26"/>
  <c r="AN34" i="26"/>
  <c r="AM34" i="26"/>
  <c r="AL34" i="26"/>
  <c r="AQ33" i="26"/>
  <c r="AP33" i="26"/>
  <c r="AO33" i="26"/>
  <c r="AN33" i="26"/>
  <c r="AM33" i="26"/>
  <c r="AL33" i="26"/>
  <c r="AQ32" i="26"/>
  <c r="AP32" i="26"/>
  <c r="AO32" i="26"/>
  <c r="AN32" i="26"/>
  <c r="AM32" i="26"/>
  <c r="AL32" i="26"/>
  <c r="AQ31" i="26"/>
  <c r="AP31" i="26"/>
  <c r="AO31" i="26"/>
  <c r="AN31" i="26"/>
  <c r="AM31" i="26"/>
  <c r="AL31" i="26"/>
  <c r="AQ30" i="26"/>
  <c r="AP30" i="26"/>
  <c r="AO30" i="26"/>
  <c r="AN30" i="26"/>
  <c r="AM30" i="26"/>
  <c r="AL30" i="26"/>
  <c r="AQ29" i="26"/>
  <c r="AP29" i="26"/>
  <c r="AO29" i="26"/>
  <c r="AN29" i="26"/>
  <c r="AM29" i="26"/>
  <c r="AL29" i="26"/>
  <c r="AQ28" i="26"/>
  <c r="AP28" i="26"/>
  <c r="AO28" i="26"/>
  <c r="AN28" i="26"/>
  <c r="AM28" i="26"/>
  <c r="AL28" i="26"/>
  <c r="AQ27" i="26"/>
  <c r="AP27" i="26"/>
  <c r="AO27" i="26"/>
  <c r="AN27" i="26"/>
  <c r="AM27" i="26"/>
  <c r="AL27" i="26"/>
  <c r="AQ26" i="26"/>
  <c r="AP26" i="26"/>
  <c r="AO26" i="26"/>
  <c r="AN26" i="26"/>
  <c r="AM26" i="26"/>
  <c r="AL26" i="26"/>
  <c r="AQ25" i="26"/>
  <c r="AP25" i="26"/>
  <c r="AO25" i="26"/>
  <c r="AN25" i="26"/>
  <c r="AM25" i="26"/>
  <c r="AL25" i="26"/>
  <c r="AQ24" i="26"/>
  <c r="AP24" i="26"/>
  <c r="AO24" i="26"/>
  <c r="AN24" i="26"/>
  <c r="AM24" i="26"/>
  <c r="AL24" i="26"/>
  <c r="AQ23" i="26"/>
  <c r="AP23" i="26"/>
  <c r="AO23" i="26"/>
  <c r="AN23" i="26"/>
  <c r="AM23" i="26"/>
  <c r="AL23" i="26"/>
  <c r="AQ22" i="26"/>
  <c r="AP22" i="26"/>
  <c r="AO22" i="26"/>
  <c r="AN22" i="26"/>
  <c r="AM22" i="26"/>
  <c r="AL22" i="26"/>
  <c r="AQ21" i="26"/>
  <c r="AP21" i="26"/>
  <c r="AO21" i="26"/>
  <c r="AN21" i="26"/>
  <c r="AM21" i="26"/>
  <c r="AL21" i="26"/>
  <c r="AQ20" i="26"/>
  <c r="AP20" i="26"/>
  <c r="AO20" i="26"/>
  <c r="AN20" i="26"/>
  <c r="AM20" i="26"/>
  <c r="AL20" i="26"/>
  <c r="AQ19" i="26"/>
  <c r="AP19" i="26"/>
  <c r="AO19" i="26"/>
  <c r="AN19" i="26"/>
  <c r="AM19" i="26"/>
  <c r="AL19" i="26"/>
  <c r="AQ18" i="26"/>
  <c r="AP18" i="26"/>
  <c r="AO18" i="26"/>
  <c r="AN18" i="26"/>
  <c r="AM18" i="26"/>
  <c r="AL18" i="26"/>
  <c r="AQ17" i="26"/>
  <c r="AP17" i="26"/>
  <c r="AO17" i="26"/>
  <c r="AN17" i="26"/>
  <c r="AM17" i="26"/>
  <c r="AL17" i="26"/>
  <c r="AQ16" i="26"/>
  <c r="AP16" i="26"/>
  <c r="AO16" i="26"/>
  <c r="AN16" i="26"/>
  <c r="AM16" i="26"/>
  <c r="AL16" i="26"/>
  <c r="AQ15" i="26"/>
  <c r="AP15" i="26"/>
  <c r="AO15" i="26"/>
  <c r="AN15" i="26"/>
  <c r="AM15" i="26"/>
  <c r="AL15" i="26"/>
  <c r="AQ14" i="26"/>
  <c r="AP14" i="26"/>
  <c r="AO14" i="26"/>
  <c r="AN14" i="26"/>
  <c r="AM14" i="26"/>
  <c r="AL14" i="26"/>
  <c r="AQ13" i="26"/>
  <c r="AP13" i="26"/>
  <c r="AO13" i="26"/>
  <c r="AN13" i="26"/>
  <c r="AM13" i="26"/>
  <c r="AL13" i="26"/>
  <c r="AQ12" i="26"/>
  <c r="AP12" i="26"/>
  <c r="AO12" i="26"/>
  <c r="AN12" i="26"/>
  <c r="AM12" i="26"/>
  <c r="AL12" i="26"/>
  <c r="AQ11" i="26"/>
  <c r="AP11" i="26"/>
  <c r="AO11" i="26"/>
  <c r="AN11" i="26"/>
  <c r="AM11" i="26"/>
  <c r="AL11" i="26"/>
  <c r="AQ10" i="26"/>
  <c r="AP10" i="26"/>
  <c r="AO10" i="26"/>
  <c r="AN10" i="26"/>
  <c r="AM10" i="26"/>
  <c r="AL10" i="26"/>
  <c r="AQ9" i="26"/>
  <c r="AP9" i="26"/>
  <c r="AO9" i="26"/>
  <c r="AN9" i="26"/>
  <c r="AM9" i="26"/>
  <c r="AL9" i="26"/>
  <c r="AZ58" i="25"/>
  <c r="AY58" i="25"/>
  <c r="AX58" i="25"/>
  <c r="AW58" i="25"/>
  <c r="AV58" i="25"/>
  <c r="AU58" i="25"/>
  <c r="AZ57" i="25"/>
  <c r="AY57" i="25"/>
  <c r="AX57" i="25"/>
  <c r="AW57" i="25"/>
  <c r="AV57" i="25"/>
  <c r="AU57" i="25"/>
  <c r="AZ49" i="25"/>
  <c r="AY49" i="25"/>
  <c r="AX49" i="25"/>
  <c r="AW49" i="25"/>
  <c r="AV49" i="25"/>
  <c r="AU49" i="25"/>
  <c r="AZ48" i="25"/>
  <c r="AY48" i="25"/>
  <c r="AX48" i="25"/>
  <c r="AW48" i="25"/>
  <c r="AV48" i="25"/>
  <c r="AU48" i="25"/>
  <c r="AZ47" i="25"/>
  <c r="AY47" i="25"/>
  <c r="AX47" i="25"/>
  <c r="AW47" i="25"/>
  <c r="AV47" i="25"/>
  <c r="AU47" i="25"/>
  <c r="AZ46" i="25"/>
  <c r="AY46" i="25"/>
  <c r="AX46" i="25"/>
  <c r="AW46" i="25"/>
  <c r="AV46" i="25"/>
  <c r="AU46" i="25"/>
  <c r="AZ45" i="25"/>
  <c r="AY45" i="25"/>
  <c r="AX45" i="25"/>
  <c r="AW45" i="25"/>
  <c r="AV45" i="25"/>
  <c r="AU45" i="25"/>
  <c r="AZ44" i="25"/>
  <c r="AY44" i="25"/>
  <c r="AX44" i="25"/>
  <c r="AW44" i="25"/>
  <c r="AV44" i="25"/>
  <c r="AU44" i="25"/>
  <c r="AZ43" i="25"/>
  <c r="AY43" i="25"/>
  <c r="AX43" i="25"/>
  <c r="AW43" i="25"/>
  <c r="AV43" i="25"/>
  <c r="AU43" i="25"/>
  <c r="AW42" i="25"/>
  <c r="AW41" i="25"/>
  <c r="AW40" i="25"/>
  <c r="AW39" i="25"/>
  <c r="AW38" i="25"/>
  <c r="AW37" i="25"/>
  <c r="AW36" i="25"/>
  <c r="AW35" i="25"/>
  <c r="AW34" i="25"/>
  <c r="AW33" i="25"/>
  <c r="AW32" i="25"/>
  <c r="AW31" i="25"/>
  <c r="AW30" i="25"/>
  <c r="AW29" i="25"/>
  <c r="AW28" i="25"/>
  <c r="AW27" i="25"/>
  <c r="AW26" i="25"/>
  <c r="AW25" i="25"/>
  <c r="AZ24" i="25"/>
  <c r="AY24" i="25"/>
  <c r="AX24" i="25"/>
  <c r="AW24" i="25"/>
  <c r="AV24" i="25"/>
  <c r="AU24" i="25"/>
  <c r="AZ23" i="25"/>
  <c r="AY23" i="25"/>
  <c r="AX23" i="25"/>
  <c r="AW23" i="25"/>
  <c r="AV23" i="25"/>
  <c r="AU23" i="25"/>
  <c r="AZ22" i="25"/>
  <c r="AY22" i="25"/>
  <c r="AX22" i="25"/>
  <c r="AW22" i="25"/>
  <c r="AV22" i="25"/>
  <c r="AU22" i="25"/>
  <c r="AZ21" i="25"/>
  <c r="AY21" i="25"/>
  <c r="AX21" i="25"/>
  <c r="AW21" i="25"/>
  <c r="AV21" i="25"/>
  <c r="AU21" i="25"/>
  <c r="AZ20" i="25"/>
  <c r="AY20" i="25"/>
  <c r="AX20" i="25"/>
  <c r="AW20" i="25"/>
  <c r="AV20" i="25"/>
  <c r="AU20" i="25"/>
  <c r="AZ19" i="25"/>
  <c r="AY19" i="25"/>
  <c r="AX19" i="25"/>
  <c r="AW19" i="25"/>
  <c r="AV19" i="25"/>
  <c r="AU19" i="25"/>
  <c r="AZ18" i="25"/>
  <c r="AY18" i="25"/>
  <c r="AX18" i="25"/>
  <c r="AW18" i="25"/>
  <c r="AV18" i="25"/>
  <c r="AU18" i="25"/>
  <c r="AZ17" i="25"/>
  <c r="AY17" i="25"/>
  <c r="AX17" i="25"/>
  <c r="AW17" i="25"/>
  <c r="AV17" i="25"/>
  <c r="AU17" i="25"/>
  <c r="AZ16" i="25"/>
  <c r="AY16" i="25"/>
  <c r="AX16" i="25"/>
  <c r="AW16" i="25"/>
  <c r="AV16" i="25"/>
  <c r="AU16" i="25"/>
  <c r="AZ15" i="25"/>
  <c r="AY15" i="25"/>
  <c r="AX15" i="25"/>
  <c r="AW15" i="25"/>
  <c r="AV15" i="25"/>
  <c r="AU15" i="25"/>
  <c r="AZ14" i="25"/>
  <c r="AY14" i="25"/>
  <c r="AX14" i="25"/>
  <c r="AW14" i="25"/>
  <c r="AV14" i="25"/>
  <c r="AU14" i="25"/>
  <c r="AZ13" i="25"/>
  <c r="AY13" i="25"/>
  <c r="AX13" i="25"/>
  <c r="AW13" i="25"/>
  <c r="AV13" i="25"/>
  <c r="AU13" i="25"/>
  <c r="AZ12" i="25"/>
  <c r="AY12" i="25"/>
  <c r="AX12" i="25"/>
  <c r="AW12" i="25"/>
  <c r="AV12" i="25"/>
  <c r="AU12" i="25"/>
  <c r="AZ11" i="25"/>
  <c r="AY11" i="25"/>
  <c r="AX11" i="25"/>
  <c r="AW11" i="25"/>
  <c r="AV11" i="25"/>
  <c r="AU11" i="25"/>
  <c r="AZ10" i="25"/>
  <c r="AY10" i="25"/>
  <c r="AX10" i="25"/>
  <c r="AW10" i="25"/>
  <c r="AV10" i="25"/>
  <c r="AU10" i="25"/>
  <c r="CO25" i="41"/>
  <c r="CO24" i="41"/>
  <c r="CO23" i="41"/>
  <c r="CO22" i="41"/>
  <c r="CO21" i="41"/>
  <c r="CO20" i="41"/>
  <c r="CO19" i="41"/>
  <c r="CO18" i="41"/>
  <c r="CO17" i="41"/>
  <c r="CO16" i="41"/>
  <c r="CO15" i="41"/>
  <c r="CO14" i="41"/>
  <c r="CO13" i="41"/>
  <c r="CO12" i="41"/>
  <c r="CO11" i="41"/>
  <c r="CO10" i="41"/>
  <c r="CO9" i="41"/>
  <c r="CP9" i="41" s="1"/>
  <c r="CO8" i="41"/>
  <c r="CP8" i="41" s="1"/>
  <c r="CO7" i="41"/>
  <c r="CP7" i="41" s="1"/>
  <c r="K43" i="41"/>
  <c r="K42" i="41"/>
  <c r="K41" i="41"/>
  <c r="K40" i="41"/>
  <c r="K39" i="41"/>
  <c r="K36" i="41"/>
  <c r="K35" i="41"/>
  <c r="K34" i="41"/>
  <c r="K33" i="41"/>
  <c r="K32" i="41"/>
  <c r="K31" i="41"/>
  <c r="K30" i="41"/>
  <c r="K29" i="41"/>
  <c r="K28" i="41"/>
  <c r="K27" i="41"/>
  <c r="K25" i="41"/>
  <c r="K24" i="41"/>
  <c r="K23" i="41"/>
  <c r="K22" i="41"/>
  <c r="K21" i="41"/>
  <c r="K20" i="41"/>
  <c r="K19" i="41"/>
  <c r="K18" i="41"/>
  <c r="K17" i="41"/>
  <c r="K16" i="41"/>
  <c r="K15" i="41"/>
  <c r="K14" i="41"/>
  <c r="K13" i="41"/>
  <c r="K12" i="41"/>
  <c r="K11" i="41"/>
  <c r="K10" i="41"/>
  <c r="K9" i="41"/>
  <c r="K8" i="41"/>
  <c r="K7" i="41"/>
  <c r="I43" i="41"/>
  <c r="H43" i="41"/>
  <c r="F43" i="41"/>
  <c r="I42" i="41"/>
  <c r="H42" i="41"/>
  <c r="F42" i="41"/>
  <c r="I41" i="41"/>
  <c r="H41" i="41"/>
  <c r="F41" i="41"/>
  <c r="I40" i="41"/>
  <c r="H40" i="41"/>
  <c r="F40" i="41"/>
  <c r="I39" i="41"/>
  <c r="H39" i="41"/>
  <c r="F39" i="41"/>
  <c r="I38" i="41"/>
  <c r="H38" i="41"/>
  <c r="I37" i="41"/>
  <c r="H37" i="41"/>
  <c r="I36" i="41"/>
  <c r="H36" i="41"/>
  <c r="F36" i="41"/>
  <c r="I35" i="41"/>
  <c r="H35" i="41"/>
  <c r="F35" i="41"/>
  <c r="I34" i="41"/>
  <c r="H34" i="41"/>
  <c r="F34" i="41"/>
  <c r="I33" i="41"/>
  <c r="H33" i="41"/>
  <c r="F33" i="41"/>
  <c r="I32" i="41"/>
  <c r="H32" i="41"/>
  <c r="F32" i="41"/>
  <c r="I31" i="41"/>
  <c r="H31" i="41"/>
  <c r="F31" i="41"/>
  <c r="I30" i="41"/>
  <c r="H30" i="41"/>
  <c r="F30" i="41"/>
  <c r="I29" i="41"/>
  <c r="H29" i="41"/>
  <c r="F29" i="41"/>
  <c r="I28" i="41"/>
  <c r="H28" i="41"/>
  <c r="F28" i="41"/>
  <c r="I27" i="41"/>
  <c r="H27" i="41"/>
  <c r="F27" i="41"/>
  <c r="I25" i="41"/>
  <c r="H25" i="41"/>
  <c r="F25" i="41"/>
  <c r="I24" i="41"/>
  <c r="H24" i="41"/>
  <c r="F24" i="41"/>
  <c r="I23" i="41"/>
  <c r="H23" i="41"/>
  <c r="F23" i="41"/>
  <c r="I22" i="41"/>
  <c r="H22" i="41"/>
  <c r="F22" i="41"/>
  <c r="I21" i="41"/>
  <c r="H21" i="41"/>
  <c r="F21" i="41"/>
  <c r="I20" i="41"/>
  <c r="H20" i="41"/>
  <c r="F20" i="41"/>
  <c r="I19" i="41"/>
  <c r="H19" i="41"/>
  <c r="F19" i="41"/>
  <c r="I18" i="41"/>
  <c r="H18" i="41"/>
  <c r="F18" i="41"/>
  <c r="I17" i="41"/>
  <c r="H17" i="41"/>
  <c r="F17" i="41"/>
  <c r="I16" i="41"/>
  <c r="H16" i="41"/>
  <c r="F16" i="41"/>
  <c r="I15" i="41"/>
  <c r="H15" i="41"/>
  <c r="F15" i="41"/>
  <c r="I14" i="41"/>
  <c r="H14" i="41"/>
  <c r="F14" i="41"/>
  <c r="I13" i="41"/>
  <c r="H13" i="41"/>
  <c r="F13" i="41"/>
  <c r="I12" i="41"/>
  <c r="H12" i="41"/>
  <c r="F12" i="41"/>
  <c r="I11" i="41"/>
  <c r="H11" i="41"/>
  <c r="F11" i="41"/>
  <c r="I10" i="41"/>
  <c r="H10" i="41"/>
  <c r="F10" i="41"/>
  <c r="I9" i="41"/>
  <c r="H9" i="41"/>
  <c r="F9" i="41"/>
  <c r="I8" i="41"/>
  <c r="H8" i="41"/>
  <c r="F8" i="41"/>
  <c r="I7" i="41"/>
  <c r="H7" i="41"/>
  <c r="F7" i="41"/>
  <c r="DM36" i="58"/>
  <c r="DM35" i="58"/>
  <c r="DM34" i="58"/>
  <c r="DM33" i="58"/>
  <c r="DM32" i="58"/>
  <c r="DM31" i="58"/>
  <c r="DM30" i="58"/>
  <c r="DM29" i="58"/>
  <c r="DM28" i="58"/>
  <c r="DM27" i="58"/>
  <c r="DM26" i="58"/>
  <c r="DM25" i="58"/>
  <c r="DM24" i="58"/>
  <c r="DM23" i="58"/>
  <c r="DM22" i="58"/>
  <c r="DM21" i="58"/>
  <c r="DM20" i="58"/>
  <c r="DM19" i="58"/>
  <c r="DM18" i="58"/>
  <c r="DM17" i="58"/>
  <c r="DM16" i="58"/>
  <c r="DM15" i="58"/>
  <c r="DM9" i="58"/>
  <c r="DN9" i="58" s="1"/>
  <c r="DM8" i="58"/>
  <c r="DN8" i="58" s="1"/>
  <c r="DM7" i="58"/>
  <c r="DN7" i="58" s="1"/>
  <c r="K60" i="58"/>
  <c r="K59" i="58"/>
  <c r="K58" i="58"/>
  <c r="K57" i="58"/>
  <c r="K56" i="58"/>
  <c r="K55" i="58"/>
  <c r="K54" i="58"/>
  <c r="K53" i="58"/>
  <c r="K52" i="58"/>
  <c r="K51" i="58"/>
  <c r="K50" i="58"/>
  <c r="K47" i="58"/>
  <c r="K46" i="58"/>
  <c r="K45" i="58"/>
  <c r="K44" i="58"/>
  <c r="K43" i="58"/>
  <c r="K42" i="58"/>
  <c r="K41" i="58"/>
  <c r="K40" i="58"/>
  <c r="K39" i="58"/>
  <c r="K38" i="58"/>
  <c r="K36" i="58"/>
  <c r="K35" i="58"/>
  <c r="K34" i="58"/>
  <c r="K33" i="58"/>
  <c r="K32" i="58"/>
  <c r="K31" i="58"/>
  <c r="K30" i="58"/>
  <c r="K29" i="58"/>
  <c r="K28" i="58"/>
  <c r="K27" i="58"/>
  <c r="K26" i="58"/>
  <c r="K25" i="58"/>
  <c r="K24" i="58"/>
  <c r="K23" i="58"/>
  <c r="K22" i="58"/>
  <c r="K21" i="58"/>
  <c r="K20" i="58"/>
  <c r="K19" i="58"/>
  <c r="K18" i="58"/>
  <c r="K17" i="58"/>
  <c r="K16" i="58"/>
  <c r="K15" i="58"/>
  <c r="K9" i="58"/>
  <c r="K8" i="58"/>
  <c r="K7" i="58"/>
  <c r="I60" i="58"/>
  <c r="H60" i="58"/>
  <c r="F60" i="58"/>
  <c r="I59" i="58"/>
  <c r="H59" i="58"/>
  <c r="F59" i="58"/>
  <c r="I58" i="58"/>
  <c r="H58" i="58"/>
  <c r="F58" i="58"/>
  <c r="I57" i="58"/>
  <c r="H57" i="58"/>
  <c r="F57" i="58"/>
  <c r="I56" i="58"/>
  <c r="H56" i="58"/>
  <c r="F56" i="58"/>
  <c r="I55" i="58"/>
  <c r="H55" i="58"/>
  <c r="F55" i="58"/>
  <c r="I54" i="58"/>
  <c r="H54" i="58"/>
  <c r="F54" i="58"/>
  <c r="I53" i="58"/>
  <c r="H53" i="58"/>
  <c r="F53" i="58"/>
  <c r="I52" i="58"/>
  <c r="H52" i="58"/>
  <c r="F52" i="58"/>
  <c r="I51" i="58"/>
  <c r="H51" i="58"/>
  <c r="F51" i="58"/>
  <c r="I50" i="58"/>
  <c r="H50" i="58"/>
  <c r="F50" i="58"/>
  <c r="I49" i="58"/>
  <c r="H49" i="58"/>
  <c r="I48" i="58"/>
  <c r="H48" i="58"/>
  <c r="I47" i="58"/>
  <c r="H47" i="58"/>
  <c r="F47" i="58"/>
  <c r="I46" i="58"/>
  <c r="H46" i="58"/>
  <c r="F46" i="58"/>
  <c r="I45" i="58"/>
  <c r="H45" i="58"/>
  <c r="F45" i="58"/>
  <c r="I44" i="58"/>
  <c r="H44" i="58"/>
  <c r="F44" i="58"/>
  <c r="I43" i="58"/>
  <c r="H43" i="58"/>
  <c r="F43" i="58"/>
  <c r="I42" i="58"/>
  <c r="H42" i="58"/>
  <c r="F42" i="58"/>
  <c r="I41" i="58"/>
  <c r="H41" i="58"/>
  <c r="F41" i="58"/>
  <c r="I40" i="58"/>
  <c r="H40" i="58"/>
  <c r="F40" i="58"/>
  <c r="I39" i="58"/>
  <c r="H39" i="58"/>
  <c r="F39" i="58"/>
  <c r="I38" i="58"/>
  <c r="H38" i="58"/>
  <c r="F38" i="58"/>
  <c r="I36" i="58"/>
  <c r="H36" i="58"/>
  <c r="F36" i="58"/>
  <c r="I35" i="58"/>
  <c r="H35" i="58"/>
  <c r="F35" i="58"/>
  <c r="I34" i="58"/>
  <c r="H34" i="58"/>
  <c r="F34" i="58"/>
  <c r="I33" i="58"/>
  <c r="H33" i="58"/>
  <c r="F33" i="58"/>
  <c r="I32" i="58"/>
  <c r="H32" i="58"/>
  <c r="F32" i="58"/>
  <c r="I31" i="58"/>
  <c r="H31" i="58"/>
  <c r="F31" i="58"/>
  <c r="I30" i="58"/>
  <c r="H30" i="58"/>
  <c r="F30" i="58"/>
  <c r="I29" i="58"/>
  <c r="H29" i="58"/>
  <c r="F29" i="58"/>
  <c r="I28" i="58"/>
  <c r="H28" i="58"/>
  <c r="F28" i="58"/>
  <c r="I27" i="58"/>
  <c r="H27" i="58"/>
  <c r="F27" i="58"/>
  <c r="I26" i="58"/>
  <c r="H26" i="58"/>
  <c r="F26" i="58"/>
  <c r="I25" i="58"/>
  <c r="H25" i="58"/>
  <c r="F25" i="58"/>
  <c r="I24" i="58"/>
  <c r="H24" i="58"/>
  <c r="F24" i="58"/>
  <c r="I23" i="58"/>
  <c r="H23" i="58"/>
  <c r="F23" i="58"/>
  <c r="I22" i="58"/>
  <c r="H22" i="58"/>
  <c r="F22" i="58"/>
  <c r="I21" i="58"/>
  <c r="H21" i="58"/>
  <c r="F21" i="58"/>
  <c r="I20" i="58"/>
  <c r="H20" i="58"/>
  <c r="F20" i="58"/>
  <c r="I19" i="58"/>
  <c r="H19" i="58"/>
  <c r="F19" i="58"/>
  <c r="I18" i="58"/>
  <c r="H18" i="58"/>
  <c r="F18" i="58"/>
  <c r="I17" i="58"/>
  <c r="H17" i="58"/>
  <c r="F17" i="58"/>
  <c r="I16" i="58"/>
  <c r="H16" i="58"/>
  <c r="F16" i="58"/>
  <c r="I15" i="58"/>
  <c r="H15" i="58"/>
  <c r="F15" i="58"/>
  <c r="I14" i="58"/>
  <c r="H14" i="58"/>
  <c r="I13" i="58"/>
  <c r="H13" i="58"/>
  <c r="I12" i="58"/>
  <c r="H12" i="58"/>
  <c r="I11" i="58"/>
  <c r="H11" i="58"/>
  <c r="I10" i="58"/>
  <c r="H10" i="58"/>
  <c r="I9" i="58"/>
  <c r="H9" i="58"/>
  <c r="F9" i="58"/>
  <c r="I8" i="58"/>
  <c r="H8" i="58"/>
  <c r="F8" i="58"/>
  <c r="I7" i="58"/>
  <c r="H7" i="58"/>
  <c r="F7" i="58"/>
  <c r="BV41" i="29"/>
  <c r="BW41" i="29" s="1"/>
  <c r="K41" i="29"/>
  <c r="I41" i="29"/>
  <c r="H41" i="29"/>
  <c r="F41" i="29"/>
  <c r="BV23" i="29"/>
  <c r="BV22" i="29"/>
  <c r="BV21" i="29"/>
  <c r="BV20" i="29"/>
  <c r="BW20" i="29" s="1"/>
  <c r="BV19" i="29"/>
  <c r="BW19" i="29" s="1"/>
  <c r="BV18" i="29"/>
  <c r="BW18" i="29" s="1"/>
  <c r="BV17" i="29"/>
  <c r="BV16" i="29"/>
  <c r="BV15" i="29"/>
  <c r="BV14" i="29"/>
  <c r="BV13" i="29"/>
  <c r="BV12" i="29"/>
  <c r="BV11" i="29"/>
  <c r="BV10" i="29"/>
  <c r="BV9" i="29"/>
  <c r="BV8" i="29"/>
  <c r="BV7" i="29"/>
  <c r="K28" i="29"/>
  <c r="K27" i="29"/>
  <c r="K26" i="29"/>
  <c r="K25" i="29"/>
  <c r="K24" i="29"/>
  <c r="K23" i="29"/>
  <c r="K22" i="29"/>
  <c r="K21" i="29"/>
  <c r="K20" i="29"/>
  <c r="K19" i="29"/>
  <c r="K18" i="29"/>
  <c r="K17" i="29"/>
  <c r="K16" i="29"/>
  <c r="K15" i="29"/>
  <c r="K14" i="29"/>
  <c r="K13" i="29"/>
  <c r="K12" i="29"/>
  <c r="K11" i="29"/>
  <c r="K10" i="29"/>
  <c r="K9" i="29"/>
  <c r="K8" i="29"/>
  <c r="K7" i="29"/>
  <c r="I28" i="29"/>
  <c r="H28" i="29"/>
  <c r="F28" i="29"/>
  <c r="I27" i="29"/>
  <c r="H27" i="29"/>
  <c r="F27" i="29"/>
  <c r="I26" i="29"/>
  <c r="H26" i="29"/>
  <c r="F26" i="29"/>
  <c r="I25" i="29"/>
  <c r="H25" i="29"/>
  <c r="F25" i="29"/>
  <c r="I24" i="29"/>
  <c r="H24" i="29"/>
  <c r="F24" i="29"/>
  <c r="I23" i="29"/>
  <c r="H23" i="29"/>
  <c r="F23" i="29"/>
  <c r="I22" i="29"/>
  <c r="H22" i="29"/>
  <c r="F22" i="29"/>
  <c r="I21" i="29"/>
  <c r="H21" i="29"/>
  <c r="F21" i="29"/>
  <c r="I20" i="29"/>
  <c r="H20" i="29"/>
  <c r="F20" i="29"/>
  <c r="I19" i="29"/>
  <c r="H19" i="29"/>
  <c r="F19" i="29"/>
  <c r="I18" i="29"/>
  <c r="H18" i="29"/>
  <c r="F18" i="29"/>
  <c r="I17" i="29"/>
  <c r="H17" i="29"/>
  <c r="F17" i="29"/>
  <c r="I16" i="29"/>
  <c r="H16" i="29"/>
  <c r="F16" i="29"/>
  <c r="I15" i="29"/>
  <c r="H15" i="29"/>
  <c r="F15" i="29"/>
  <c r="I14" i="29"/>
  <c r="H14" i="29"/>
  <c r="F14" i="29"/>
  <c r="I13" i="29"/>
  <c r="H13" i="29"/>
  <c r="F13" i="29"/>
  <c r="I12" i="29"/>
  <c r="H12" i="29"/>
  <c r="F12" i="29"/>
  <c r="I11" i="29"/>
  <c r="H11" i="29"/>
  <c r="F11" i="29"/>
  <c r="I10" i="29"/>
  <c r="H10" i="29"/>
  <c r="F10" i="29"/>
  <c r="I9" i="29"/>
  <c r="H9" i="29"/>
  <c r="F9" i="29"/>
  <c r="I8" i="29"/>
  <c r="H8" i="29"/>
  <c r="F8" i="29"/>
  <c r="I7" i="29"/>
  <c r="H7" i="29"/>
  <c r="F7" i="29"/>
  <c r="Y13" i="56"/>
  <c r="Z13" i="56" s="1"/>
  <c r="Y12" i="56"/>
  <c r="Z12" i="56" s="1"/>
  <c r="Y11" i="56"/>
  <c r="Z11" i="56" s="1"/>
  <c r="Y10" i="56"/>
  <c r="Z10" i="56" s="1"/>
  <c r="Y9" i="56"/>
  <c r="Z9" i="56" s="1"/>
  <c r="Y8" i="56"/>
  <c r="Z8" i="56" s="1"/>
  <c r="Y7" i="56"/>
  <c r="Z7" i="56" s="1"/>
  <c r="K13" i="56"/>
  <c r="K12" i="56"/>
  <c r="K11" i="56"/>
  <c r="K10" i="56"/>
  <c r="K9" i="56"/>
  <c r="K8" i="56"/>
  <c r="K7" i="56"/>
  <c r="I14" i="56"/>
  <c r="H14" i="56"/>
  <c r="I13" i="56"/>
  <c r="H13" i="56"/>
  <c r="F13" i="56"/>
  <c r="I12" i="56"/>
  <c r="H12" i="56"/>
  <c r="F12" i="56"/>
  <c r="I11" i="56"/>
  <c r="H11" i="56"/>
  <c r="F11" i="56"/>
  <c r="I10" i="56"/>
  <c r="H10" i="56"/>
  <c r="F10" i="56"/>
  <c r="I9" i="56"/>
  <c r="H9" i="56"/>
  <c r="F9" i="56"/>
  <c r="I8" i="56"/>
  <c r="H8" i="56"/>
  <c r="F8" i="56"/>
  <c r="I7" i="56"/>
  <c r="H7" i="56"/>
  <c r="F7" i="56"/>
  <c r="AG44" i="26"/>
  <c r="AH44" i="26" s="1"/>
  <c r="K44" i="26"/>
  <c r="I44" i="26"/>
  <c r="H44" i="26"/>
  <c r="F44" i="26"/>
  <c r="AG36" i="26"/>
  <c r="AH36" i="26" s="1"/>
  <c r="AG35" i="26"/>
  <c r="AH35" i="26" s="1"/>
  <c r="AG34" i="26"/>
  <c r="AH34" i="26" s="1"/>
  <c r="AG33" i="26"/>
  <c r="AH33" i="26" s="1"/>
  <c r="AG32" i="26"/>
  <c r="AH32" i="26" s="1"/>
  <c r="AG31" i="26"/>
  <c r="AH31" i="26" s="1"/>
  <c r="AG30" i="26"/>
  <c r="AH30" i="26" s="1"/>
  <c r="AG29" i="26"/>
  <c r="AH29" i="26" s="1"/>
  <c r="AG28" i="26"/>
  <c r="AH28" i="26" s="1"/>
  <c r="AG27" i="26"/>
  <c r="AH27" i="26" s="1"/>
  <c r="AG26" i="26"/>
  <c r="AH26" i="26" s="1"/>
  <c r="AG25" i="26"/>
  <c r="AG24" i="26"/>
  <c r="AG23" i="26"/>
  <c r="AG22" i="26"/>
  <c r="AG21" i="26"/>
  <c r="AG20" i="26"/>
  <c r="AH20" i="26" s="1"/>
  <c r="AG19" i="26"/>
  <c r="AH19" i="26" s="1"/>
  <c r="AG18" i="26"/>
  <c r="AH18" i="26" s="1"/>
  <c r="AG17" i="26"/>
  <c r="AH17" i="26" s="1"/>
  <c r="AG16" i="26"/>
  <c r="AH16" i="26" s="1"/>
  <c r="AG13" i="26"/>
  <c r="AH13" i="26" s="1"/>
  <c r="AG12" i="26"/>
  <c r="AH12" i="26" s="1"/>
  <c r="AG11" i="26"/>
  <c r="AH11" i="26" s="1"/>
  <c r="AG10" i="26"/>
  <c r="AH10" i="26" s="1"/>
  <c r="AG9" i="26"/>
  <c r="AH9" i="26" s="1"/>
  <c r="K36" i="26"/>
  <c r="K35" i="26"/>
  <c r="K34" i="26"/>
  <c r="K33" i="26"/>
  <c r="K32" i="26"/>
  <c r="K31" i="26"/>
  <c r="K30" i="26"/>
  <c r="K29" i="26"/>
  <c r="K28" i="26"/>
  <c r="K27" i="26"/>
  <c r="K26" i="26"/>
  <c r="K25" i="26"/>
  <c r="K24" i="26"/>
  <c r="K23" i="26"/>
  <c r="K22" i="26"/>
  <c r="K21" i="26"/>
  <c r="K20" i="26"/>
  <c r="K19" i="26"/>
  <c r="K18" i="26"/>
  <c r="K17" i="26"/>
  <c r="K16" i="26"/>
  <c r="K13" i="26"/>
  <c r="K12" i="26"/>
  <c r="K11" i="26"/>
  <c r="K10" i="26"/>
  <c r="K9" i="26"/>
  <c r="K8" i="26"/>
  <c r="K7" i="26"/>
  <c r="I36" i="26"/>
  <c r="H36" i="26"/>
  <c r="F36" i="26"/>
  <c r="I35" i="26"/>
  <c r="H35" i="26"/>
  <c r="F35" i="26"/>
  <c r="I34" i="26"/>
  <c r="H34" i="26"/>
  <c r="F34" i="26"/>
  <c r="I33" i="26"/>
  <c r="H33" i="26"/>
  <c r="F33" i="26"/>
  <c r="I32" i="26"/>
  <c r="H32" i="26"/>
  <c r="F32" i="26"/>
  <c r="I31" i="26"/>
  <c r="H31" i="26"/>
  <c r="F31" i="26"/>
  <c r="I30" i="26"/>
  <c r="H30" i="26"/>
  <c r="F30" i="26"/>
  <c r="I29" i="26"/>
  <c r="H29" i="26"/>
  <c r="F29" i="26"/>
  <c r="I28" i="26"/>
  <c r="H28" i="26"/>
  <c r="F28" i="26"/>
  <c r="I27" i="26"/>
  <c r="H27" i="26"/>
  <c r="F27" i="26"/>
  <c r="I26" i="26"/>
  <c r="H26" i="26"/>
  <c r="F26" i="26"/>
  <c r="I25" i="26"/>
  <c r="H25" i="26"/>
  <c r="F25" i="26"/>
  <c r="I24" i="26"/>
  <c r="H24" i="26"/>
  <c r="F24" i="26"/>
  <c r="I23" i="26"/>
  <c r="H23" i="26"/>
  <c r="F23" i="26"/>
  <c r="I22" i="26"/>
  <c r="H22" i="26"/>
  <c r="F22" i="26"/>
  <c r="I21" i="26"/>
  <c r="H21" i="26"/>
  <c r="F21" i="26"/>
  <c r="I20" i="26"/>
  <c r="H20" i="26"/>
  <c r="F20" i="26"/>
  <c r="I19" i="26"/>
  <c r="H19" i="26"/>
  <c r="F19" i="26"/>
  <c r="I18" i="26"/>
  <c r="H18" i="26"/>
  <c r="F18" i="26"/>
  <c r="I17" i="26"/>
  <c r="H17" i="26"/>
  <c r="F17" i="26"/>
  <c r="I16" i="26"/>
  <c r="H16" i="26"/>
  <c r="F16" i="26"/>
  <c r="I15" i="26"/>
  <c r="H15" i="26"/>
  <c r="I14" i="26"/>
  <c r="H14" i="26"/>
  <c r="I13" i="26"/>
  <c r="H13" i="26"/>
  <c r="F13" i="26"/>
  <c r="I12" i="26"/>
  <c r="H12" i="26"/>
  <c r="F12" i="26"/>
  <c r="I11" i="26"/>
  <c r="H11" i="26"/>
  <c r="F11" i="26"/>
  <c r="I10" i="26"/>
  <c r="H10" i="26"/>
  <c r="F10" i="26"/>
  <c r="I9" i="26"/>
  <c r="H9" i="26"/>
  <c r="F9" i="26"/>
  <c r="I8" i="26"/>
  <c r="H8" i="26"/>
  <c r="F8" i="26"/>
  <c r="I7" i="26"/>
  <c r="H7" i="26"/>
  <c r="F7" i="26"/>
  <c r="AP58" i="25"/>
  <c r="AQ58" i="25" s="1"/>
  <c r="AP57" i="25"/>
  <c r="AQ57" i="25" s="1"/>
  <c r="L58" i="25"/>
  <c r="L57" i="25"/>
  <c r="J58" i="25"/>
  <c r="I58" i="25"/>
  <c r="G58" i="25"/>
  <c r="J57" i="25"/>
  <c r="I57" i="25"/>
  <c r="G57" i="25"/>
  <c r="AP49" i="25"/>
  <c r="AQ49" i="25" s="1"/>
  <c r="AP48" i="25"/>
  <c r="AQ48" i="25" s="1"/>
  <c r="AP47" i="25"/>
  <c r="AQ47" i="25" s="1"/>
  <c r="AP46" i="25"/>
  <c r="AQ46" i="25" s="1"/>
  <c r="AP45" i="25"/>
  <c r="AQ45" i="25" s="1"/>
  <c r="AP44" i="25"/>
  <c r="AQ44" i="25" s="1"/>
  <c r="AP43" i="25"/>
  <c r="AQ43" i="25" s="1"/>
  <c r="AP42" i="25"/>
  <c r="AQ42" i="25" s="1"/>
  <c r="AP41" i="25"/>
  <c r="AQ41" i="25" s="1"/>
  <c r="AP40" i="25"/>
  <c r="AQ40" i="25" s="1"/>
  <c r="AP39" i="25"/>
  <c r="AQ39" i="25" s="1"/>
  <c r="AP38" i="25"/>
  <c r="AQ38" i="25" s="1"/>
  <c r="AP37" i="25"/>
  <c r="AQ37" i="25" s="1"/>
  <c r="AP36" i="25"/>
  <c r="AQ36" i="25" s="1"/>
  <c r="AP35" i="25"/>
  <c r="AQ35" i="25" s="1"/>
  <c r="AP34" i="25"/>
  <c r="AQ34" i="25" s="1"/>
  <c r="AP33" i="25"/>
  <c r="AQ33" i="25" s="1"/>
  <c r="AP32" i="25"/>
  <c r="AQ32" i="25" s="1"/>
  <c r="AP31" i="25"/>
  <c r="AQ31" i="25" s="1"/>
  <c r="AP30" i="25"/>
  <c r="AQ30" i="25" s="1"/>
  <c r="AP29" i="25"/>
  <c r="AQ29" i="25" s="1"/>
  <c r="AP28" i="25"/>
  <c r="AQ28" i="25" s="1"/>
  <c r="AP27" i="25"/>
  <c r="AQ27" i="25" s="1"/>
  <c r="AP26" i="25"/>
  <c r="AQ26" i="25" s="1"/>
  <c r="AP25" i="25"/>
  <c r="AQ25" i="25" s="1"/>
  <c r="AP24" i="25"/>
  <c r="AQ24" i="25" s="1"/>
  <c r="AP23" i="25"/>
  <c r="AQ23" i="25" s="1"/>
  <c r="AP22" i="25"/>
  <c r="AQ22" i="25" s="1"/>
  <c r="AP21" i="25"/>
  <c r="AQ21" i="25" s="1"/>
  <c r="AP20" i="25"/>
  <c r="AQ20" i="25" s="1"/>
  <c r="AP19" i="25"/>
  <c r="AQ19" i="25" s="1"/>
  <c r="AP18" i="25"/>
  <c r="AQ18" i="25" s="1"/>
  <c r="AP17" i="25"/>
  <c r="AQ17" i="25" s="1"/>
  <c r="AP16" i="25"/>
  <c r="AQ16" i="25" s="1"/>
  <c r="AP15" i="25"/>
  <c r="AQ15" i="25" s="1"/>
  <c r="AP14" i="25"/>
  <c r="AQ14" i="25" s="1"/>
  <c r="AP13" i="25"/>
  <c r="AQ13" i="25" s="1"/>
  <c r="AP11" i="25"/>
  <c r="AQ11" i="25" s="1"/>
  <c r="AP10" i="25"/>
  <c r="AQ10" i="25" s="1"/>
  <c r="L49" i="25"/>
  <c r="L48" i="25"/>
  <c r="L47" i="25"/>
  <c r="L46" i="25"/>
  <c r="L45" i="25"/>
  <c r="L44" i="25"/>
  <c r="L43" i="25"/>
  <c r="L42" i="25"/>
  <c r="L41" i="25"/>
  <c r="L40" i="25"/>
  <c r="L39" i="25"/>
  <c r="L38" i="25"/>
  <c r="L37" i="25"/>
  <c r="L36" i="25"/>
  <c r="L35" i="25"/>
  <c r="L34" i="25"/>
  <c r="L33" i="25"/>
  <c r="L32" i="25"/>
  <c r="L31" i="25"/>
  <c r="L30" i="25"/>
  <c r="L29" i="25"/>
  <c r="L28" i="25"/>
  <c r="L27" i="25"/>
  <c r="L26" i="25"/>
  <c r="L25" i="25"/>
  <c r="L24" i="25"/>
  <c r="L23" i="25"/>
  <c r="L22" i="25"/>
  <c r="L21" i="25"/>
  <c r="L20" i="25"/>
  <c r="L19" i="25"/>
  <c r="L18" i="25"/>
  <c r="L17" i="25"/>
  <c r="L16" i="25"/>
  <c r="L15" i="25"/>
  <c r="L14" i="25"/>
  <c r="L13" i="25"/>
  <c r="L11" i="25"/>
  <c r="L10" i="25"/>
  <c r="L9" i="25"/>
  <c r="L8" i="25"/>
  <c r="L7" i="25"/>
  <c r="J49" i="25"/>
  <c r="I49" i="25"/>
  <c r="G49" i="25"/>
  <c r="J48" i="25"/>
  <c r="I48" i="25"/>
  <c r="G48" i="25"/>
  <c r="J47" i="25"/>
  <c r="I47" i="25"/>
  <c r="G47" i="25"/>
  <c r="J46" i="25"/>
  <c r="I46" i="25"/>
  <c r="G46" i="25"/>
  <c r="J45" i="25"/>
  <c r="I45" i="25"/>
  <c r="G45" i="25"/>
  <c r="J44" i="25"/>
  <c r="I44" i="25"/>
  <c r="G44" i="25"/>
  <c r="J43" i="25"/>
  <c r="I43" i="25"/>
  <c r="G43" i="25"/>
  <c r="J42" i="25"/>
  <c r="I42" i="25"/>
  <c r="G42" i="25"/>
  <c r="J41" i="25"/>
  <c r="I41" i="25"/>
  <c r="G41" i="25"/>
  <c r="J40" i="25"/>
  <c r="I40" i="25"/>
  <c r="G40" i="25"/>
  <c r="J39" i="25"/>
  <c r="I39" i="25"/>
  <c r="G39" i="25"/>
  <c r="J38" i="25"/>
  <c r="I38" i="25"/>
  <c r="G38" i="25"/>
  <c r="J37" i="25"/>
  <c r="I37" i="25"/>
  <c r="G37" i="25"/>
  <c r="J36" i="25"/>
  <c r="I36" i="25"/>
  <c r="G36" i="25"/>
  <c r="J35" i="25"/>
  <c r="I35" i="25"/>
  <c r="G35" i="25"/>
  <c r="J34" i="25"/>
  <c r="I34" i="25"/>
  <c r="G34" i="25"/>
  <c r="J33" i="25"/>
  <c r="I33" i="25"/>
  <c r="G33" i="25"/>
  <c r="J32" i="25"/>
  <c r="I32" i="25"/>
  <c r="G32" i="25"/>
  <c r="J31" i="25"/>
  <c r="I31" i="25"/>
  <c r="G31" i="25"/>
  <c r="J30" i="25"/>
  <c r="I30" i="25"/>
  <c r="G30" i="25"/>
  <c r="J29" i="25"/>
  <c r="I29" i="25"/>
  <c r="G29" i="25"/>
  <c r="J28" i="25"/>
  <c r="I28" i="25"/>
  <c r="G28" i="25"/>
  <c r="J27" i="25"/>
  <c r="I27" i="25"/>
  <c r="G27" i="25"/>
  <c r="J26" i="25"/>
  <c r="I26" i="25"/>
  <c r="G26" i="25"/>
  <c r="J25" i="25"/>
  <c r="I25" i="25"/>
  <c r="G25" i="25"/>
  <c r="J24" i="25"/>
  <c r="I24" i="25"/>
  <c r="G24" i="25"/>
  <c r="J23" i="25"/>
  <c r="I23" i="25"/>
  <c r="G23" i="25"/>
  <c r="J22" i="25"/>
  <c r="I22" i="25"/>
  <c r="G22" i="25"/>
  <c r="J21" i="25"/>
  <c r="I21" i="25"/>
  <c r="G21" i="25"/>
  <c r="J20" i="25"/>
  <c r="I20" i="25"/>
  <c r="G20" i="25"/>
  <c r="J19" i="25"/>
  <c r="I19" i="25"/>
  <c r="G19" i="25"/>
  <c r="J18" i="25"/>
  <c r="I18" i="25"/>
  <c r="G18" i="25"/>
  <c r="J17" i="25"/>
  <c r="I17" i="25"/>
  <c r="G17" i="25"/>
  <c r="J16" i="25"/>
  <c r="I16" i="25"/>
  <c r="G16" i="25"/>
  <c r="J15" i="25"/>
  <c r="I15" i="25"/>
  <c r="G15" i="25"/>
  <c r="J14" i="25"/>
  <c r="I14" i="25"/>
  <c r="G14" i="25"/>
  <c r="J13" i="25"/>
  <c r="I13" i="25"/>
  <c r="G13" i="25"/>
  <c r="J12" i="25"/>
  <c r="I12" i="25"/>
  <c r="J11" i="25"/>
  <c r="I11" i="25"/>
  <c r="G11" i="25"/>
  <c r="J10" i="25"/>
  <c r="I10" i="25"/>
  <c r="G10" i="25"/>
  <c r="J9" i="25"/>
  <c r="I9" i="25"/>
  <c r="G9" i="25"/>
  <c r="J8" i="25"/>
  <c r="I8" i="25"/>
  <c r="G8" i="25"/>
  <c r="J7" i="25"/>
  <c r="I7" i="25"/>
  <c r="G7" i="25"/>
  <c r="J43" i="41"/>
  <c r="G43" i="41"/>
  <c r="J42" i="41"/>
  <c r="G42" i="41"/>
  <c r="J41" i="41"/>
  <c r="G41" i="41"/>
  <c r="J40" i="41"/>
  <c r="G40" i="41"/>
  <c r="J39" i="41"/>
  <c r="G39" i="41"/>
  <c r="J36" i="41"/>
  <c r="G36" i="41"/>
  <c r="J35" i="41"/>
  <c r="G35" i="41"/>
  <c r="J34" i="41"/>
  <c r="G34" i="41"/>
  <c r="J33" i="41"/>
  <c r="G33" i="41"/>
  <c r="J32" i="41"/>
  <c r="G32" i="41"/>
  <c r="J31" i="41"/>
  <c r="G31" i="41"/>
  <c r="J30" i="41"/>
  <c r="G30" i="41"/>
  <c r="J29" i="41"/>
  <c r="G29" i="41"/>
  <c r="J28" i="41"/>
  <c r="G28" i="41"/>
  <c r="J27" i="41"/>
  <c r="G27" i="41"/>
  <c r="J25" i="41"/>
  <c r="G25" i="41"/>
  <c r="J24" i="41"/>
  <c r="G24" i="41"/>
  <c r="J23" i="41"/>
  <c r="G23" i="41"/>
  <c r="J22" i="41"/>
  <c r="G22" i="41"/>
  <c r="J21" i="41"/>
  <c r="G21" i="41"/>
  <c r="J20" i="41"/>
  <c r="G20" i="41"/>
  <c r="J19" i="41"/>
  <c r="G19" i="41"/>
  <c r="J18" i="41"/>
  <c r="G18" i="41"/>
  <c r="J17" i="41"/>
  <c r="G17" i="41"/>
  <c r="J16" i="41"/>
  <c r="G16" i="41"/>
  <c r="J15" i="41"/>
  <c r="G15" i="41"/>
  <c r="J14" i="41"/>
  <c r="G14" i="41"/>
  <c r="J13" i="41"/>
  <c r="G13" i="41"/>
  <c r="J12" i="41"/>
  <c r="G12" i="41"/>
  <c r="J11" i="41"/>
  <c r="G11" i="41"/>
  <c r="J10" i="41"/>
  <c r="G10" i="41"/>
  <c r="J9" i="41"/>
  <c r="G9" i="41"/>
  <c r="J8" i="41"/>
  <c r="G8" i="41"/>
  <c r="J7" i="41"/>
  <c r="G7" i="41"/>
  <c r="CA6" i="41"/>
  <c r="CA5" i="41"/>
  <c r="CA4" i="41"/>
  <c r="CA3" i="41"/>
  <c r="BW6" i="41"/>
  <c r="BW5" i="41"/>
  <c r="BW4" i="41"/>
  <c r="BW3" i="41"/>
  <c r="BS6" i="41"/>
  <c r="BS5" i="41"/>
  <c r="BS4" i="41"/>
  <c r="BS3" i="41"/>
  <c r="BO6" i="41"/>
  <c r="BO5" i="41"/>
  <c r="BO4" i="41"/>
  <c r="BO3" i="41"/>
  <c r="BK6" i="41"/>
  <c r="BK5" i="41"/>
  <c r="BK4" i="41"/>
  <c r="BK3" i="41"/>
  <c r="BD6" i="41"/>
  <c r="BD5" i="41"/>
  <c r="BD4" i="41"/>
  <c r="BD3" i="41"/>
  <c r="AZ6" i="41"/>
  <c r="AZ5" i="41"/>
  <c r="AZ4" i="41"/>
  <c r="AZ3" i="41"/>
  <c r="AV6" i="41"/>
  <c r="AV5" i="41"/>
  <c r="AV4" i="41"/>
  <c r="AV3" i="41"/>
  <c r="AR6" i="41"/>
  <c r="AR5" i="41"/>
  <c r="AR4" i="41"/>
  <c r="AR3" i="41"/>
  <c r="AN6" i="41"/>
  <c r="AN5" i="41"/>
  <c r="AN4" i="41"/>
  <c r="AN3" i="41"/>
  <c r="AJ6" i="41"/>
  <c r="AJ5" i="41"/>
  <c r="AJ4" i="41"/>
  <c r="AJ3" i="41"/>
  <c r="AF6" i="41"/>
  <c r="AF5" i="41"/>
  <c r="AF4" i="41"/>
  <c r="AF3" i="41"/>
  <c r="AB6" i="41"/>
  <c r="AB5" i="41"/>
  <c r="AB4" i="41"/>
  <c r="AB3" i="41"/>
  <c r="X6" i="41"/>
  <c r="X5" i="41"/>
  <c r="X4" i="41"/>
  <c r="X3" i="41"/>
  <c r="T6" i="41"/>
  <c r="T5" i="41"/>
  <c r="T4" i="41"/>
  <c r="T3" i="41"/>
  <c r="P6" i="41"/>
  <c r="P5" i="41"/>
  <c r="P4" i="41"/>
  <c r="P3" i="41"/>
  <c r="L6" i="41"/>
  <c r="L5" i="41"/>
  <c r="L4" i="41"/>
  <c r="L3" i="41"/>
  <c r="J60" i="58"/>
  <c r="G60" i="58"/>
  <c r="J59" i="58"/>
  <c r="G59" i="58"/>
  <c r="J58" i="58"/>
  <c r="G58" i="58"/>
  <c r="J57" i="58"/>
  <c r="G57" i="58"/>
  <c r="J56" i="58"/>
  <c r="G56" i="58"/>
  <c r="J55" i="58"/>
  <c r="G55" i="58"/>
  <c r="J54" i="58"/>
  <c r="G54" i="58"/>
  <c r="J53" i="58"/>
  <c r="G53" i="58"/>
  <c r="J52" i="58"/>
  <c r="G52" i="58"/>
  <c r="J51" i="58"/>
  <c r="G51" i="58"/>
  <c r="J50" i="58"/>
  <c r="G50" i="58"/>
  <c r="J47" i="58"/>
  <c r="G47" i="58"/>
  <c r="J46" i="58"/>
  <c r="G46" i="58"/>
  <c r="J45" i="58"/>
  <c r="G45" i="58"/>
  <c r="J44" i="58"/>
  <c r="G44" i="58"/>
  <c r="J43" i="58"/>
  <c r="G43" i="58"/>
  <c r="J42" i="58"/>
  <c r="G42" i="58"/>
  <c r="J41" i="58"/>
  <c r="G41" i="58"/>
  <c r="J40" i="58"/>
  <c r="G40" i="58"/>
  <c r="J39" i="58"/>
  <c r="G39" i="58"/>
  <c r="J38" i="58"/>
  <c r="G38" i="58"/>
  <c r="J36" i="58"/>
  <c r="G36" i="58"/>
  <c r="J35" i="58"/>
  <c r="G35" i="58"/>
  <c r="J34" i="58"/>
  <c r="G34" i="58"/>
  <c r="J33" i="58"/>
  <c r="G33" i="58"/>
  <c r="J32" i="58"/>
  <c r="G32" i="58"/>
  <c r="J31" i="58"/>
  <c r="G31" i="58"/>
  <c r="J30" i="58"/>
  <c r="G30" i="58"/>
  <c r="J29" i="58"/>
  <c r="G29" i="58"/>
  <c r="J28" i="58"/>
  <c r="G28" i="58"/>
  <c r="J27" i="58"/>
  <c r="G27" i="58"/>
  <c r="J26" i="58"/>
  <c r="G26" i="58"/>
  <c r="J25" i="58"/>
  <c r="G25" i="58"/>
  <c r="J24" i="58"/>
  <c r="G24" i="58"/>
  <c r="J23" i="58"/>
  <c r="G23" i="58"/>
  <c r="J22" i="58"/>
  <c r="G22" i="58"/>
  <c r="J21" i="58"/>
  <c r="G21" i="58"/>
  <c r="J20" i="58"/>
  <c r="G20" i="58"/>
  <c r="J19" i="58"/>
  <c r="G19" i="58"/>
  <c r="J18" i="58"/>
  <c r="G18" i="58"/>
  <c r="J17" i="58"/>
  <c r="G17" i="58"/>
  <c r="J16" i="58"/>
  <c r="G16" i="58"/>
  <c r="J15" i="58"/>
  <c r="G15" i="58"/>
  <c r="J9" i="58"/>
  <c r="G9" i="58"/>
  <c r="J8" i="58"/>
  <c r="G8" i="58"/>
  <c r="J7" i="58"/>
  <c r="G7" i="58"/>
  <c r="CY6" i="58"/>
  <c r="CY5" i="58"/>
  <c r="CY4" i="58"/>
  <c r="CY3" i="58"/>
  <c r="CU6" i="58"/>
  <c r="CU5" i="58"/>
  <c r="CU4" i="58"/>
  <c r="CU3" i="58"/>
  <c r="CQ6" i="58"/>
  <c r="CQ5" i="58"/>
  <c r="CQ4" i="58"/>
  <c r="CQ3" i="58"/>
  <c r="CM6" i="58"/>
  <c r="CM5" i="58"/>
  <c r="CM4" i="58"/>
  <c r="CM3" i="58"/>
  <c r="CI6" i="58"/>
  <c r="CI5" i="58"/>
  <c r="CI4" i="58"/>
  <c r="CI3" i="58"/>
  <c r="CE6" i="58"/>
  <c r="CE5" i="58"/>
  <c r="CE4" i="58"/>
  <c r="CE3" i="58"/>
  <c r="CA6" i="58"/>
  <c r="CA5" i="58"/>
  <c r="CA4" i="58"/>
  <c r="CA3" i="58"/>
  <c r="BW6" i="58"/>
  <c r="BW5" i="58"/>
  <c r="BW4" i="58"/>
  <c r="BW3" i="58"/>
  <c r="BS6" i="58"/>
  <c r="BS5" i="58"/>
  <c r="BS4" i="58"/>
  <c r="BS3" i="58"/>
  <c r="BO6" i="58"/>
  <c r="BO5" i="58"/>
  <c r="BO4" i="58"/>
  <c r="BO3" i="58"/>
  <c r="BK6" i="58"/>
  <c r="BK5" i="58"/>
  <c r="BK4" i="58"/>
  <c r="BK3" i="58"/>
  <c r="BD6" i="58"/>
  <c r="BD5" i="58"/>
  <c r="BD4" i="58"/>
  <c r="BD3" i="58"/>
  <c r="AZ6" i="58"/>
  <c r="AZ5" i="58"/>
  <c r="AZ4" i="58"/>
  <c r="AZ3" i="58"/>
  <c r="AV6" i="58"/>
  <c r="AV5" i="58"/>
  <c r="AV4" i="58"/>
  <c r="AV3" i="58"/>
  <c r="AR6" i="58"/>
  <c r="AR5" i="58"/>
  <c r="AR4" i="58"/>
  <c r="AR3" i="58"/>
  <c r="AN6" i="58"/>
  <c r="AN5" i="58"/>
  <c r="AN4" i="58"/>
  <c r="AN3" i="58"/>
  <c r="AJ6" i="58"/>
  <c r="AJ5" i="58"/>
  <c r="AJ4" i="58"/>
  <c r="AJ3" i="58"/>
  <c r="AF6" i="58"/>
  <c r="AF5" i="58"/>
  <c r="AF4" i="58"/>
  <c r="AF3" i="58"/>
  <c r="AB6" i="58"/>
  <c r="AB5" i="58"/>
  <c r="AB4" i="58"/>
  <c r="AB3" i="58"/>
  <c r="X6" i="58"/>
  <c r="X5" i="58"/>
  <c r="X4" i="58"/>
  <c r="X3" i="58"/>
  <c r="T6" i="58"/>
  <c r="T5" i="58"/>
  <c r="T4" i="58"/>
  <c r="T3" i="58"/>
  <c r="P6" i="58"/>
  <c r="P5" i="58"/>
  <c r="P4" i="58"/>
  <c r="P3" i="58"/>
  <c r="L6" i="58"/>
  <c r="L5" i="58"/>
  <c r="L4" i="58"/>
  <c r="L3" i="58"/>
  <c r="J41" i="29"/>
  <c r="G41" i="29"/>
  <c r="J28" i="29"/>
  <c r="G28" i="29"/>
  <c r="J27" i="29"/>
  <c r="G27" i="29"/>
  <c r="J26" i="29"/>
  <c r="G26" i="29"/>
  <c r="J25" i="29"/>
  <c r="G25" i="29"/>
  <c r="J24" i="29"/>
  <c r="G24" i="29"/>
  <c r="J23" i="29"/>
  <c r="G23" i="29"/>
  <c r="J22" i="29"/>
  <c r="G22" i="29"/>
  <c r="J21" i="29"/>
  <c r="G21" i="29"/>
  <c r="J20" i="29"/>
  <c r="G20" i="29"/>
  <c r="J19" i="29"/>
  <c r="G19" i="29"/>
  <c r="J18" i="29"/>
  <c r="G18" i="29"/>
  <c r="J17" i="29"/>
  <c r="G17" i="29"/>
  <c r="J16" i="29"/>
  <c r="G16" i="29"/>
  <c r="J15" i="29"/>
  <c r="G15" i="29"/>
  <c r="J14" i="29"/>
  <c r="G14" i="29"/>
  <c r="J13" i="29"/>
  <c r="G13" i="29"/>
  <c r="J12" i="29"/>
  <c r="G12" i="29"/>
  <c r="J11" i="29"/>
  <c r="G11" i="29"/>
  <c r="J10" i="29"/>
  <c r="G10" i="29"/>
  <c r="J9" i="29"/>
  <c r="G9" i="29"/>
  <c r="J8" i="29"/>
  <c r="G8" i="29"/>
  <c r="J7" i="29"/>
  <c r="G7" i="29"/>
  <c r="AB6" i="29"/>
  <c r="AB5" i="29"/>
  <c r="AB4" i="29"/>
  <c r="AB3" i="29"/>
  <c r="X6" i="29"/>
  <c r="X5" i="29"/>
  <c r="X4" i="29"/>
  <c r="X3" i="29"/>
  <c r="T6" i="29"/>
  <c r="T5" i="29"/>
  <c r="T4" i="29"/>
  <c r="T3" i="29"/>
  <c r="P6" i="29"/>
  <c r="P5" i="29"/>
  <c r="P4" i="29"/>
  <c r="P3" i="29"/>
  <c r="L6" i="29"/>
  <c r="L5" i="29"/>
  <c r="L4" i="29"/>
  <c r="L3" i="29"/>
  <c r="J13" i="56"/>
  <c r="G13" i="56"/>
  <c r="J12" i="56"/>
  <c r="G12" i="56"/>
  <c r="J11" i="56"/>
  <c r="G11" i="56"/>
  <c r="J10" i="56"/>
  <c r="G10" i="56"/>
  <c r="J9" i="56"/>
  <c r="G9" i="56"/>
  <c r="J8" i="56"/>
  <c r="G8" i="56"/>
  <c r="J7" i="56"/>
  <c r="G7" i="56"/>
  <c r="J44" i="26"/>
  <c r="G44" i="26"/>
  <c r="J36" i="26"/>
  <c r="G36" i="26"/>
  <c r="J35" i="26"/>
  <c r="G35" i="26"/>
  <c r="J34" i="26"/>
  <c r="G34" i="26"/>
  <c r="J33" i="26"/>
  <c r="G33" i="26"/>
  <c r="J32" i="26"/>
  <c r="G32" i="26"/>
  <c r="J31" i="26"/>
  <c r="G31" i="26"/>
  <c r="J30" i="26"/>
  <c r="G30" i="26"/>
  <c r="J29" i="26"/>
  <c r="G29" i="26"/>
  <c r="J28" i="26"/>
  <c r="G28" i="26"/>
  <c r="J27" i="26"/>
  <c r="G27" i="26"/>
  <c r="J26" i="26"/>
  <c r="G26" i="26"/>
  <c r="J25" i="26"/>
  <c r="G25" i="26"/>
  <c r="J24" i="26"/>
  <c r="G24" i="26"/>
  <c r="J23" i="26"/>
  <c r="G23" i="26"/>
  <c r="J22" i="26"/>
  <c r="G22" i="26"/>
  <c r="J21" i="26"/>
  <c r="G21" i="26"/>
  <c r="J20" i="26"/>
  <c r="G20" i="26"/>
  <c r="J19" i="26"/>
  <c r="G19" i="26"/>
  <c r="J18" i="26"/>
  <c r="G18" i="26"/>
  <c r="J17" i="26"/>
  <c r="G17" i="26"/>
  <c r="J16" i="26"/>
  <c r="G16" i="26"/>
  <c r="J13" i="26"/>
  <c r="G13" i="26"/>
  <c r="J12" i="26"/>
  <c r="G12" i="26"/>
  <c r="J11" i="26"/>
  <c r="G11" i="26"/>
  <c r="J10" i="26"/>
  <c r="G10" i="26"/>
  <c r="J9" i="26"/>
  <c r="G9" i="26"/>
  <c r="J8" i="26"/>
  <c r="G8" i="26"/>
  <c r="J7" i="26"/>
  <c r="G7" i="26"/>
  <c r="P6" i="26"/>
  <c r="P5" i="26"/>
  <c r="P4" i="26"/>
  <c r="P3" i="26"/>
  <c r="L6" i="26"/>
  <c r="L5" i="26"/>
  <c r="L4" i="26"/>
  <c r="L3" i="26"/>
  <c r="K58" i="25"/>
  <c r="H58" i="25"/>
  <c r="K57" i="25"/>
  <c r="H57" i="25"/>
  <c r="K49" i="25"/>
  <c r="H49" i="25"/>
  <c r="K48" i="25"/>
  <c r="H48" i="25"/>
  <c r="K47" i="25"/>
  <c r="H47" i="25"/>
  <c r="K46" i="25"/>
  <c r="H46" i="25"/>
  <c r="K45" i="25"/>
  <c r="H45" i="25"/>
  <c r="K44" i="25"/>
  <c r="H44" i="25"/>
  <c r="K43" i="25"/>
  <c r="H43" i="25"/>
  <c r="K42" i="25"/>
  <c r="H42" i="25"/>
  <c r="K41" i="25"/>
  <c r="H41" i="25"/>
  <c r="K40" i="25"/>
  <c r="H40" i="25"/>
  <c r="K39" i="25"/>
  <c r="H39" i="25"/>
  <c r="K38" i="25"/>
  <c r="H38" i="25"/>
  <c r="K37" i="25"/>
  <c r="H37" i="25"/>
  <c r="K36" i="25"/>
  <c r="H36" i="25"/>
  <c r="K35" i="25"/>
  <c r="H35" i="25"/>
  <c r="K34" i="25"/>
  <c r="H34" i="25"/>
  <c r="K33" i="25"/>
  <c r="H33" i="25"/>
  <c r="K32" i="25"/>
  <c r="H32" i="25"/>
  <c r="K31" i="25"/>
  <c r="H31" i="25"/>
  <c r="K30" i="25"/>
  <c r="H30" i="25"/>
  <c r="K29" i="25"/>
  <c r="H29" i="25"/>
  <c r="K28" i="25"/>
  <c r="H28" i="25"/>
  <c r="K27" i="25"/>
  <c r="H27" i="25"/>
  <c r="K26" i="25"/>
  <c r="H26" i="25"/>
  <c r="K25" i="25"/>
  <c r="H25" i="25"/>
  <c r="K24" i="25"/>
  <c r="H24" i="25"/>
  <c r="K23" i="25"/>
  <c r="H23" i="25"/>
  <c r="K22" i="25"/>
  <c r="H22" i="25"/>
  <c r="K21" i="25"/>
  <c r="H21" i="25"/>
  <c r="K20" i="25"/>
  <c r="H20" i="25"/>
  <c r="K19" i="25"/>
  <c r="H19" i="25"/>
  <c r="K18" i="25"/>
  <c r="H18" i="25"/>
  <c r="K17" i="25"/>
  <c r="H17" i="25"/>
  <c r="K16" i="25"/>
  <c r="H16" i="25"/>
  <c r="K15" i="25"/>
  <c r="H15" i="25"/>
  <c r="K14" i="25"/>
  <c r="H14" i="25"/>
  <c r="K13" i="25"/>
  <c r="H13" i="25"/>
  <c r="K11" i="25"/>
  <c r="H11" i="25"/>
  <c r="K10" i="25"/>
  <c r="H10" i="25"/>
  <c r="K9" i="25"/>
  <c r="H9" i="25"/>
  <c r="K8" i="25"/>
  <c r="H8" i="25"/>
  <c r="K7" i="25"/>
  <c r="H7" i="25"/>
  <c r="U6" i="25"/>
  <c r="U5" i="25"/>
  <c r="U4" i="25"/>
  <c r="U3" i="25"/>
  <c r="Q6" i="25"/>
  <c r="Q5" i="25"/>
  <c r="Q4" i="25"/>
  <c r="Q3" i="25"/>
  <c r="M6" i="25"/>
  <c r="M5" i="25"/>
  <c r="M4" i="25"/>
  <c r="M3" i="25"/>
  <c r="CY31" i="58" l="1"/>
  <c r="CV37" i="58" l="1"/>
  <c r="CV36" i="58"/>
  <c r="CV35" i="58"/>
  <c r="CV34" i="58"/>
  <c r="CV33" i="58"/>
  <c r="CV32" i="58"/>
  <c r="CV31" i="58"/>
  <c r="CV30" i="58"/>
  <c r="CV29" i="58"/>
  <c r="CV28" i="58"/>
  <c r="CV27" i="58"/>
  <c r="CV26" i="58"/>
  <c r="CV25" i="58"/>
  <c r="CV24" i="58"/>
  <c r="CV23" i="58"/>
  <c r="CV22" i="58"/>
  <c r="CV21" i="58"/>
  <c r="CV20" i="58"/>
  <c r="CV19" i="58"/>
  <c r="CV18" i="58"/>
  <c r="CV17" i="58"/>
  <c r="CV16" i="58"/>
  <c r="CV15" i="58"/>
  <c r="CV14" i="58"/>
  <c r="CV13" i="58"/>
  <c r="CV12" i="58"/>
  <c r="CV11" i="58"/>
  <c r="CV10" i="58"/>
  <c r="CV9" i="58"/>
  <c r="CV8" i="58"/>
  <c r="CV7" i="58"/>
  <c r="CR37" i="58"/>
  <c r="CR36" i="58"/>
  <c r="CR35" i="58"/>
  <c r="CR34" i="58"/>
  <c r="CR33" i="58"/>
  <c r="CR32" i="58"/>
  <c r="CR31" i="58"/>
  <c r="CR30" i="58"/>
  <c r="CR29" i="58"/>
  <c r="CR28" i="58"/>
  <c r="CR27" i="58"/>
  <c r="CR26" i="58"/>
  <c r="CR25" i="58"/>
  <c r="CR24" i="58"/>
  <c r="CR23" i="58"/>
  <c r="CR22" i="58"/>
  <c r="CR21" i="58"/>
  <c r="CR20" i="58"/>
  <c r="CR19" i="58"/>
  <c r="CR18" i="58"/>
  <c r="CR17" i="58"/>
  <c r="CR16" i="58"/>
  <c r="CR15" i="58"/>
  <c r="CR14" i="58"/>
  <c r="CR13" i="58"/>
  <c r="CR12" i="58"/>
  <c r="CR11" i="58"/>
  <c r="CR10" i="58"/>
  <c r="CR9" i="58"/>
  <c r="CR8" i="58"/>
  <c r="CR7" i="58"/>
  <c r="CN37" i="58"/>
  <c r="CN36" i="58"/>
  <c r="CN35" i="58"/>
  <c r="CN34" i="58"/>
  <c r="CN33" i="58"/>
  <c r="CN32" i="58"/>
  <c r="CN31" i="58"/>
  <c r="CN30" i="58"/>
  <c r="CN29" i="58"/>
  <c r="CN28" i="58"/>
  <c r="CN27" i="58"/>
  <c r="CN26" i="58"/>
  <c r="CN25" i="58"/>
  <c r="CN24" i="58"/>
  <c r="CN23" i="58"/>
  <c r="CN22" i="58"/>
  <c r="CN21" i="58"/>
  <c r="CN20" i="58"/>
  <c r="CN19" i="58"/>
  <c r="CN18" i="58"/>
  <c r="CN17" i="58"/>
  <c r="CN16" i="58"/>
  <c r="CN15" i="58"/>
  <c r="CN14" i="58"/>
  <c r="CN13" i="58"/>
  <c r="CN12" i="58"/>
  <c r="CN11" i="58"/>
  <c r="CN10" i="58"/>
  <c r="CN9" i="58"/>
  <c r="CN8" i="58"/>
  <c r="CN7" i="58"/>
  <c r="CJ37" i="58"/>
  <c r="CJ36" i="58"/>
  <c r="CJ35" i="58"/>
  <c r="CJ34" i="58"/>
  <c r="CJ33" i="58"/>
  <c r="CJ32" i="58"/>
  <c r="CJ31" i="58"/>
  <c r="CJ30" i="58"/>
  <c r="CJ29" i="58"/>
  <c r="CJ28" i="58"/>
  <c r="CJ27" i="58"/>
  <c r="CJ26" i="58"/>
  <c r="CJ25" i="58"/>
  <c r="CJ24" i="58"/>
  <c r="CJ23" i="58"/>
  <c r="CJ22" i="58"/>
  <c r="CJ21" i="58"/>
  <c r="CJ20" i="58"/>
  <c r="CJ19" i="58"/>
  <c r="CJ18" i="58"/>
  <c r="CJ17" i="58"/>
  <c r="CJ16" i="58"/>
  <c r="CJ15" i="58"/>
  <c r="CJ14" i="58"/>
  <c r="CJ13" i="58"/>
  <c r="CJ12" i="58"/>
  <c r="CJ11" i="58"/>
  <c r="CJ10" i="58"/>
  <c r="CJ9" i="58"/>
  <c r="CJ8" i="58"/>
  <c r="CJ7" i="58"/>
  <c r="CF37" i="58"/>
  <c r="CF36" i="58"/>
  <c r="CF35" i="58"/>
  <c r="CF34" i="58"/>
  <c r="CF33" i="58"/>
  <c r="CF32" i="58"/>
  <c r="CF31" i="58"/>
  <c r="CF30" i="58"/>
  <c r="CF29" i="58"/>
  <c r="CF28" i="58"/>
  <c r="CF27" i="58"/>
  <c r="CF26" i="58"/>
  <c r="CF25" i="58"/>
  <c r="CF24" i="58"/>
  <c r="CF23" i="58"/>
  <c r="CF22" i="58"/>
  <c r="CF21" i="58"/>
  <c r="CF20" i="58"/>
  <c r="CF19" i="58"/>
  <c r="CF18" i="58"/>
  <c r="CF17" i="58"/>
  <c r="CF16" i="58"/>
  <c r="CF15" i="58"/>
  <c r="CF14" i="58"/>
  <c r="CF13" i="58"/>
  <c r="CF12" i="58"/>
  <c r="CF11" i="58"/>
  <c r="CF10" i="58"/>
  <c r="CF9" i="58"/>
  <c r="CF8" i="58"/>
  <c r="CF7" i="58"/>
  <c r="CB37" i="58"/>
  <c r="CB36" i="58"/>
  <c r="CB35" i="58"/>
  <c r="CB34" i="58"/>
  <c r="CB33" i="58"/>
  <c r="CB32" i="58"/>
  <c r="CB31" i="58"/>
  <c r="CB30" i="58"/>
  <c r="CB29" i="58"/>
  <c r="CB28" i="58"/>
  <c r="CB27" i="58"/>
  <c r="CB26" i="58"/>
  <c r="CB25" i="58"/>
  <c r="CB24" i="58"/>
  <c r="CB23" i="58"/>
  <c r="CB22" i="58"/>
  <c r="CB21" i="58"/>
  <c r="CB20" i="58"/>
  <c r="CB19" i="58"/>
  <c r="CB18" i="58"/>
  <c r="CB17" i="58"/>
  <c r="CB16" i="58"/>
  <c r="CB15" i="58"/>
  <c r="CB14" i="58"/>
  <c r="CB13" i="58"/>
  <c r="CB12" i="58"/>
  <c r="CB11" i="58"/>
  <c r="CB10" i="58"/>
  <c r="CB9" i="58"/>
  <c r="CB8" i="58"/>
  <c r="CB7" i="58"/>
  <c r="CU1" i="58"/>
  <c r="CU40" i="58"/>
  <c r="CU35" i="58"/>
  <c r="CU34" i="58"/>
  <c r="CU33" i="58"/>
  <c r="CU32" i="58"/>
  <c r="CU31" i="58"/>
  <c r="CU30" i="58"/>
  <c r="CU29" i="58"/>
  <c r="CU26" i="58"/>
  <c r="CU25" i="58"/>
  <c r="CU24" i="58"/>
  <c r="CU23" i="58"/>
  <c r="CU22" i="58"/>
  <c r="CU21" i="58"/>
  <c r="CU20" i="58"/>
  <c r="CU19" i="58"/>
  <c r="CU18" i="58"/>
  <c r="CU17" i="58"/>
  <c r="CU16" i="58"/>
  <c r="CU15" i="58"/>
  <c r="CU14" i="58"/>
  <c r="CU13" i="58"/>
  <c r="CU12" i="58"/>
  <c r="CU11" i="58"/>
  <c r="CW6" i="58"/>
  <c r="CV6" i="58"/>
  <c r="CW5" i="58"/>
  <c r="CV5" i="58"/>
  <c r="CW4" i="58"/>
  <c r="CV4" i="58"/>
  <c r="CW3" i="58"/>
  <c r="CV3" i="58"/>
  <c r="CW2" i="58"/>
  <c r="CV2" i="58"/>
  <c r="CY60" i="58"/>
  <c r="BS60" i="58"/>
  <c r="AB60" i="58"/>
  <c r="P60" i="58"/>
  <c r="CY36" i="58"/>
  <c r="CM36" i="58"/>
  <c r="CI36" i="58"/>
  <c r="CE36" i="58"/>
  <c r="CA36" i="58"/>
  <c r="BX36" i="58"/>
  <c r="BT36" i="58"/>
  <c r="BP36" i="58"/>
  <c r="BL36" i="58"/>
  <c r="BH36" i="58"/>
  <c r="BE36" i="58"/>
  <c r="BA36" i="58"/>
  <c r="AW36" i="58"/>
  <c r="AS36" i="58"/>
  <c r="AO36" i="58"/>
  <c r="AK36" i="58"/>
  <c r="AG36" i="58"/>
  <c r="AC36" i="58"/>
  <c r="Y36" i="58"/>
  <c r="U36" i="58"/>
  <c r="Q36" i="58"/>
  <c r="M36" i="58"/>
  <c r="CA1" i="58" l="1"/>
  <c r="CE1" i="58"/>
  <c r="CI1" i="58"/>
  <c r="CM1" i="58"/>
  <c r="CQ1" i="58"/>
  <c r="CY35" i="58"/>
  <c r="CM35" i="58"/>
  <c r="CI35" i="58"/>
  <c r="CE35" i="58"/>
  <c r="CA35" i="58"/>
  <c r="BX35" i="58"/>
  <c r="BT35" i="58"/>
  <c r="BP35" i="58"/>
  <c r="BL35" i="58"/>
  <c r="BH35" i="58"/>
  <c r="BE35" i="58"/>
  <c r="BA35" i="58"/>
  <c r="AW35" i="58"/>
  <c r="AS35" i="58"/>
  <c r="AO35" i="58"/>
  <c r="AK35" i="58"/>
  <c r="AG35" i="58"/>
  <c r="AC35" i="58"/>
  <c r="Y35" i="58"/>
  <c r="U35" i="58"/>
  <c r="Q35" i="58"/>
  <c r="M35" i="58"/>
  <c r="CY34" i="58"/>
  <c r="CQ34" i="58"/>
  <c r="CM34" i="58"/>
  <c r="CI34" i="58"/>
  <c r="CA34" i="58"/>
  <c r="BX34" i="58"/>
  <c r="BT34" i="58"/>
  <c r="BP34" i="58"/>
  <c r="BL34" i="58"/>
  <c r="BH34" i="58"/>
  <c r="BE34" i="58"/>
  <c r="BA34" i="58"/>
  <c r="AW34" i="58"/>
  <c r="AS34" i="58"/>
  <c r="AO34" i="58"/>
  <c r="AK34" i="58"/>
  <c r="AG34" i="58"/>
  <c r="AC34" i="58"/>
  <c r="Y34" i="58"/>
  <c r="U34" i="58"/>
  <c r="Q34" i="58"/>
  <c r="M34" i="58"/>
  <c r="CY33" i="58"/>
  <c r="CQ33" i="58"/>
  <c r="CM33" i="58"/>
  <c r="CI33" i="58"/>
  <c r="CE33" i="58"/>
  <c r="BX33" i="58"/>
  <c r="BT33" i="58"/>
  <c r="BP33" i="58"/>
  <c r="BL33" i="58"/>
  <c r="BH33" i="58"/>
  <c r="BE33" i="58"/>
  <c r="BA33" i="58"/>
  <c r="AW33" i="58"/>
  <c r="AS33" i="58"/>
  <c r="AO33" i="58"/>
  <c r="AK33" i="58"/>
  <c r="AG33" i="58"/>
  <c r="AC33" i="58"/>
  <c r="Y33" i="58"/>
  <c r="U33" i="58"/>
  <c r="Q33" i="58"/>
  <c r="M33" i="58"/>
  <c r="DD32" i="58"/>
  <c r="CY32" i="58"/>
  <c r="CQ32" i="58"/>
  <c r="CI32" i="58"/>
  <c r="CE32" i="58"/>
  <c r="CA32" i="58"/>
  <c r="BX32" i="58"/>
  <c r="BT32" i="58"/>
  <c r="BP32" i="58"/>
  <c r="BL32" i="58"/>
  <c r="BH32" i="58"/>
  <c r="BE32" i="58"/>
  <c r="BA32" i="58"/>
  <c r="AW32" i="58"/>
  <c r="AS32" i="58"/>
  <c r="AO32" i="58"/>
  <c r="AK32" i="58"/>
  <c r="AG32" i="58"/>
  <c r="AC32" i="58"/>
  <c r="Y32" i="58"/>
  <c r="U32" i="58"/>
  <c r="Q32" i="58"/>
  <c r="M32" i="58"/>
  <c r="DD31" i="58"/>
  <c r="CQ31" i="58"/>
  <c r="CM31" i="58"/>
  <c r="CE31" i="58"/>
  <c r="CA31" i="58"/>
  <c r="BX31" i="58"/>
  <c r="BT31" i="58"/>
  <c r="BP31" i="58"/>
  <c r="BL31" i="58"/>
  <c r="BH31" i="58"/>
  <c r="BE31" i="58"/>
  <c r="BA31" i="58"/>
  <c r="AW31" i="58"/>
  <c r="AS31" i="58"/>
  <c r="AO31" i="58"/>
  <c r="AK31" i="58"/>
  <c r="AG31" i="58"/>
  <c r="AC31" i="58"/>
  <c r="Y31" i="58"/>
  <c r="U31" i="58"/>
  <c r="Q31" i="58"/>
  <c r="M31" i="58"/>
  <c r="CQ10" i="58"/>
  <c r="CQ11" i="58"/>
  <c r="CQ12" i="58"/>
  <c r="CQ13" i="58"/>
  <c r="CQ14" i="58"/>
  <c r="CQ15" i="58"/>
  <c r="CQ16" i="58"/>
  <c r="CQ17" i="58"/>
  <c r="CQ18" i="58"/>
  <c r="CQ19" i="58"/>
  <c r="CQ20" i="58"/>
  <c r="CQ21" i="58"/>
  <c r="CQ22" i="58"/>
  <c r="CQ23" i="58"/>
  <c r="CQ24" i="58"/>
  <c r="CQ25" i="58"/>
  <c r="CQ26" i="58"/>
  <c r="CQ28" i="58"/>
  <c r="CQ29" i="58"/>
  <c r="CQ30" i="58"/>
  <c r="CM10" i="58"/>
  <c r="CM11" i="58"/>
  <c r="CM12" i="58"/>
  <c r="CM13" i="58"/>
  <c r="CM14" i="58"/>
  <c r="CM15" i="58"/>
  <c r="CM16" i="58"/>
  <c r="CM17" i="58"/>
  <c r="CM18" i="58"/>
  <c r="CM19" i="58"/>
  <c r="CM20" i="58"/>
  <c r="CM21" i="58"/>
  <c r="CM23" i="58"/>
  <c r="CM24" i="58"/>
  <c r="CM25" i="58"/>
  <c r="CM26" i="58"/>
  <c r="CM27" i="58"/>
  <c r="CM28" i="58"/>
  <c r="CM29" i="58"/>
  <c r="CM30" i="58"/>
  <c r="CI10" i="58"/>
  <c r="CI11" i="58"/>
  <c r="CI12" i="58"/>
  <c r="CI13" i="58"/>
  <c r="CI14" i="58"/>
  <c r="CI15" i="58"/>
  <c r="CI16" i="58"/>
  <c r="CI17" i="58"/>
  <c r="CI18" i="58"/>
  <c r="CI19" i="58"/>
  <c r="CI20" i="58"/>
  <c r="CI22" i="58"/>
  <c r="CI23" i="58"/>
  <c r="CI24" i="58"/>
  <c r="CI25" i="58"/>
  <c r="CI26" i="58"/>
  <c r="CI27" i="58"/>
  <c r="CI28" i="58"/>
  <c r="CI29" i="58"/>
  <c r="CI30" i="58"/>
  <c r="CE10" i="58"/>
  <c r="CU10" i="58" s="1"/>
  <c r="CE11" i="58"/>
  <c r="CE12" i="58"/>
  <c r="CE13" i="58"/>
  <c r="CE14" i="58"/>
  <c r="CE15" i="58"/>
  <c r="CE16" i="58"/>
  <c r="CE17" i="58"/>
  <c r="CE18" i="58"/>
  <c r="CE19" i="58"/>
  <c r="CE20" i="58"/>
  <c r="CE21" i="58"/>
  <c r="CE22" i="58"/>
  <c r="CE23" i="58"/>
  <c r="CE25" i="58"/>
  <c r="CE26" i="58"/>
  <c r="CE27" i="58"/>
  <c r="CE28" i="58"/>
  <c r="CE29" i="58"/>
  <c r="CE30" i="58"/>
  <c r="CA10" i="58"/>
  <c r="CA11" i="58"/>
  <c r="CA12" i="58"/>
  <c r="CA13" i="58"/>
  <c r="CA14" i="58"/>
  <c r="CA15" i="58"/>
  <c r="CA16" i="58"/>
  <c r="CA17" i="58"/>
  <c r="CA18" i="58"/>
  <c r="CA19" i="58"/>
  <c r="CA20" i="58"/>
  <c r="CA21" i="58"/>
  <c r="CA22" i="58"/>
  <c r="CA24" i="58"/>
  <c r="CA25" i="58"/>
  <c r="CA26" i="58"/>
  <c r="CA27" i="58"/>
  <c r="CA28" i="58"/>
  <c r="CA29" i="58"/>
  <c r="CA30" i="58"/>
  <c r="CY59" i="58"/>
  <c r="BS59" i="58"/>
  <c r="AB59" i="58"/>
  <c r="AF60" i="58" s="1"/>
  <c r="P59" i="58"/>
  <c r="CY58" i="58"/>
  <c r="BS58" i="58"/>
  <c r="AB58" i="58"/>
  <c r="AF59" i="58" s="1"/>
  <c r="AJ60" i="58" s="1"/>
  <c r="P58" i="58"/>
  <c r="CY57" i="58"/>
  <c r="BS57" i="58"/>
  <c r="AB57" i="58"/>
  <c r="AF58" i="58" s="1"/>
  <c r="AJ59" i="58" s="1"/>
  <c r="AN60" i="58" s="1"/>
  <c r="P57" i="58"/>
  <c r="CY56" i="58"/>
  <c r="BS56" i="58"/>
  <c r="AB56" i="58"/>
  <c r="AF57" i="58" s="1"/>
  <c r="AJ58" i="58" s="1"/>
  <c r="AN59" i="58" s="1"/>
  <c r="AR60" i="58" s="1"/>
  <c r="P56" i="58"/>
  <c r="CY55" i="58"/>
  <c r="BS55" i="58"/>
  <c r="AB55" i="58"/>
  <c r="AF56" i="58" s="1"/>
  <c r="AJ57" i="58" s="1"/>
  <c r="AN58" i="58" s="1"/>
  <c r="AR59" i="58" s="1"/>
  <c r="AV60" i="58" s="1"/>
  <c r="P55" i="58"/>
  <c r="CQ40" i="58"/>
  <c r="CU41" i="58" s="1"/>
  <c r="CS6" i="58"/>
  <c r="CR6" i="58"/>
  <c r="CS5" i="58"/>
  <c r="CR5" i="58"/>
  <c r="CS4" i="58"/>
  <c r="CR4" i="58"/>
  <c r="CS3" i="58"/>
  <c r="CR3" i="58"/>
  <c r="CS2" i="58"/>
  <c r="CR2" i="58"/>
  <c r="CM40" i="58"/>
  <c r="CQ41" i="58" s="1"/>
  <c r="CO6" i="58"/>
  <c r="CN6" i="58"/>
  <c r="CO5" i="58"/>
  <c r="CN5" i="58"/>
  <c r="CO4" i="58"/>
  <c r="CN4" i="58"/>
  <c r="CO3" i="58"/>
  <c r="CN3" i="58"/>
  <c r="CO2" i="58"/>
  <c r="CN2" i="58"/>
  <c r="CL65" i="58"/>
  <c r="CI40" i="58"/>
  <c r="CM41" i="58" s="1"/>
  <c r="CK6" i="58"/>
  <c r="CJ6" i="58"/>
  <c r="CK5" i="58"/>
  <c r="CJ5" i="58"/>
  <c r="CK4" i="58"/>
  <c r="CJ4" i="58"/>
  <c r="CK3" i="58"/>
  <c r="CJ3" i="58"/>
  <c r="CK2" i="58"/>
  <c r="CJ2" i="58"/>
  <c r="CE40" i="58"/>
  <c r="CI41" i="58" s="1"/>
  <c r="CG6" i="58"/>
  <c r="CF6" i="58"/>
  <c r="CG5" i="58"/>
  <c r="CF5" i="58"/>
  <c r="CG4" i="58"/>
  <c r="CF4" i="58"/>
  <c r="CG3" i="58"/>
  <c r="CF3" i="58"/>
  <c r="CG2" i="58"/>
  <c r="CF2" i="58"/>
  <c r="CA40" i="58"/>
  <c r="CE41" i="58" s="1"/>
  <c r="CC6" i="58"/>
  <c r="CB6" i="58"/>
  <c r="CC5" i="58"/>
  <c r="CB5" i="58"/>
  <c r="CC4" i="58"/>
  <c r="CB4" i="58"/>
  <c r="CC3" i="58"/>
  <c r="CB3" i="58"/>
  <c r="CC2" i="58"/>
  <c r="CB2" i="58"/>
  <c r="AT13" i="25" l="1"/>
  <c r="X13" i="25" s="1"/>
  <c r="U15" i="25"/>
  <c r="U16" i="25"/>
  <c r="U17" i="25"/>
  <c r="U18" i="25"/>
  <c r="U19" i="25"/>
  <c r="U20" i="25"/>
  <c r="U21" i="25"/>
  <c r="U22" i="25"/>
  <c r="U23" i="25"/>
  <c r="U24" i="25"/>
  <c r="U25" i="25"/>
  <c r="U28" i="25"/>
  <c r="U29" i="25"/>
  <c r="U30" i="25"/>
  <c r="U31" i="25"/>
  <c r="U32" i="25"/>
  <c r="U33" i="25"/>
  <c r="U34" i="25"/>
  <c r="U35" i="25"/>
  <c r="U36" i="25"/>
  <c r="U37" i="25"/>
  <c r="U38" i="25"/>
  <c r="U39" i="25"/>
  <c r="U40" i="25"/>
  <c r="U41" i="25"/>
  <c r="U42" i="25"/>
  <c r="U46" i="25"/>
  <c r="U47" i="25"/>
  <c r="U49" i="25"/>
  <c r="U10" i="25"/>
  <c r="AT12" i="25"/>
  <c r="T12" i="25" s="1"/>
  <c r="P12" i="25"/>
  <c r="U1" i="25"/>
  <c r="U58" i="25"/>
  <c r="X12" i="25" l="1"/>
  <c r="P13" i="25"/>
  <c r="T13" i="25"/>
  <c r="AS13" i="25"/>
  <c r="W13" i="25" s="1"/>
  <c r="AR13" i="25"/>
  <c r="AR12" i="25"/>
  <c r="O13" i="25" l="1"/>
  <c r="S13" i="25"/>
  <c r="DD33" i="58" l="1"/>
  <c r="DD34" i="58"/>
  <c r="BY20" i="29" l="1"/>
  <c r="BY19" i="29"/>
  <c r="L28" i="29"/>
  <c r="L27" i="29"/>
  <c r="P28" i="29" s="1"/>
  <c r="L26" i="29"/>
  <c r="P27" i="29" s="1"/>
  <c r="T28" i="29" s="1"/>
  <c r="L25" i="29"/>
  <c r="P26" i="29" s="1"/>
  <c r="T27" i="29" s="1"/>
  <c r="X28" i="29" s="1"/>
  <c r="AS10" i="25"/>
  <c r="W10" i="25" s="1"/>
  <c r="L15" i="58"/>
  <c r="DG16" i="58"/>
  <c r="A54" i="58"/>
  <c r="A53" i="58"/>
  <c r="A52" i="58"/>
  <c r="A51" i="58"/>
  <c r="A49" i="58"/>
  <c r="A48" i="58"/>
  <c r="A14" i="56"/>
  <c r="CI11" i="41"/>
  <c r="BU13" i="29"/>
  <c r="BT13" i="29"/>
  <c r="BS13" i="29"/>
  <c r="BR13" i="29"/>
  <c r="BQ13" i="29"/>
  <c r="BP13" i="29"/>
  <c r="BU12" i="29"/>
  <c r="BT12" i="29"/>
  <c r="BS12" i="29"/>
  <c r="BR12" i="29"/>
  <c r="BQ12" i="29"/>
  <c r="BP12" i="29"/>
  <c r="BU11" i="29"/>
  <c r="BT11" i="29"/>
  <c r="BS11" i="29"/>
  <c r="BR11" i="29"/>
  <c r="BQ11" i="29"/>
  <c r="BP11" i="29"/>
  <c r="BU9" i="29"/>
  <c r="BT9" i="29"/>
  <c r="BS9" i="29"/>
  <c r="BR9" i="29"/>
  <c r="BQ9" i="29"/>
  <c r="BP9" i="29"/>
  <c r="AF16" i="26"/>
  <c r="AE16" i="26"/>
  <c r="AD16" i="26"/>
  <c r="AD33" i="26" s="1"/>
  <c r="AC16" i="26"/>
  <c r="AB16" i="26"/>
  <c r="AA16" i="26"/>
  <c r="AF33" i="26"/>
  <c r="AB33" i="26"/>
  <c r="AF29" i="26"/>
  <c r="AE29" i="26"/>
  <c r="AD29" i="26"/>
  <c r="AC29" i="26"/>
  <c r="AB29" i="26"/>
  <c r="AA29" i="26"/>
  <c r="AF28" i="26"/>
  <c r="AE28" i="26"/>
  <c r="AD28" i="26"/>
  <c r="AC28" i="26"/>
  <c r="AB28" i="26"/>
  <c r="AA28" i="26"/>
  <c r="AF27" i="26"/>
  <c r="AE27" i="26"/>
  <c r="AD27" i="26"/>
  <c r="AC27" i="26"/>
  <c r="AB27" i="26"/>
  <c r="AA27" i="26"/>
  <c r="AF26" i="26"/>
  <c r="AE26" i="26"/>
  <c r="AD26" i="26"/>
  <c r="AC26" i="26"/>
  <c r="AB26" i="26"/>
  <c r="AA26" i="26"/>
  <c r="AF25" i="26"/>
  <c r="AE21" i="26"/>
  <c r="AE23" i="26" s="1"/>
  <c r="AD21" i="26"/>
  <c r="AC25" i="26"/>
  <c r="AB25" i="26"/>
  <c r="AA25" i="26"/>
  <c r="AF24" i="26"/>
  <c r="AE24" i="26"/>
  <c r="AC24" i="26"/>
  <c r="AB24" i="26"/>
  <c r="AA24" i="26"/>
  <c r="AF23" i="26"/>
  <c r="AC23" i="26"/>
  <c r="AB23" i="26"/>
  <c r="AA23" i="26"/>
  <c r="AF22" i="26"/>
  <c r="AE22" i="26"/>
  <c r="AC22" i="26"/>
  <c r="AB22" i="26"/>
  <c r="AA22" i="26"/>
  <c r="AF20" i="26"/>
  <c r="AE20" i="26"/>
  <c r="AD20" i="26"/>
  <c r="AC20" i="26"/>
  <c r="AB20" i="26"/>
  <c r="AA20" i="26"/>
  <c r="AF19" i="26"/>
  <c r="AE19" i="26"/>
  <c r="AD19" i="26"/>
  <c r="AC19" i="26"/>
  <c r="AB19" i="26"/>
  <c r="AA19" i="26"/>
  <c r="AF18" i="26"/>
  <c r="AE18" i="26"/>
  <c r="AD18" i="26"/>
  <c r="AC18" i="26"/>
  <c r="AB18" i="26"/>
  <c r="AA18" i="26"/>
  <c r="AF17" i="26"/>
  <c r="AC17" i="26"/>
  <c r="AB17" i="26"/>
  <c r="AF12" i="26"/>
  <c r="AE12" i="26"/>
  <c r="AD12" i="26"/>
  <c r="AC12" i="26"/>
  <c r="AB12" i="26"/>
  <c r="AA12" i="26"/>
  <c r="AF10" i="26"/>
  <c r="AE10" i="26"/>
  <c r="AD10" i="26"/>
  <c r="AC10" i="26"/>
  <c r="AB10" i="26"/>
  <c r="AA10" i="26"/>
  <c r="AF9" i="26"/>
  <c r="AE9" i="26"/>
  <c r="AD9" i="26"/>
  <c r="AC9" i="26"/>
  <c r="AB9" i="26"/>
  <c r="AA9" i="26"/>
  <c r="AO58" i="25"/>
  <c r="AN58" i="25"/>
  <c r="AM58" i="25"/>
  <c r="AK58" i="25"/>
  <c r="AJ58" i="25"/>
  <c r="AN49" i="25"/>
  <c r="AM49" i="25"/>
  <c r="AO47" i="25"/>
  <c r="AN47" i="25"/>
  <c r="AM47" i="25"/>
  <c r="AK47" i="25"/>
  <c r="AJ47" i="25"/>
  <c r="AO46" i="25"/>
  <c r="AN46" i="25"/>
  <c r="AM46" i="25"/>
  <c r="AK46" i="25"/>
  <c r="AJ46" i="25"/>
  <c r="AO42" i="25"/>
  <c r="AZ42" i="25" s="1"/>
  <c r="AN42" i="25"/>
  <c r="AY42" i="25" s="1"/>
  <c r="AM42" i="25"/>
  <c r="AX42" i="25" s="1"/>
  <c r="AK42" i="25"/>
  <c r="AV42" i="25" s="1"/>
  <c r="AJ42" i="25"/>
  <c r="AU42" i="25" s="1"/>
  <c r="AO41" i="25"/>
  <c r="AZ41" i="25" s="1"/>
  <c r="AN41" i="25"/>
  <c r="AY41" i="25" s="1"/>
  <c r="AM41" i="25"/>
  <c r="AX41" i="25" s="1"/>
  <c r="AK41" i="25"/>
  <c r="AV41" i="25" s="1"/>
  <c r="AJ41" i="25"/>
  <c r="AU41" i="25" s="1"/>
  <c r="AO40" i="25"/>
  <c r="AZ40" i="25" s="1"/>
  <c r="AN40" i="25"/>
  <c r="AY40" i="25" s="1"/>
  <c r="AM40" i="25"/>
  <c r="AX40" i="25" s="1"/>
  <c r="AK40" i="25"/>
  <c r="AV40" i="25" s="1"/>
  <c r="AJ40" i="25"/>
  <c r="AU40" i="25" s="1"/>
  <c r="AO39" i="25"/>
  <c r="AZ39" i="25" s="1"/>
  <c r="AN39" i="25"/>
  <c r="AY39" i="25" s="1"/>
  <c r="AM39" i="25"/>
  <c r="AX39" i="25" s="1"/>
  <c r="AK39" i="25"/>
  <c r="AV39" i="25" s="1"/>
  <c r="AJ39" i="25"/>
  <c r="AU39" i="25" s="1"/>
  <c r="AO38" i="25"/>
  <c r="AZ38" i="25" s="1"/>
  <c r="AN38" i="25"/>
  <c r="AY38" i="25" s="1"/>
  <c r="AM38" i="25"/>
  <c r="AX38" i="25" s="1"/>
  <c r="AK38" i="25"/>
  <c r="AV38" i="25" s="1"/>
  <c r="AJ38" i="25"/>
  <c r="AU38" i="25" s="1"/>
  <c r="AO37" i="25"/>
  <c r="AZ37" i="25" s="1"/>
  <c r="AN37" i="25"/>
  <c r="AY37" i="25" s="1"/>
  <c r="AM37" i="25"/>
  <c r="AX37" i="25" s="1"/>
  <c r="AK37" i="25"/>
  <c r="AV37" i="25" s="1"/>
  <c r="AJ37" i="25"/>
  <c r="AU37" i="25" s="1"/>
  <c r="AO36" i="25"/>
  <c r="AZ36" i="25" s="1"/>
  <c r="AN36" i="25"/>
  <c r="AY36" i="25" s="1"/>
  <c r="AM36" i="25"/>
  <c r="AX36" i="25" s="1"/>
  <c r="AK36" i="25"/>
  <c r="AV36" i="25" s="1"/>
  <c r="AJ36" i="25"/>
  <c r="AU36" i="25" s="1"/>
  <c r="AO35" i="25"/>
  <c r="AZ35" i="25" s="1"/>
  <c r="AN35" i="25"/>
  <c r="AY35" i="25" s="1"/>
  <c r="AM35" i="25"/>
  <c r="AX35" i="25" s="1"/>
  <c r="AK35" i="25"/>
  <c r="AV35" i="25" s="1"/>
  <c r="AJ35" i="25"/>
  <c r="AU35" i="25" s="1"/>
  <c r="AO34" i="25"/>
  <c r="AZ34" i="25" s="1"/>
  <c r="AN34" i="25"/>
  <c r="AY34" i="25" s="1"/>
  <c r="AM34" i="25"/>
  <c r="AX34" i="25" s="1"/>
  <c r="AK34" i="25"/>
  <c r="AV34" i="25" s="1"/>
  <c r="AJ34" i="25"/>
  <c r="AU34" i="25" s="1"/>
  <c r="AO33" i="25"/>
  <c r="AZ33" i="25" s="1"/>
  <c r="AN33" i="25"/>
  <c r="AY33" i="25" s="1"/>
  <c r="AM33" i="25"/>
  <c r="AX33" i="25" s="1"/>
  <c r="AK33" i="25"/>
  <c r="AV33" i="25" s="1"/>
  <c r="AJ33" i="25"/>
  <c r="AU33" i="25" s="1"/>
  <c r="AO32" i="25"/>
  <c r="AZ32" i="25" s="1"/>
  <c r="AN32" i="25"/>
  <c r="AY32" i="25" s="1"/>
  <c r="AM32" i="25"/>
  <c r="AX32" i="25" s="1"/>
  <c r="AK32" i="25"/>
  <c r="AV32" i="25" s="1"/>
  <c r="AJ32" i="25"/>
  <c r="AU32" i="25" s="1"/>
  <c r="AO31" i="25"/>
  <c r="AZ31" i="25" s="1"/>
  <c r="AN31" i="25"/>
  <c r="AY31" i="25" s="1"/>
  <c r="AM31" i="25"/>
  <c r="AX31" i="25" s="1"/>
  <c r="AK31" i="25"/>
  <c r="AV31" i="25" s="1"/>
  <c r="AJ31" i="25"/>
  <c r="AU31" i="25" s="1"/>
  <c r="AO30" i="25"/>
  <c r="AZ30" i="25" s="1"/>
  <c r="AN30" i="25"/>
  <c r="AY30" i="25" s="1"/>
  <c r="AM30" i="25"/>
  <c r="AX30" i="25" s="1"/>
  <c r="AK30" i="25"/>
  <c r="AV30" i="25" s="1"/>
  <c r="AJ30" i="25"/>
  <c r="AU30" i="25" s="1"/>
  <c r="AO29" i="25"/>
  <c r="AZ29" i="25" s="1"/>
  <c r="AN29" i="25"/>
  <c r="AY29" i="25" s="1"/>
  <c r="AM29" i="25"/>
  <c r="AX29" i="25" s="1"/>
  <c r="AK29" i="25"/>
  <c r="AV29" i="25" s="1"/>
  <c r="AJ29" i="25"/>
  <c r="AU29" i="25" s="1"/>
  <c r="AO28" i="25"/>
  <c r="AZ28" i="25" s="1"/>
  <c r="AN28" i="25"/>
  <c r="AY28" i="25" s="1"/>
  <c r="AM28" i="25"/>
  <c r="AX28" i="25" s="1"/>
  <c r="AK28" i="25"/>
  <c r="AV28" i="25" s="1"/>
  <c r="AJ28" i="25"/>
  <c r="AU28" i="25" s="1"/>
  <c r="AO27" i="25"/>
  <c r="AZ27" i="25" s="1"/>
  <c r="AN27" i="25"/>
  <c r="AY27" i="25" s="1"/>
  <c r="AM27" i="25"/>
  <c r="AX27" i="25" s="1"/>
  <c r="AK27" i="25"/>
  <c r="AV27" i="25" s="1"/>
  <c r="AJ27" i="25"/>
  <c r="AU27" i="25" s="1"/>
  <c r="AO26" i="25"/>
  <c r="AZ26" i="25" s="1"/>
  <c r="AN26" i="25"/>
  <c r="AY26" i="25" s="1"/>
  <c r="AM26" i="25"/>
  <c r="AX26" i="25" s="1"/>
  <c r="AK26" i="25"/>
  <c r="AV26" i="25" s="1"/>
  <c r="AJ26" i="25"/>
  <c r="AU26" i="25" s="1"/>
  <c r="AO25" i="25"/>
  <c r="AZ25" i="25" s="1"/>
  <c r="AN25" i="25"/>
  <c r="AY25" i="25" s="1"/>
  <c r="AM25" i="25"/>
  <c r="AX25" i="25" s="1"/>
  <c r="AK25" i="25"/>
  <c r="AV25" i="25" s="1"/>
  <c r="AJ25" i="25"/>
  <c r="AU25" i="25" s="1"/>
  <c r="AO24" i="25"/>
  <c r="AN24" i="25"/>
  <c r="AM24" i="25"/>
  <c r="AK24" i="25"/>
  <c r="AJ24" i="25"/>
  <c r="AO23" i="25"/>
  <c r="AN23" i="25"/>
  <c r="AM23" i="25"/>
  <c r="AK23" i="25"/>
  <c r="AJ23" i="25"/>
  <c r="AO22" i="25"/>
  <c r="AN22" i="25"/>
  <c r="AM22" i="25"/>
  <c r="AK22" i="25"/>
  <c r="AJ22" i="25"/>
  <c r="AO21" i="25"/>
  <c r="AN21" i="25"/>
  <c r="AM21" i="25"/>
  <c r="AK21" i="25"/>
  <c r="AJ21" i="25"/>
  <c r="AO20" i="25"/>
  <c r="AN20" i="25"/>
  <c r="AM20" i="25"/>
  <c r="AK20" i="25"/>
  <c r="AJ20" i="25"/>
  <c r="AO19" i="25"/>
  <c r="AN19" i="25"/>
  <c r="AM19" i="25"/>
  <c r="AK19" i="25"/>
  <c r="AJ19" i="25"/>
  <c r="AO18" i="25"/>
  <c r="AN18" i="25"/>
  <c r="AM18" i="25"/>
  <c r="AK18" i="25"/>
  <c r="AJ18" i="25"/>
  <c r="AO17" i="25"/>
  <c r="AN17" i="25"/>
  <c r="AM17" i="25"/>
  <c r="AK17" i="25"/>
  <c r="AJ17" i="25"/>
  <c r="AO16" i="25"/>
  <c r="AN16" i="25"/>
  <c r="AM16" i="25"/>
  <c r="AK16" i="25"/>
  <c r="AJ16" i="25"/>
  <c r="AO15" i="25"/>
  <c r="AN15" i="25"/>
  <c r="AM15" i="25"/>
  <c r="AK15" i="25"/>
  <c r="AJ15" i="25"/>
  <c r="A15" i="26"/>
  <c r="M1" i="25"/>
  <c r="A14" i="26"/>
  <c r="A43" i="41"/>
  <c r="A42" i="41"/>
  <c r="A41" i="41"/>
  <c r="A40" i="41"/>
  <c r="A38" i="41"/>
  <c r="A37" i="41"/>
  <c r="P1" i="26"/>
  <c r="L1" i="26"/>
  <c r="DQ14" i="58"/>
  <c r="DN14" i="58"/>
  <c r="DO14" i="58"/>
  <c r="BX14" i="58"/>
  <c r="BT14" i="58"/>
  <c r="BP14" i="58"/>
  <c r="BL14" i="58"/>
  <c r="BH14" i="58"/>
  <c r="BE14" i="58"/>
  <c r="BA14" i="58"/>
  <c r="AW14" i="58"/>
  <c r="AS14" i="58"/>
  <c r="AO14" i="58"/>
  <c r="AK14" i="58"/>
  <c r="AG14" i="58"/>
  <c r="AC14" i="58"/>
  <c r="Y14" i="58"/>
  <c r="U14" i="58"/>
  <c r="Q14" i="58"/>
  <c r="M14" i="58"/>
  <c r="DQ13" i="58"/>
  <c r="BZ13" i="58" s="1"/>
  <c r="DN13" i="58"/>
  <c r="BX13" i="58"/>
  <c r="BT13" i="58"/>
  <c r="BP13" i="58"/>
  <c r="BL13" i="58"/>
  <c r="BH13" i="58"/>
  <c r="BE13" i="58"/>
  <c r="BA13" i="58"/>
  <c r="AW13" i="58"/>
  <c r="AS13" i="58"/>
  <c r="AO13" i="58"/>
  <c r="AK13" i="58"/>
  <c r="AG13" i="58"/>
  <c r="AC13" i="58"/>
  <c r="Y13" i="58"/>
  <c r="U13" i="58"/>
  <c r="Q13" i="58"/>
  <c r="M13" i="58"/>
  <c r="DQ12" i="58"/>
  <c r="BZ12" i="58" s="1"/>
  <c r="DN12" i="58"/>
  <c r="BX12" i="58"/>
  <c r="BT12" i="58"/>
  <c r="BP12" i="58"/>
  <c r="BL12" i="58"/>
  <c r="BH12" i="58"/>
  <c r="BE12" i="58"/>
  <c r="BA12" i="58"/>
  <c r="AW12" i="58"/>
  <c r="AS12" i="58"/>
  <c r="AO12" i="58"/>
  <c r="AK12" i="58"/>
  <c r="AG12" i="58"/>
  <c r="AC12" i="58"/>
  <c r="Y12" i="58"/>
  <c r="U12" i="58"/>
  <c r="Q12" i="58"/>
  <c r="M12" i="58"/>
  <c r="DQ11" i="58"/>
  <c r="DN11" i="58"/>
  <c r="BZ11" i="58"/>
  <c r="AU11" i="58" s="1"/>
  <c r="BX11" i="58"/>
  <c r="BT11" i="58"/>
  <c r="BP11" i="58"/>
  <c r="BL11" i="58"/>
  <c r="BH11" i="58"/>
  <c r="BE11" i="58"/>
  <c r="BA11" i="58"/>
  <c r="AW11" i="58"/>
  <c r="AS11" i="58"/>
  <c r="AO11" i="58"/>
  <c r="AK11" i="58"/>
  <c r="AG11" i="58"/>
  <c r="AC11" i="58"/>
  <c r="Y11" i="58"/>
  <c r="U11" i="58"/>
  <c r="Q11" i="58"/>
  <c r="M11" i="58"/>
  <c r="DQ10" i="58"/>
  <c r="BZ10" i="58" s="1"/>
  <c r="DN10" i="58"/>
  <c r="BX10" i="58"/>
  <c r="BT10" i="58"/>
  <c r="BP10" i="58"/>
  <c r="BL10" i="58"/>
  <c r="BH10" i="58"/>
  <c r="BE10" i="58"/>
  <c r="BA10" i="58"/>
  <c r="AW10" i="58"/>
  <c r="AS10" i="58"/>
  <c r="AO10" i="58"/>
  <c r="AK10" i="58"/>
  <c r="AG10" i="58"/>
  <c r="AC10" i="58"/>
  <c r="Y10" i="58"/>
  <c r="U10" i="58"/>
  <c r="Q10" i="58"/>
  <c r="M10" i="58"/>
  <c r="M2" i="58"/>
  <c r="N2" i="58"/>
  <c r="O2" i="58"/>
  <c r="Q2" i="58"/>
  <c r="R2" i="58"/>
  <c r="S2" i="58"/>
  <c r="U2" i="58"/>
  <c r="V2" i="58"/>
  <c r="W2" i="58"/>
  <c r="Y2" i="58"/>
  <c r="Z2" i="58"/>
  <c r="AA2" i="58"/>
  <c r="AC2" i="58"/>
  <c r="AD2" i="58"/>
  <c r="AE2" i="58"/>
  <c r="AG2" i="58"/>
  <c r="AH2" i="58"/>
  <c r="AI2" i="58"/>
  <c r="AK2" i="58"/>
  <c r="AL2" i="58"/>
  <c r="AM2" i="58"/>
  <c r="AO2" i="58"/>
  <c r="AP2" i="58"/>
  <c r="AQ2" i="58"/>
  <c r="AS2" i="58"/>
  <c r="AT2" i="58"/>
  <c r="AU2" i="58"/>
  <c r="AW2" i="58"/>
  <c r="AX2" i="58"/>
  <c r="AY2" i="58"/>
  <c r="BA2" i="58"/>
  <c r="BB2" i="58"/>
  <c r="BC2" i="58"/>
  <c r="BE2" i="58"/>
  <c r="BF2" i="58"/>
  <c r="BG2" i="58"/>
  <c r="BH2" i="58"/>
  <c r="BI2" i="58"/>
  <c r="BJ2" i="58"/>
  <c r="BL2" i="58"/>
  <c r="BM2" i="58"/>
  <c r="BN2" i="58"/>
  <c r="BP2" i="58"/>
  <c r="BQ2" i="58"/>
  <c r="BR2" i="58"/>
  <c r="BT2" i="58"/>
  <c r="BU2" i="58"/>
  <c r="BV2" i="58"/>
  <c r="BX2" i="58"/>
  <c r="BY2" i="58"/>
  <c r="M3" i="58"/>
  <c r="N3" i="58"/>
  <c r="O3" i="58"/>
  <c r="Q3" i="58"/>
  <c r="R3" i="58"/>
  <c r="S3" i="58"/>
  <c r="U3" i="58"/>
  <c r="V3" i="58"/>
  <c r="W3" i="58"/>
  <c r="Y3" i="58"/>
  <c r="Z3" i="58"/>
  <c r="AA3" i="58"/>
  <c r="AC3" i="58"/>
  <c r="AD3" i="58"/>
  <c r="AE3" i="58"/>
  <c r="AG3" i="58"/>
  <c r="AH3" i="58"/>
  <c r="AI3" i="58"/>
  <c r="AK3" i="58"/>
  <c r="AL3" i="58"/>
  <c r="AM3" i="58"/>
  <c r="AO3" i="58"/>
  <c r="AP3" i="58"/>
  <c r="AQ3" i="58"/>
  <c r="AS3" i="58"/>
  <c r="AT3" i="58"/>
  <c r="AU3" i="58"/>
  <c r="AW3" i="58"/>
  <c r="AX3" i="58"/>
  <c r="AY3" i="58"/>
  <c r="BA3" i="58"/>
  <c r="BB3" i="58"/>
  <c r="BC3" i="58"/>
  <c r="BE3" i="58"/>
  <c r="BF3" i="58"/>
  <c r="BG3" i="58"/>
  <c r="BH3" i="58"/>
  <c r="BI3" i="58"/>
  <c r="BJ3" i="58"/>
  <c r="BL3" i="58"/>
  <c r="BM3" i="58"/>
  <c r="BN3" i="58"/>
  <c r="BP3" i="58"/>
  <c r="BQ3" i="58"/>
  <c r="BR3" i="58"/>
  <c r="BT3" i="58"/>
  <c r="BU3" i="58"/>
  <c r="BV3" i="58"/>
  <c r="BX3" i="58"/>
  <c r="BY3" i="58"/>
  <c r="M4" i="58"/>
  <c r="N4" i="58"/>
  <c r="O4" i="58"/>
  <c r="Q4" i="58"/>
  <c r="R4" i="58"/>
  <c r="S4" i="58"/>
  <c r="U4" i="58"/>
  <c r="V4" i="58"/>
  <c r="W4" i="58"/>
  <c r="Y4" i="58"/>
  <c r="Z4" i="58"/>
  <c r="AA4" i="58"/>
  <c r="AC4" i="58"/>
  <c r="AD4" i="58"/>
  <c r="AE4" i="58"/>
  <c r="AG4" i="58"/>
  <c r="AH4" i="58"/>
  <c r="AI4" i="58"/>
  <c r="AK4" i="58"/>
  <c r="AL4" i="58"/>
  <c r="AM4" i="58"/>
  <c r="AO4" i="58"/>
  <c r="AP4" i="58"/>
  <c r="AQ4" i="58"/>
  <c r="AS4" i="58"/>
  <c r="AT4" i="58"/>
  <c r="AU4" i="58"/>
  <c r="AW4" i="58"/>
  <c r="AX4" i="58"/>
  <c r="AY4" i="58"/>
  <c r="BA4" i="58"/>
  <c r="BB4" i="58"/>
  <c r="BC4" i="58"/>
  <c r="BE4" i="58"/>
  <c r="BF4" i="58"/>
  <c r="BG4" i="58"/>
  <c r="BH4" i="58"/>
  <c r="BI4" i="58"/>
  <c r="BJ4" i="58"/>
  <c r="BL4" i="58"/>
  <c r="BM4" i="58"/>
  <c r="BN4" i="58"/>
  <c r="BP4" i="58"/>
  <c r="BQ4" i="58"/>
  <c r="BR4" i="58"/>
  <c r="BT4" i="58"/>
  <c r="BU4" i="58"/>
  <c r="BV4" i="58"/>
  <c r="BX4" i="58"/>
  <c r="BY4" i="58"/>
  <c r="M5" i="58"/>
  <c r="N5" i="58"/>
  <c r="O5" i="58"/>
  <c r="Q5" i="58"/>
  <c r="R5" i="58"/>
  <c r="S5" i="58"/>
  <c r="U5" i="58"/>
  <c r="V5" i="58"/>
  <c r="W5" i="58"/>
  <c r="Y5" i="58"/>
  <c r="Z5" i="58"/>
  <c r="AA5" i="58"/>
  <c r="AC5" i="58"/>
  <c r="AD5" i="58"/>
  <c r="AE5" i="58"/>
  <c r="AG5" i="58"/>
  <c r="AH5" i="58"/>
  <c r="AI5" i="58"/>
  <c r="AK5" i="58"/>
  <c r="AL5" i="58"/>
  <c r="AM5" i="58"/>
  <c r="AO5" i="58"/>
  <c r="AP5" i="58"/>
  <c r="AQ5" i="58"/>
  <c r="AS5" i="58"/>
  <c r="AT5" i="58"/>
  <c r="AU5" i="58"/>
  <c r="AW5" i="58"/>
  <c r="AX5" i="58"/>
  <c r="AY5" i="58"/>
  <c r="BA5" i="58"/>
  <c r="BB5" i="58"/>
  <c r="BC5" i="58"/>
  <c r="BE5" i="58"/>
  <c r="BF5" i="58"/>
  <c r="BG5" i="58"/>
  <c r="BH5" i="58"/>
  <c r="BI5" i="58"/>
  <c r="BJ5" i="58"/>
  <c r="BL5" i="58"/>
  <c r="BM5" i="58"/>
  <c r="BN5" i="58"/>
  <c r="BP5" i="58"/>
  <c r="BQ5" i="58"/>
  <c r="BR5" i="58"/>
  <c r="BT5" i="58"/>
  <c r="BU5" i="58"/>
  <c r="BV5" i="58"/>
  <c r="BX5" i="58"/>
  <c r="BY5" i="58"/>
  <c r="M6" i="58"/>
  <c r="N6" i="58"/>
  <c r="O6" i="58"/>
  <c r="Q6" i="58"/>
  <c r="R6" i="58"/>
  <c r="S6" i="58"/>
  <c r="U6" i="58"/>
  <c r="V6" i="58"/>
  <c r="W6" i="58"/>
  <c r="Y6" i="58"/>
  <c r="Z6" i="58"/>
  <c r="AA6" i="58"/>
  <c r="AC6" i="58"/>
  <c r="AD6" i="58"/>
  <c r="AE6" i="58"/>
  <c r="AG6" i="58"/>
  <c r="AH6" i="58"/>
  <c r="AI6" i="58"/>
  <c r="AK6" i="58"/>
  <c r="AL6" i="58"/>
  <c r="AM6" i="58"/>
  <c r="AO6" i="58"/>
  <c r="AP6" i="58"/>
  <c r="AQ6" i="58"/>
  <c r="AS6" i="58"/>
  <c r="AT6" i="58"/>
  <c r="AU6" i="58"/>
  <c r="AW6" i="58"/>
  <c r="AX6" i="58"/>
  <c r="AY6" i="58"/>
  <c r="BA6" i="58"/>
  <c r="BB6" i="58"/>
  <c r="BC6" i="58"/>
  <c r="BE6" i="58"/>
  <c r="BF6" i="58"/>
  <c r="BG6" i="58"/>
  <c r="BH6" i="58"/>
  <c r="BI6" i="58"/>
  <c r="BJ6" i="58"/>
  <c r="BL6" i="58"/>
  <c r="BM6" i="58"/>
  <c r="BN6" i="58"/>
  <c r="BP6" i="58"/>
  <c r="BQ6" i="58"/>
  <c r="BR6" i="58"/>
  <c r="BT6" i="58"/>
  <c r="BU6" i="58"/>
  <c r="BV6" i="58"/>
  <c r="BX6" i="58"/>
  <c r="BY6" i="58"/>
  <c r="L7" i="58"/>
  <c r="M7" i="58"/>
  <c r="DQ7" i="58"/>
  <c r="P7" i="58"/>
  <c r="P69" i="58" s="1"/>
  <c r="Q7" i="58"/>
  <c r="T7" i="58"/>
  <c r="T69" i="58" s="1"/>
  <c r="U7" i="58"/>
  <c r="X7" i="58"/>
  <c r="X37" i="58" s="1"/>
  <c r="Y7" i="58"/>
  <c r="AB7" i="58"/>
  <c r="AB69" i="58" s="1"/>
  <c r="AC7" i="58"/>
  <c r="AC69" i="58" s="1"/>
  <c r="AF7" i="58"/>
  <c r="AF69" i="58" s="1"/>
  <c r="AG7" i="58"/>
  <c r="AJ7" i="58"/>
  <c r="CI7" i="58" s="1"/>
  <c r="CI69" i="58" s="1"/>
  <c r="AK7" i="58"/>
  <c r="AN7" i="58"/>
  <c r="AO7" i="58"/>
  <c r="AR7" i="58"/>
  <c r="CA7" i="58" s="1"/>
  <c r="CA69" i="58" s="1"/>
  <c r="AS7" i="58"/>
  <c r="AV7" i="58"/>
  <c r="AW7" i="58"/>
  <c r="AZ7" i="58"/>
  <c r="AZ69" i="58" s="1"/>
  <c r="BA7" i="58"/>
  <c r="BD7" i="58"/>
  <c r="BD37" i="58" s="1"/>
  <c r="BE7" i="58"/>
  <c r="BH7" i="58"/>
  <c r="BK7" i="58"/>
  <c r="CQ7" i="58" s="1"/>
  <c r="CQ69" i="58" s="1"/>
  <c r="BL7" i="58"/>
  <c r="BO7" i="58"/>
  <c r="BP7" i="58"/>
  <c r="BS7" i="58"/>
  <c r="BT7" i="58"/>
  <c r="BW7" i="58"/>
  <c r="BX7" i="58"/>
  <c r="CY7" i="58"/>
  <c r="CY37" i="58" s="1"/>
  <c r="M8" i="58"/>
  <c r="DQ8" i="58"/>
  <c r="Q8" i="58"/>
  <c r="U8" i="58"/>
  <c r="Y8" i="58"/>
  <c r="AC8" i="58"/>
  <c r="AG8" i="58"/>
  <c r="AK8" i="58"/>
  <c r="AO8" i="58"/>
  <c r="AS8" i="58"/>
  <c r="AW8" i="58"/>
  <c r="BA8" i="58"/>
  <c r="BE8" i="58"/>
  <c r="BH8" i="58"/>
  <c r="BL8" i="58"/>
  <c r="BP8" i="58"/>
  <c r="BT8" i="58"/>
  <c r="BX8" i="58"/>
  <c r="M9" i="58"/>
  <c r="DQ9" i="58"/>
  <c r="Q9" i="58"/>
  <c r="U9" i="58"/>
  <c r="Y9" i="58"/>
  <c r="AC9" i="58"/>
  <c r="AG9" i="58"/>
  <c r="AK9" i="58"/>
  <c r="AO9" i="58"/>
  <c r="AS9" i="58"/>
  <c r="AW9" i="58"/>
  <c r="BA9" i="58"/>
  <c r="BE9" i="58"/>
  <c r="BH9" i="58"/>
  <c r="BL9" i="58"/>
  <c r="BP9" i="58"/>
  <c r="BT9" i="58"/>
  <c r="BX9" i="58"/>
  <c r="M15" i="58"/>
  <c r="DN15" i="58"/>
  <c r="DN16" i="58" s="1"/>
  <c r="DQ15" i="58"/>
  <c r="BZ15" i="58" s="1"/>
  <c r="Q15" i="58"/>
  <c r="U15" i="58"/>
  <c r="Y15" i="58"/>
  <c r="AC15" i="58"/>
  <c r="AG15" i="58"/>
  <c r="AK15" i="58"/>
  <c r="AO15" i="58"/>
  <c r="AS15" i="58"/>
  <c r="AW15" i="58"/>
  <c r="BA15" i="58"/>
  <c r="BE15" i="58"/>
  <c r="BH15" i="58"/>
  <c r="BL15" i="58"/>
  <c r="BP15" i="58"/>
  <c r="BT15" i="58"/>
  <c r="BX15" i="58"/>
  <c r="M16" i="58"/>
  <c r="DF16" i="58"/>
  <c r="DF17" i="58" s="1"/>
  <c r="DF18" i="58" s="1"/>
  <c r="DF19" i="58" s="1"/>
  <c r="DF20" i="58" s="1"/>
  <c r="DF21" i="58" s="1"/>
  <c r="DF22" i="58" s="1"/>
  <c r="DF23" i="58" s="1"/>
  <c r="DF24" i="58" s="1"/>
  <c r="DF25" i="58" s="1"/>
  <c r="DF26" i="58" s="1"/>
  <c r="DF27" i="58" s="1"/>
  <c r="DF28" i="58" s="1"/>
  <c r="DF29" i="58" s="1"/>
  <c r="DF30" i="58" s="1"/>
  <c r="DF31" i="58" s="1"/>
  <c r="DF32" i="58" s="1"/>
  <c r="DF33" i="58" s="1"/>
  <c r="DF34" i="58" s="1"/>
  <c r="DF35" i="58" s="1"/>
  <c r="DF36" i="58" s="1"/>
  <c r="P16" i="58"/>
  <c r="Q16" i="58"/>
  <c r="U16" i="58"/>
  <c r="Y16" i="58"/>
  <c r="AC16" i="58"/>
  <c r="AG16" i="58"/>
  <c r="AK16" i="58"/>
  <c r="AO16" i="58"/>
  <c r="AS16" i="58"/>
  <c r="AW16" i="58"/>
  <c r="BA16" i="58"/>
  <c r="BE16" i="58"/>
  <c r="BH16" i="58"/>
  <c r="BL16" i="58"/>
  <c r="BP16" i="58"/>
  <c r="BT16" i="58"/>
  <c r="BX16" i="58"/>
  <c r="M17" i="58"/>
  <c r="Q17" i="58"/>
  <c r="T17" i="58"/>
  <c r="U17" i="58"/>
  <c r="Y17" i="58"/>
  <c r="AC17" i="58"/>
  <c r="AG17" i="58"/>
  <c r="AK17" i="58"/>
  <c r="AO17" i="58"/>
  <c r="AS17" i="58"/>
  <c r="AW17" i="58"/>
  <c r="BA17" i="58"/>
  <c r="BE17" i="58"/>
  <c r="BH17" i="58"/>
  <c r="BL17" i="58"/>
  <c r="BP17" i="58"/>
  <c r="BT17" i="58"/>
  <c r="BX17" i="58"/>
  <c r="M18" i="58"/>
  <c r="Q18" i="58"/>
  <c r="U18" i="58"/>
  <c r="X18" i="58"/>
  <c r="Y18" i="58"/>
  <c r="AC18" i="58"/>
  <c r="AG18" i="58"/>
  <c r="AK18" i="58"/>
  <c r="AO18" i="58"/>
  <c r="AS18" i="58"/>
  <c r="AW18" i="58"/>
  <c r="BA18" i="58"/>
  <c r="BE18" i="58"/>
  <c r="BH18" i="58"/>
  <c r="BL18" i="58"/>
  <c r="BP18" i="58"/>
  <c r="BT18" i="58"/>
  <c r="BX18" i="58"/>
  <c r="M19" i="58"/>
  <c r="Q19" i="58"/>
  <c r="U19" i="58"/>
  <c r="Y19" i="58"/>
  <c r="AB19" i="58"/>
  <c r="AC19" i="58"/>
  <c r="AG19" i="58"/>
  <c r="AK19" i="58"/>
  <c r="AO19" i="58"/>
  <c r="AS19" i="58"/>
  <c r="AW19" i="58"/>
  <c r="BA19" i="58"/>
  <c r="BE19" i="58"/>
  <c r="BH19" i="58"/>
  <c r="BL19" i="58"/>
  <c r="BP19" i="58"/>
  <c r="BT19" i="58"/>
  <c r="BX19" i="58"/>
  <c r="M20" i="58"/>
  <c r="Q20" i="58"/>
  <c r="U20" i="58"/>
  <c r="Y20" i="58"/>
  <c r="AC20" i="58"/>
  <c r="AF20" i="58"/>
  <c r="AG20" i="58"/>
  <c r="AK20" i="58"/>
  <c r="AO20" i="58"/>
  <c r="AS20" i="58"/>
  <c r="AW20" i="58"/>
  <c r="BA20" i="58"/>
  <c r="BE20" i="58"/>
  <c r="BH20" i="58"/>
  <c r="BL20" i="58"/>
  <c r="BP20" i="58"/>
  <c r="BT20" i="58"/>
  <c r="BX20" i="58"/>
  <c r="M21" i="58"/>
  <c r="Q21" i="58"/>
  <c r="U21" i="58"/>
  <c r="Y21" i="58"/>
  <c r="AC21" i="58"/>
  <c r="AG21" i="58"/>
  <c r="AJ21" i="58"/>
  <c r="CI31" i="58" s="1"/>
  <c r="AK21" i="58"/>
  <c r="AO21" i="58"/>
  <c r="AS21" i="58"/>
  <c r="AW21" i="58"/>
  <c r="BA21" i="58"/>
  <c r="BE21" i="58"/>
  <c r="BH21" i="58"/>
  <c r="BL21" i="58"/>
  <c r="BP21" i="58"/>
  <c r="BT21" i="58"/>
  <c r="BX21" i="58"/>
  <c r="M22" i="58"/>
  <c r="Q22" i="58"/>
  <c r="U22" i="58"/>
  <c r="Y22" i="58"/>
  <c r="AC22" i="58"/>
  <c r="AG22" i="58"/>
  <c r="AK22" i="58"/>
  <c r="AN22" i="58"/>
  <c r="CM32" i="58" s="1"/>
  <c r="AO22" i="58"/>
  <c r="AS22" i="58"/>
  <c r="AW22" i="58"/>
  <c r="BA22" i="58"/>
  <c r="BE22" i="58"/>
  <c r="BH22" i="58"/>
  <c r="BL22" i="58"/>
  <c r="BP22" i="58"/>
  <c r="BT22" i="58"/>
  <c r="BX22" i="58"/>
  <c r="M23" i="58"/>
  <c r="Q23" i="58"/>
  <c r="U23" i="58"/>
  <c r="Y23" i="58"/>
  <c r="AC23" i="58"/>
  <c r="AG23" i="58"/>
  <c r="AK23" i="58"/>
  <c r="AO23" i="58"/>
  <c r="AR23" i="58"/>
  <c r="CA33" i="58" s="1"/>
  <c r="CU36" i="58" s="1"/>
  <c r="AS23" i="58"/>
  <c r="AW23" i="58"/>
  <c r="BA23" i="58"/>
  <c r="BE23" i="58"/>
  <c r="BH23" i="58"/>
  <c r="BL23" i="58"/>
  <c r="BP23" i="58"/>
  <c r="BT23" i="58"/>
  <c r="BX23" i="58"/>
  <c r="M24" i="58"/>
  <c r="Q24" i="58"/>
  <c r="U24" i="58"/>
  <c r="Y24" i="58"/>
  <c r="AC24" i="58"/>
  <c r="AG24" i="58"/>
  <c r="AK24" i="58"/>
  <c r="AO24" i="58"/>
  <c r="AS24" i="58"/>
  <c r="AV24" i="58"/>
  <c r="CE34" i="58" s="1"/>
  <c r="AW24" i="58"/>
  <c r="BA24" i="58"/>
  <c r="BE24" i="58"/>
  <c r="BH24" i="58"/>
  <c r="BL24" i="58"/>
  <c r="BP24" i="58"/>
  <c r="BT24" i="58"/>
  <c r="BX24" i="58"/>
  <c r="M25" i="58"/>
  <c r="Q25" i="58"/>
  <c r="U25" i="58"/>
  <c r="Y25" i="58"/>
  <c r="AC25" i="58"/>
  <c r="AG25" i="58"/>
  <c r="AK25" i="58"/>
  <c r="AO25" i="58"/>
  <c r="AS25" i="58"/>
  <c r="AW25" i="58"/>
  <c r="AZ25" i="58"/>
  <c r="BA25" i="58"/>
  <c r="BE25" i="58"/>
  <c r="BH25" i="58"/>
  <c r="BL25" i="58"/>
  <c r="BP25" i="58"/>
  <c r="BT25" i="58"/>
  <c r="BX25" i="58"/>
  <c r="M26" i="58"/>
  <c r="Q26" i="58"/>
  <c r="U26" i="58"/>
  <c r="Y26" i="58"/>
  <c r="AC26" i="58"/>
  <c r="AG26" i="58"/>
  <c r="AK26" i="58"/>
  <c r="AO26" i="58"/>
  <c r="AS26" i="58"/>
  <c r="AW26" i="58"/>
  <c r="BA26" i="58"/>
  <c r="BD26" i="58"/>
  <c r="BE26" i="58"/>
  <c r="BH26" i="58"/>
  <c r="BL26" i="58"/>
  <c r="BP26" i="58"/>
  <c r="BT26" i="58"/>
  <c r="BX26" i="58"/>
  <c r="M27" i="58"/>
  <c r="Q27" i="58"/>
  <c r="U27" i="58"/>
  <c r="Y27" i="58"/>
  <c r="AC27" i="58"/>
  <c r="AG27" i="58"/>
  <c r="AK27" i="58"/>
  <c r="AO27" i="58"/>
  <c r="AS27" i="58"/>
  <c r="AW27" i="58"/>
  <c r="BA27" i="58"/>
  <c r="BE27" i="58"/>
  <c r="BH27" i="58"/>
  <c r="BK27" i="58"/>
  <c r="CQ35" i="58" s="1"/>
  <c r="BL27" i="58"/>
  <c r="BP27" i="58"/>
  <c r="BT27" i="58"/>
  <c r="BX27" i="58"/>
  <c r="M28" i="58"/>
  <c r="Q28" i="58"/>
  <c r="U28" i="58"/>
  <c r="Y28" i="58"/>
  <c r="AC28" i="58"/>
  <c r="AG28" i="58"/>
  <c r="AK28" i="58"/>
  <c r="AO28" i="58"/>
  <c r="AS28" i="58"/>
  <c r="AW28" i="58"/>
  <c r="BA28" i="58"/>
  <c r="BE28" i="58"/>
  <c r="BH28" i="58"/>
  <c r="BL28" i="58"/>
  <c r="BO28" i="58"/>
  <c r="BP28" i="58"/>
  <c r="BT28" i="58"/>
  <c r="BX28" i="58"/>
  <c r="M29" i="58"/>
  <c r="Q29" i="58"/>
  <c r="U29" i="58"/>
  <c r="Y29" i="58"/>
  <c r="AC29" i="58"/>
  <c r="AG29" i="58"/>
  <c r="AK29" i="58"/>
  <c r="AO29" i="58"/>
  <c r="AS29" i="58"/>
  <c r="AW29" i="58"/>
  <c r="BA29" i="58"/>
  <c r="BE29" i="58"/>
  <c r="BH29" i="58"/>
  <c r="BL29" i="58"/>
  <c r="BP29" i="58"/>
  <c r="BS29" i="58"/>
  <c r="BT29" i="58"/>
  <c r="BX29" i="58"/>
  <c r="M30" i="58"/>
  <c r="Q30" i="58"/>
  <c r="U30" i="58"/>
  <c r="Y30" i="58"/>
  <c r="AC30" i="58"/>
  <c r="AG30" i="58"/>
  <c r="AK30" i="58"/>
  <c r="AO30" i="58"/>
  <c r="AS30" i="58"/>
  <c r="AW30" i="58"/>
  <c r="BA30" i="58"/>
  <c r="BE30" i="58"/>
  <c r="BH30" i="58"/>
  <c r="BL30" i="58"/>
  <c r="BP30" i="58"/>
  <c r="BT30" i="58"/>
  <c r="BW30" i="58"/>
  <c r="BX30" i="58"/>
  <c r="M37" i="58"/>
  <c r="DQ37" i="58"/>
  <c r="Q37" i="58"/>
  <c r="U37" i="58"/>
  <c r="Y37" i="58"/>
  <c r="AC37" i="58"/>
  <c r="AG37" i="58"/>
  <c r="AK37" i="58"/>
  <c r="AO37" i="58"/>
  <c r="AS37" i="58"/>
  <c r="AV37" i="58"/>
  <c r="CE37" i="58" s="1"/>
  <c r="CU37" i="58" s="1"/>
  <c r="AW37" i="58"/>
  <c r="BA37" i="58"/>
  <c r="BE37" i="58"/>
  <c r="BH37" i="58"/>
  <c r="BL37" i="58"/>
  <c r="BP37" i="58"/>
  <c r="BT37" i="58"/>
  <c r="BX37" i="58"/>
  <c r="DO37" i="58"/>
  <c r="DQ38" i="58"/>
  <c r="P39" i="58"/>
  <c r="T40" i="58" s="1"/>
  <c r="X41" i="58" s="1"/>
  <c r="AB42" i="58" s="1"/>
  <c r="AF43" i="58" s="1"/>
  <c r="AJ44" i="58" s="1"/>
  <c r="AN45" i="58" s="1"/>
  <c r="AR46" i="58" s="1"/>
  <c r="AV47" i="58" s="1"/>
  <c r="P40" i="58"/>
  <c r="T41" i="58" s="1"/>
  <c r="X42" i="58" s="1"/>
  <c r="AB43" i="58" s="1"/>
  <c r="AF44" i="58" s="1"/>
  <c r="AJ45" i="58" s="1"/>
  <c r="AN46" i="58" s="1"/>
  <c r="AR47" i="58" s="1"/>
  <c r="AV48" i="58" s="1"/>
  <c r="AZ49" i="58" s="1"/>
  <c r="BD50" i="58" s="1"/>
  <c r="X40" i="58"/>
  <c r="AB41" i="58" s="1"/>
  <c r="AF42" i="58" s="1"/>
  <c r="AJ43" i="58" s="1"/>
  <c r="AN44" i="58" s="1"/>
  <c r="AR45" i="58" s="1"/>
  <c r="AV46" i="58" s="1"/>
  <c r="AZ47" i="58" s="1"/>
  <c r="BD48" i="58" s="1"/>
  <c r="AB40" i="58"/>
  <c r="AF40" i="58"/>
  <c r="AJ41" i="58" s="1"/>
  <c r="AN42" i="58" s="1"/>
  <c r="AR43" i="58" s="1"/>
  <c r="AV44" i="58" s="1"/>
  <c r="AZ45" i="58" s="1"/>
  <c r="AJ40" i="58"/>
  <c r="AN41" i="58" s="1"/>
  <c r="AR42" i="58" s="1"/>
  <c r="AV43" i="58" s="1"/>
  <c r="AZ44" i="58" s="1"/>
  <c r="AN40" i="58"/>
  <c r="AR40" i="58"/>
  <c r="AV40" i="58"/>
  <c r="AZ40" i="58"/>
  <c r="BD41" i="58" s="1"/>
  <c r="BD40" i="58"/>
  <c r="BK40" i="58"/>
  <c r="BS40" i="58"/>
  <c r="BW41" i="58" s="1"/>
  <c r="BW40" i="58"/>
  <c r="CA41" i="58" s="1"/>
  <c r="P41" i="58"/>
  <c r="T42" i="58" s="1"/>
  <c r="AF41" i="58"/>
  <c r="AJ42" i="58" s="1"/>
  <c r="AN43" i="58" s="1"/>
  <c r="AR44" i="58" s="1"/>
  <c r="AV45" i="58" s="1"/>
  <c r="AZ46" i="58" s="1"/>
  <c r="AR41" i="58"/>
  <c r="AV42" i="58" s="1"/>
  <c r="AZ43" i="58" s="1"/>
  <c r="AV41" i="58"/>
  <c r="AZ42" i="58" s="1"/>
  <c r="BK43" i="58" s="1"/>
  <c r="AZ41" i="58"/>
  <c r="BD42" i="58" s="1"/>
  <c r="BK41" i="58"/>
  <c r="P42" i="58"/>
  <c r="P43" i="58"/>
  <c r="BD43" i="58"/>
  <c r="P44" i="58"/>
  <c r="AB44" i="58"/>
  <c r="AF45" i="58" s="1"/>
  <c r="AJ46" i="58" s="1"/>
  <c r="AN47" i="58" s="1"/>
  <c r="AR48" i="58" s="1"/>
  <c r="AV49" i="58" s="1"/>
  <c r="AZ50" i="58" s="1"/>
  <c r="BD51" i="58" s="1"/>
  <c r="P45" i="58"/>
  <c r="AB45" i="58"/>
  <c r="AF46" i="58" s="1"/>
  <c r="AJ47" i="58" s="1"/>
  <c r="AN48" i="58" s="1"/>
  <c r="AR49" i="58" s="1"/>
  <c r="AV50" i="58" s="1"/>
  <c r="AZ51" i="58" s="1"/>
  <c r="BD54" i="58" s="1"/>
  <c r="P46" i="58"/>
  <c r="AB46" i="58"/>
  <c r="AF47" i="58" s="1"/>
  <c r="AJ48" i="58" s="1"/>
  <c r="AN49" i="58" s="1"/>
  <c r="AR50" i="58" s="1"/>
  <c r="AV51" i="58" s="1"/>
  <c r="AZ54" i="58" s="1"/>
  <c r="P47" i="58"/>
  <c r="AB47" i="58"/>
  <c r="P48" i="58"/>
  <c r="AB48" i="58"/>
  <c r="AF49" i="58" s="1"/>
  <c r="AJ50" i="58" s="1"/>
  <c r="AN51" i="58" s="1"/>
  <c r="AR54" i="58" s="1"/>
  <c r="AF48" i="58"/>
  <c r="AJ49" i="58" s="1"/>
  <c r="AN50" i="58" s="1"/>
  <c r="AR51" i="58" s="1"/>
  <c r="AV54" i="58" s="1"/>
  <c r="P49" i="58"/>
  <c r="AB49" i="58"/>
  <c r="AF50" i="58" s="1"/>
  <c r="AJ51" i="58" s="1"/>
  <c r="AN54" i="58" s="1"/>
  <c r="BD49" i="58"/>
  <c r="P50" i="58"/>
  <c r="AB50" i="58"/>
  <c r="AF51" i="58" s="1"/>
  <c r="AJ54" i="58" s="1"/>
  <c r="P51" i="58"/>
  <c r="AB51" i="58"/>
  <c r="AF54" i="58" s="1"/>
  <c r="AJ55" i="58" s="1"/>
  <c r="AN56" i="58" s="1"/>
  <c r="AR57" i="58" s="1"/>
  <c r="AV58" i="58" s="1"/>
  <c r="AZ59" i="58" s="1"/>
  <c r="BD60" i="58" s="1"/>
  <c r="P52" i="58"/>
  <c r="AB52" i="58"/>
  <c r="AB54" i="58"/>
  <c r="AJ52" i="58"/>
  <c r="CY52" i="58"/>
  <c r="P53" i="58"/>
  <c r="AB53" i="58"/>
  <c r="AF53" i="58"/>
  <c r="AN53" i="58"/>
  <c r="BS53" i="58"/>
  <c r="BW54" i="58" s="1"/>
  <c r="CY53" i="58"/>
  <c r="P54" i="58"/>
  <c r="AN69" i="58"/>
  <c r="BO69" i="58"/>
  <c r="L7" i="56"/>
  <c r="AC7" i="56"/>
  <c r="O7" i="56" s="1"/>
  <c r="AA7" i="56"/>
  <c r="L8" i="56"/>
  <c r="AC8" i="56"/>
  <c r="O8" i="56" s="1"/>
  <c r="AA8" i="56"/>
  <c r="L9" i="56"/>
  <c r="AC9" i="56"/>
  <c r="O9" i="56" s="1"/>
  <c r="L10" i="56"/>
  <c r="AC10" i="56"/>
  <c r="O10" i="56" s="1"/>
  <c r="L11" i="56"/>
  <c r="AC11" i="56"/>
  <c r="O11" i="56" s="1"/>
  <c r="L12" i="56"/>
  <c r="AC12" i="56"/>
  <c r="O12" i="56" s="1"/>
  <c r="L13" i="56"/>
  <c r="AC13" i="56"/>
  <c r="O13" i="56" s="1"/>
  <c r="AA13" i="56"/>
  <c r="L7" i="41"/>
  <c r="L51" i="41" s="1"/>
  <c r="AF7" i="41"/>
  <c r="AF51" i="41" s="1"/>
  <c r="AE34" i="29"/>
  <c r="P91" i="29"/>
  <c r="AB91" i="29" s="1"/>
  <c r="BL7" i="29"/>
  <c r="BL9" i="29"/>
  <c r="BM9" i="29"/>
  <c r="BL11" i="29"/>
  <c r="BI11" i="29" s="1"/>
  <c r="BI12" i="29"/>
  <c r="BL13" i="29"/>
  <c r="BI13" i="29" s="1"/>
  <c r="BI17" i="29" s="1"/>
  <c r="AE35" i="29"/>
  <c r="AE37" i="29" s="1"/>
  <c r="AE38" i="29" s="1"/>
  <c r="Y53" i="25"/>
  <c r="Y17" i="25"/>
  <c r="M17" i="25" s="1"/>
  <c r="Q18" i="25"/>
  <c r="Q19" i="25"/>
  <c r="Q20" i="25"/>
  <c r="Y21" i="25"/>
  <c r="Y22" i="25"/>
  <c r="Q23" i="25"/>
  <c r="Q24" i="25"/>
  <c r="Q25" i="25"/>
  <c r="Y26" i="25"/>
  <c r="Y27" i="25"/>
  <c r="Q28" i="25"/>
  <c r="M18" i="25"/>
  <c r="M19" i="25"/>
  <c r="M20" i="25"/>
  <c r="M23" i="25"/>
  <c r="M24" i="25"/>
  <c r="M25" i="25"/>
  <c r="M28" i="25"/>
  <c r="X91" i="29"/>
  <c r="L91" i="29" s="1"/>
  <c r="AF30" i="29"/>
  <c r="AF20" i="29" s="1"/>
  <c r="AG20" i="29" s="1"/>
  <c r="CG22" i="41"/>
  <c r="CG39" i="41" s="1"/>
  <c r="BK7" i="41"/>
  <c r="AB29" i="41"/>
  <c r="AF30" i="41" s="1"/>
  <c r="AJ31" i="41"/>
  <c r="AN32" i="41" s="1"/>
  <c r="AR33" i="41" s="1"/>
  <c r="AV34" i="41" s="1"/>
  <c r="AZ35" i="41" s="1"/>
  <c r="BD36" i="41" s="1"/>
  <c r="AF29" i="41"/>
  <c r="AJ30" i="41"/>
  <c r="AN31" i="41" s="1"/>
  <c r="AR32" i="41" s="1"/>
  <c r="AV33" i="41" s="1"/>
  <c r="AZ34" i="41" s="1"/>
  <c r="BD35" i="41" s="1"/>
  <c r="AJ29" i="41"/>
  <c r="AN30" i="41" s="1"/>
  <c r="AR31" i="41" s="1"/>
  <c r="AV32" i="41" s="1"/>
  <c r="AZ33" i="41" s="1"/>
  <c r="AN29" i="41"/>
  <c r="AR30" i="41" s="1"/>
  <c r="AV31" i="41" s="1"/>
  <c r="AZ32" i="41" s="1"/>
  <c r="AR29" i="41"/>
  <c r="AV30" i="41" s="1"/>
  <c r="AZ31" i="41" s="1"/>
  <c r="BK32" i="41" s="1"/>
  <c r="AV29" i="41"/>
  <c r="AZ30" i="41"/>
  <c r="AZ29" i="41"/>
  <c r="BK30" i="41"/>
  <c r="BK29" i="41"/>
  <c r="CS26" i="41"/>
  <c r="CD26" i="41" s="1"/>
  <c r="BL26" i="41"/>
  <c r="CH11" i="41"/>
  <c r="CH12" i="41" s="1"/>
  <c r="CH13" i="41" s="1"/>
  <c r="CH14" i="41"/>
  <c r="CH15" i="41" s="1"/>
  <c r="CH16" i="41" s="1"/>
  <c r="CH17" i="41" s="1"/>
  <c r="CH18" i="41" s="1"/>
  <c r="CH19" i="41" s="1"/>
  <c r="CH20" i="41" s="1"/>
  <c r="CH21" i="41" s="1"/>
  <c r="CH22" i="41" s="1"/>
  <c r="CH23" i="41" s="1"/>
  <c r="CH24" i="41" s="1"/>
  <c r="CH25" i="41" s="1"/>
  <c r="CP10" i="41"/>
  <c r="BL25" i="41"/>
  <c r="BL24" i="41"/>
  <c r="BL23" i="41"/>
  <c r="BL22" i="41"/>
  <c r="BK22" i="41"/>
  <c r="BL21" i="41"/>
  <c r="BL20" i="41"/>
  <c r="BL19" i="41"/>
  <c r="BL18" i="41"/>
  <c r="BL17" i="41"/>
  <c r="BL16" i="41"/>
  <c r="BL15" i="41"/>
  <c r="BL14" i="41"/>
  <c r="BL13" i="41"/>
  <c r="BL12" i="41"/>
  <c r="CS11" i="41"/>
  <c r="BZ11" i="41" s="1"/>
  <c r="BL11" i="41"/>
  <c r="CS10" i="41"/>
  <c r="BZ10" i="41" s="1"/>
  <c r="BL10" i="41"/>
  <c r="CS9" i="41"/>
  <c r="BZ9" i="41" s="1"/>
  <c r="BL9" i="41"/>
  <c r="CS8" i="41"/>
  <c r="BZ8" i="41" s="1"/>
  <c r="BV8" i="41" s="1"/>
  <c r="BL8" i="41"/>
  <c r="CS7" i="41"/>
  <c r="BL7" i="41"/>
  <c r="BN6" i="41"/>
  <c r="BM6" i="41"/>
  <c r="BL6" i="41"/>
  <c r="BN5" i="41"/>
  <c r="BM5" i="41"/>
  <c r="BL5" i="41"/>
  <c r="BN4" i="41"/>
  <c r="BM4" i="41"/>
  <c r="BL4" i="41"/>
  <c r="BN3" i="41"/>
  <c r="BM3" i="41"/>
  <c r="BL3" i="41"/>
  <c r="BN2" i="41"/>
  <c r="BM2" i="41"/>
  <c r="BL2" i="41"/>
  <c r="AT11" i="25"/>
  <c r="T11" i="25" s="1"/>
  <c r="AT10" i="25"/>
  <c r="T10" i="25" s="1"/>
  <c r="Q10" i="25"/>
  <c r="Z10" i="25"/>
  <c r="AR10" i="25"/>
  <c r="Z49" i="25"/>
  <c r="Q49" i="25" s="1"/>
  <c r="Q16" i="25"/>
  <c r="Q29" i="25"/>
  <c r="Q30" i="25"/>
  <c r="Q31" i="25"/>
  <c r="Q32" i="25"/>
  <c r="Q33" i="25"/>
  <c r="Q34" i="25"/>
  <c r="Q35" i="25"/>
  <c r="Q36" i="25"/>
  <c r="Q37" i="25"/>
  <c r="Q38" i="25"/>
  <c r="Q39" i="25"/>
  <c r="Q40" i="25"/>
  <c r="Q41" i="25"/>
  <c r="Q42" i="25"/>
  <c r="Q15" i="25"/>
  <c r="Q47" i="25" s="1"/>
  <c r="Q58" i="25"/>
  <c r="Q14" i="25"/>
  <c r="AT57" i="25"/>
  <c r="X57" i="25" s="1"/>
  <c r="AT49" i="25"/>
  <c r="AT48" i="25"/>
  <c r="AT45" i="25"/>
  <c r="AI45" i="25"/>
  <c r="AT44" i="25"/>
  <c r="X44" i="25" s="1"/>
  <c r="AT43" i="25"/>
  <c r="X43" i="25" s="1"/>
  <c r="AI27" i="25"/>
  <c r="AT23" i="25"/>
  <c r="AT18" i="25"/>
  <c r="AT15" i="25"/>
  <c r="X15" i="25" s="1"/>
  <c r="AT14" i="25"/>
  <c r="M29" i="25"/>
  <c r="M30" i="25"/>
  <c r="M31" i="25"/>
  <c r="M32" i="25"/>
  <c r="M33" i="25"/>
  <c r="M34" i="25"/>
  <c r="M35" i="25"/>
  <c r="M36" i="25"/>
  <c r="M37" i="25"/>
  <c r="M38" i="25"/>
  <c r="M39" i="25"/>
  <c r="M40" i="25"/>
  <c r="M41" i="25"/>
  <c r="M42" i="25"/>
  <c r="P14" i="26"/>
  <c r="X15" i="26"/>
  <c r="L16" i="26"/>
  <c r="V42" i="26"/>
  <c r="V40" i="26" s="1"/>
  <c r="V18" i="26" s="1"/>
  <c r="L18" i="26" s="1"/>
  <c r="L13" i="26" s="1"/>
  <c r="L19" i="26"/>
  <c r="L20" i="26"/>
  <c r="W24" i="26"/>
  <c r="W23" i="26"/>
  <c r="Z32" i="26"/>
  <c r="AK17" i="26"/>
  <c r="S40" i="26"/>
  <c r="S38" i="26"/>
  <c r="F39" i="26"/>
  <c r="F40" i="26"/>
  <c r="F38" i="26"/>
  <c r="AH25" i="26"/>
  <c r="AH24" i="26"/>
  <c r="AH23" i="26"/>
  <c r="AH22" i="26"/>
  <c r="Z23" i="26"/>
  <c r="Z24" i="26"/>
  <c r="Z25" i="26"/>
  <c r="Z22" i="26"/>
  <c r="X38" i="26"/>
  <c r="X40" i="26"/>
  <c r="P33" i="26"/>
  <c r="P29" i="26"/>
  <c r="L26" i="26"/>
  <c r="L27" i="26"/>
  <c r="W18" i="26"/>
  <c r="U40" i="26"/>
  <c r="T40" i="26"/>
  <c r="P35" i="26"/>
  <c r="V9" i="26"/>
  <c r="L10" i="26"/>
  <c r="L9" i="26" s="1"/>
  <c r="L35" i="26" s="1"/>
  <c r="P15" i="26"/>
  <c r="Y32" i="26"/>
  <c r="Y39" i="26" s="1"/>
  <c r="U38" i="26"/>
  <c r="T38" i="26"/>
  <c r="AK44" i="26"/>
  <c r="O44" i="26" s="1"/>
  <c r="AK36" i="26"/>
  <c r="AK35" i="26"/>
  <c r="S35" i="26" s="1"/>
  <c r="AI35" i="26"/>
  <c r="P34" i="26"/>
  <c r="AR32" i="26"/>
  <c r="AK32" i="26"/>
  <c r="AI32" i="26"/>
  <c r="AK31" i="26"/>
  <c r="S31" i="26" s="1"/>
  <c r="P31" i="26"/>
  <c r="AK30" i="26"/>
  <c r="Y28" i="26"/>
  <c r="AS27" i="26"/>
  <c r="AS26" i="26"/>
  <c r="AK20" i="26"/>
  <c r="S20" i="26" s="1"/>
  <c r="AS18" i="26"/>
  <c r="AK21" i="26"/>
  <c r="O21" i="26" s="1"/>
  <c r="AK15" i="26"/>
  <c r="Z15" i="26"/>
  <c r="AK14" i="26"/>
  <c r="O14" i="26" s="1"/>
  <c r="P13" i="26"/>
  <c r="AK12" i="26"/>
  <c r="AK11" i="26"/>
  <c r="AR10" i="26"/>
  <c r="AK10" i="26"/>
  <c r="AR9" i="26"/>
  <c r="AK9" i="26"/>
  <c r="S9" i="26" s="1"/>
  <c r="P44" i="26"/>
  <c r="L11" i="26"/>
  <c r="L44" i="26" s="1"/>
  <c r="L28" i="26"/>
  <c r="M49" i="25"/>
  <c r="L36" i="26" s="1"/>
  <c r="M15" i="25"/>
  <c r="AD53" i="25"/>
  <c r="AC53" i="25"/>
  <c r="Z52" i="25"/>
  <c r="AD29" i="25"/>
  <c r="AD42" i="25"/>
  <c r="AC52" i="25"/>
  <c r="M58" i="25"/>
  <c r="Z51" i="25"/>
  <c r="Z53" i="25"/>
  <c r="M16" i="25"/>
  <c r="AD45" i="25"/>
  <c r="AD52" i="25" s="1"/>
  <c r="Y54" i="25"/>
  <c r="AR57" i="25"/>
  <c r="AC49" i="25"/>
  <c r="P48" i="25"/>
  <c r="BA45" i="25"/>
  <c r="AR45" i="25"/>
  <c r="P43" i="25"/>
  <c r="BA37" i="25"/>
  <c r="BB31" i="25"/>
  <c r="BB30" i="25"/>
  <c r="BB29" i="25"/>
  <c r="BB21" i="25"/>
  <c r="AC51" i="25"/>
  <c r="M14" i="25"/>
  <c r="M57" i="25" s="1"/>
  <c r="P29" i="41"/>
  <c r="T30" i="41" s="1"/>
  <c r="X31" i="41" s="1"/>
  <c r="AB32" i="41" s="1"/>
  <c r="AF33" i="41" s="1"/>
  <c r="AJ34" i="41" s="1"/>
  <c r="AN35" i="41" s="1"/>
  <c r="AR36" i="41" s="1"/>
  <c r="AV37" i="41" s="1"/>
  <c r="AZ38" i="41" s="1"/>
  <c r="BD39" i="41" s="1"/>
  <c r="BS42" i="41"/>
  <c r="BW43" i="41" s="1"/>
  <c r="CD9" i="41"/>
  <c r="P7" i="41"/>
  <c r="P51" i="41" s="1"/>
  <c r="T7" i="41"/>
  <c r="X7" i="41"/>
  <c r="X51" i="41" s="1"/>
  <c r="AB7" i="41"/>
  <c r="AB51" i="41" s="1"/>
  <c r="AJ7" i="41"/>
  <c r="AJ51" i="41" s="1"/>
  <c r="CA42" i="41"/>
  <c r="AB36" i="41"/>
  <c r="AF37" i="41" s="1"/>
  <c r="AJ38" i="41" s="1"/>
  <c r="AN39" i="41" s="1"/>
  <c r="AR40" i="41" s="1"/>
  <c r="AV43" i="41" s="1"/>
  <c r="AZ41" i="41" s="1"/>
  <c r="BD42" i="41" s="1"/>
  <c r="AB37" i="41"/>
  <c r="AF38" i="41" s="1"/>
  <c r="AJ39" i="41" s="1"/>
  <c r="AN40" i="41" s="1"/>
  <c r="AR43" i="41" s="1"/>
  <c r="AV41" i="41" s="1"/>
  <c r="AZ42" i="41" s="1"/>
  <c r="AB38" i="41"/>
  <c r="AF39" i="41" s="1"/>
  <c r="AJ40" i="41" s="1"/>
  <c r="AN43" i="41" s="1"/>
  <c r="AR41" i="41" s="1"/>
  <c r="AV42" i="41" s="1"/>
  <c r="AB39" i="41"/>
  <c r="AF40" i="41" s="1"/>
  <c r="AJ43" i="41" s="1"/>
  <c r="AN41" i="41" s="1"/>
  <c r="AR42" i="41" s="1"/>
  <c r="AB40" i="41"/>
  <c r="AF43" i="41"/>
  <c r="AJ41" i="41" s="1"/>
  <c r="AN42" i="41" s="1"/>
  <c r="AB43" i="41"/>
  <c r="AF41" i="41" s="1"/>
  <c r="AJ42" i="41" s="1"/>
  <c r="AB41" i="41"/>
  <c r="AF42" i="41" s="1"/>
  <c r="AB42" i="41"/>
  <c r="P42" i="41"/>
  <c r="CA41" i="41"/>
  <c r="AB35" i="41"/>
  <c r="AF36" i="41" s="1"/>
  <c r="AJ37" i="41" s="1"/>
  <c r="AN38" i="41" s="1"/>
  <c r="AR39" i="41" s="1"/>
  <c r="AV40" i="41" s="1"/>
  <c r="AZ43" i="41" s="1"/>
  <c r="BD41" i="41" s="1"/>
  <c r="P41" i="41"/>
  <c r="BW25" i="41"/>
  <c r="BT25" i="41"/>
  <c r="BT24" i="41"/>
  <c r="BS24" i="41"/>
  <c r="BW7" i="41"/>
  <c r="BW51" i="41" s="1"/>
  <c r="X29" i="41"/>
  <c r="AB30" i="41" s="1"/>
  <c r="AF31" i="41" s="1"/>
  <c r="AJ32" i="41" s="1"/>
  <c r="AN33" i="41"/>
  <c r="AR34" i="41" s="1"/>
  <c r="AV35" i="41" s="1"/>
  <c r="AZ36" i="41" s="1"/>
  <c r="BD37" i="41" s="1"/>
  <c r="BS29" i="41"/>
  <c r="BW30" i="41"/>
  <c r="BW29" i="41"/>
  <c r="BX26" i="41"/>
  <c r="BX25" i="41"/>
  <c r="BX24" i="41"/>
  <c r="BX23" i="41"/>
  <c r="BX22" i="41"/>
  <c r="BX21" i="41"/>
  <c r="BX20" i="41"/>
  <c r="BX19" i="41"/>
  <c r="BX18" i="41"/>
  <c r="BX17" i="41"/>
  <c r="BX16" i="41"/>
  <c r="BX15" i="41"/>
  <c r="BX14" i="41"/>
  <c r="BX13" i="41"/>
  <c r="BX12" i="41"/>
  <c r="BX11" i="41"/>
  <c r="BX10" i="41"/>
  <c r="BX9" i="41"/>
  <c r="BX8" i="41"/>
  <c r="BX7" i="41"/>
  <c r="BY6" i="41"/>
  <c r="BX6" i="41"/>
  <c r="BY5" i="41"/>
  <c r="BX5" i="41"/>
  <c r="BY4" i="41"/>
  <c r="BX4" i="41"/>
  <c r="BY3" i="41"/>
  <c r="BX3" i="41"/>
  <c r="BY2" i="41"/>
  <c r="BX2" i="41"/>
  <c r="BS7" i="41"/>
  <c r="BT26" i="41"/>
  <c r="BT23" i="41"/>
  <c r="BT22" i="41"/>
  <c r="BT21" i="41"/>
  <c r="BT20" i="41"/>
  <c r="BT19" i="41"/>
  <c r="BT18" i="41"/>
  <c r="BT17" i="41"/>
  <c r="BT16" i="41"/>
  <c r="BT15" i="41"/>
  <c r="BT14" i="41"/>
  <c r="BT13" i="41"/>
  <c r="BT12" i="41"/>
  <c r="BT11" i="41"/>
  <c r="BT10" i="41"/>
  <c r="BV9" i="41"/>
  <c r="BT9" i="41"/>
  <c r="BT8" i="41"/>
  <c r="BT7" i="41"/>
  <c r="BV6" i="41"/>
  <c r="BU6" i="41"/>
  <c r="BT6" i="41"/>
  <c r="BV5" i="41"/>
  <c r="BU5" i="41"/>
  <c r="BT5" i="41"/>
  <c r="BV4" i="41"/>
  <c r="BU4" i="41"/>
  <c r="BT4" i="41"/>
  <c r="BV3" i="41"/>
  <c r="BU3" i="41"/>
  <c r="BT3" i="41"/>
  <c r="BV2" i="41"/>
  <c r="BU2" i="41"/>
  <c r="BT2" i="41"/>
  <c r="BP25" i="41"/>
  <c r="BH25" i="41"/>
  <c r="BE25" i="41"/>
  <c r="BA25" i="41"/>
  <c r="AW25" i="41"/>
  <c r="AS25" i="41"/>
  <c r="AO25" i="41"/>
  <c r="AK25" i="41"/>
  <c r="AG25" i="41"/>
  <c r="AC25" i="41"/>
  <c r="Y25" i="41"/>
  <c r="U25" i="41"/>
  <c r="Q25" i="41"/>
  <c r="M25" i="41"/>
  <c r="BP24" i="41"/>
  <c r="BH24" i="41"/>
  <c r="BE24" i="41"/>
  <c r="BA24" i="41"/>
  <c r="AW24" i="41"/>
  <c r="AS24" i="41"/>
  <c r="AO24" i="41"/>
  <c r="AK24" i="41"/>
  <c r="AG24" i="41"/>
  <c r="AC24" i="41"/>
  <c r="Y24" i="41"/>
  <c r="U24" i="41"/>
  <c r="Q24" i="41"/>
  <c r="M24" i="41"/>
  <c r="CA7" i="41"/>
  <c r="CA51" i="41" s="1"/>
  <c r="BO7" i="41"/>
  <c r="BO26" i="41" s="1"/>
  <c r="BD7" i="41"/>
  <c r="BD51" i="41" s="1"/>
  <c r="AZ7" i="41"/>
  <c r="AZ26" i="41" s="1"/>
  <c r="AV7" i="41"/>
  <c r="AV51" i="41" s="1"/>
  <c r="AR7" i="41"/>
  <c r="AR51" i="41" s="1"/>
  <c r="AN7" i="41"/>
  <c r="AN26" i="41" s="1"/>
  <c r="AC7" i="41"/>
  <c r="AC51" i="41" s="1"/>
  <c r="BO23" i="41"/>
  <c r="BD21" i="41"/>
  <c r="AZ20" i="41"/>
  <c r="AV19" i="41"/>
  <c r="AR18" i="41"/>
  <c r="AN17" i="41"/>
  <c r="AJ16" i="41"/>
  <c r="AF15" i="41"/>
  <c r="AB14" i="41"/>
  <c r="AB34" i="41"/>
  <c r="AF35" i="41" s="1"/>
  <c r="AJ36" i="41" s="1"/>
  <c r="AN37" i="41" s="1"/>
  <c r="AR38" i="41" s="1"/>
  <c r="AV39" i="41" s="1"/>
  <c r="AZ40" i="41" s="1"/>
  <c r="BD43" i="41" s="1"/>
  <c r="P43" i="41"/>
  <c r="AB33" i="41"/>
  <c r="AF34" i="41" s="1"/>
  <c r="AJ35" i="41" s="1"/>
  <c r="AN36" i="41" s="1"/>
  <c r="AR37" i="41" s="1"/>
  <c r="AV38" i="41" s="1"/>
  <c r="AZ39" i="41" s="1"/>
  <c r="BD40" i="41" s="1"/>
  <c r="P40" i="41"/>
  <c r="BP21" i="41"/>
  <c r="BH21" i="41"/>
  <c r="BE21" i="41"/>
  <c r="BA21" i="41"/>
  <c r="AW21" i="41"/>
  <c r="AS21" i="41"/>
  <c r="AO21" i="41"/>
  <c r="AK21" i="41"/>
  <c r="AG21" i="41"/>
  <c r="AC21" i="41"/>
  <c r="Y21" i="41"/>
  <c r="U21" i="41"/>
  <c r="Q21" i="41"/>
  <c r="M21" i="41"/>
  <c r="BP20" i="41"/>
  <c r="BH20" i="41"/>
  <c r="BE20" i="41"/>
  <c r="BA20" i="41"/>
  <c r="AW20" i="41"/>
  <c r="AS20" i="41"/>
  <c r="AO20" i="41"/>
  <c r="AK20" i="41"/>
  <c r="AG20" i="41"/>
  <c r="AC20" i="41"/>
  <c r="Y20" i="41"/>
  <c r="U20" i="41"/>
  <c r="Q20" i="41"/>
  <c r="M20" i="41"/>
  <c r="BD38" i="41"/>
  <c r="BD30" i="41"/>
  <c r="BD29" i="41"/>
  <c r="BE26" i="41"/>
  <c r="BE23" i="41"/>
  <c r="BE22" i="41"/>
  <c r="BE19" i="41"/>
  <c r="BE18" i="41"/>
  <c r="BE17" i="41"/>
  <c r="BE16" i="41"/>
  <c r="BE15" i="41"/>
  <c r="BE14" i="41"/>
  <c r="BE13" i="41"/>
  <c r="BE12" i="41"/>
  <c r="BE11" i="41"/>
  <c r="BE10" i="41"/>
  <c r="BE9" i="41"/>
  <c r="BE8" i="41"/>
  <c r="BE7" i="41"/>
  <c r="BG6" i="41"/>
  <c r="BF6" i="41"/>
  <c r="BE6" i="41"/>
  <c r="BG5" i="41"/>
  <c r="BF5" i="41"/>
  <c r="BE5" i="41"/>
  <c r="BG4" i="41"/>
  <c r="BF4" i="41"/>
  <c r="BE4" i="41"/>
  <c r="BG3" i="41"/>
  <c r="BF3" i="41"/>
  <c r="BE3" i="41"/>
  <c r="BG2" i="41"/>
  <c r="BF2" i="41"/>
  <c r="BE2" i="41"/>
  <c r="BA26" i="41"/>
  <c r="BA23" i="41"/>
  <c r="BA22" i="41"/>
  <c r="BA19" i="41"/>
  <c r="BA18" i="41"/>
  <c r="BA17" i="41"/>
  <c r="BA16" i="41"/>
  <c r="BA15" i="41"/>
  <c r="BA14" i="41"/>
  <c r="BA13" i="41"/>
  <c r="BA12" i="41"/>
  <c r="BA11" i="41"/>
  <c r="BA10" i="41"/>
  <c r="BA9" i="41"/>
  <c r="BA8" i="41"/>
  <c r="BA7" i="41"/>
  <c r="BC6" i="41"/>
  <c r="BB6" i="41"/>
  <c r="BA6" i="41"/>
  <c r="BC5" i="41"/>
  <c r="BB5" i="41"/>
  <c r="BA5" i="41"/>
  <c r="BC4" i="41"/>
  <c r="BB4" i="41"/>
  <c r="BA4" i="41"/>
  <c r="BC3" i="41"/>
  <c r="BB3" i="41"/>
  <c r="BA3" i="41"/>
  <c r="BC2" i="41"/>
  <c r="BB2" i="41"/>
  <c r="BA2" i="41"/>
  <c r="CQ26" i="41"/>
  <c r="BP26" i="41"/>
  <c r="BH26" i="41"/>
  <c r="AW26" i="41"/>
  <c r="AS26" i="41"/>
  <c r="AO26" i="41"/>
  <c r="AK26" i="41"/>
  <c r="AG26" i="41"/>
  <c r="AC26" i="41"/>
  <c r="Y26" i="41"/>
  <c r="U26" i="41"/>
  <c r="Q26" i="41"/>
  <c r="M26" i="41"/>
  <c r="P28" i="41"/>
  <c r="T29" i="41" s="1"/>
  <c r="X30" i="41" s="1"/>
  <c r="AB31" i="41" s="1"/>
  <c r="AF32" i="41" s="1"/>
  <c r="AJ33" i="41" s="1"/>
  <c r="AN34" i="41" s="1"/>
  <c r="AR35" i="41" s="1"/>
  <c r="AV36" i="41" s="1"/>
  <c r="P39" i="41"/>
  <c r="P38" i="41"/>
  <c r="P37" i="41"/>
  <c r="P36" i="41"/>
  <c r="P35" i="41"/>
  <c r="P34" i="41"/>
  <c r="P33" i="41"/>
  <c r="P32" i="41"/>
  <c r="P30" i="41"/>
  <c r="T31" i="41" s="1"/>
  <c r="P31" i="41"/>
  <c r="CS27" i="41"/>
  <c r="BP23" i="41"/>
  <c r="BH23" i="41"/>
  <c r="AW23" i="41"/>
  <c r="AS23" i="41"/>
  <c r="AO23" i="41"/>
  <c r="AK23" i="41"/>
  <c r="AG23" i="41"/>
  <c r="AC23" i="41"/>
  <c r="Y23" i="41"/>
  <c r="U23" i="41"/>
  <c r="Q23" i="41"/>
  <c r="M23" i="41"/>
  <c r="BP22" i="41"/>
  <c r="BH22" i="41"/>
  <c r="AW22" i="41"/>
  <c r="AS22" i="41"/>
  <c r="AO22" i="41"/>
  <c r="AK22" i="41"/>
  <c r="AG22" i="41"/>
  <c r="AC22" i="41"/>
  <c r="Y22" i="41"/>
  <c r="U22" i="41"/>
  <c r="Q22" i="41"/>
  <c r="M22" i="41"/>
  <c r="BP19" i="41"/>
  <c r="BH19" i="41"/>
  <c r="AW19" i="41"/>
  <c r="AS19" i="41"/>
  <c r="AO19" i="41"/>
  <c r="AK19" i="41"/>
  <c r="AG19" i="41"/>
  <c r="AC19" i="41"/>
  <c r="Y19" i="41"/>
  <c r="U19" i="41"/>
  <c r="Q19" i="41"/>
  <c r="M19" i="41"/>
  <c r="BP18" i="41"/>
  <c r="BH18" i="41"/>
  <c r="AW18" i="41"/>
  <c r="AS18" i="41"/>
  <c r="AO18" i="41"/>
  <c r="AK18" i="41"/>
  <c r="AG18" i="41"/>
  <c r="AC18" i="41"/>
  <c r="Y18" i="41"/>
  <c r="U18" i="41"/>
  <c r="Q18" i="41"/>
  <c r="M18" i="41"/>
  <c r="BP17" i="41"/>
  <c r="BH17" i="41"/>
  <c r="AW17" i="41"/>
  <c r="AS17" i="41"/>
  <c r="AO17" i="41"/>
  <c r="AK17" i="41"/>
  <c r="AG17" i="41"/>
  <c r="AC17" i="41"/>
  <c r="Y17" i="41"/>
  <c r="U17" i="41"/>
  <c r="Q17" i="41"/>
  <c r="M17" i="41"/>
  <c r="BP16" i="41"/>
  <c r="BH16" i="41"/>
  <c r="AW16" i="41"/>
  <c r="AS16" i="41"/>
  <c r="AO16" i="41"/>
  <c r="AK16" i="41"/>
  <c r="AG16" i="41"/>
  <c r="AC16" i="41"/>
  <c r="Y16" i="41"/>
  <c r="U16" i="41"/>
  <c r="Q16" i="41"/>
  <c r="M16" i="41"/>
  <c r="BP15" i="41"/>
  <c r="BH15" i="41"/>
  <c r="AW15" i="41"/>
  <c r="AS15" i="41"/>
  <c r="AO15" i="41"/>
  <c r="AK15" i="41"/>
  <c r="AG15" i="41"/>
  <c r="AC15" i="41"/>
  <c r="Y15" i="41"/>
  <c r="U15" i="41"/>
  <c r="Q15" i="41"/>
  <c r="M15" i="41"/>
  <c r="BP14" i="41"/>
  <c r="BH14" i="41"/>
  <c r="AW14" i="41"/>
  <c r="AS14" i="41"/>
  <c r="AO14" i="41"/>
  <c r="AK14" i="41"/>
  <c r="AG14" i="41"/>
  <c r="AC14" i="41"/>
  <c r="Y14" i="41"/>
  <c r="U14" i="41"/>
  <c r="Q14" i="41"/>
  <c r="M14" i="41"/>
  <c r="BP13" i="41"/>
  <c r="BH13" i="41"/>
  <c r="AW13" i="41"/>
  <c r="AS13" i="41"/>
  <c r="AO13" i="41"/>
  <c r="AK13" i="41"/>
  <c r="AG13" i="41"/>
  <c r="AC13" i="41"/>
  <c r="Y13" i="41"/>
  <c r="U13" i="41"/>
  <c r="Q13" i="41"/>
  <c r="M13" i="41"/>
  <c r="BP12" i="41"/>
  <c r="BH12" i="41"/>
  <c r="AW12" i="41"/>
  <c r="AS12" i="41"/>
  <c r="AO12" i="41"/>
  <c r="AK12" i="41"/>
  <c r="AG12" i="41"/>
  <c r="AC12" i="41"/>
  <c r="Y12" i="41"/>
  <c r="U12" i="41"/>
  <c r="Q12" i="41"/>
  <c r="M12" i="41"/>
  <c r="BP11" i="41"/>
  <c r="BH11" i="41"/>
  <c r="AW11" i="41"/>
  <c r="AS11" i="41"/>
  <c r="AO11" i="41"/>
  <c r="AK11" i="41"/>
  <c r="AG11" i="41"/>
  <c r="AC11" i="41"/>
  <c r="Y11" i="41"/>
  <c r="U11" i="41"/>
  <c r="Q11" i="41"/>
  <c r="M11" i="41"/>
  <c r="BP10" i="41"/>
  <c r="BH10" i="41"/>
  <c r="AW10" i="41"/>
  <c r="AS10" i="41"/>
  <c r="AO10" i="41"/>
  <c r="AK10" i="41"/>
  <c r="AG10" i="41"/>
  <c r="AC10" i="41"/>
  <c r="Y10" i="41"/>
  <c r="U10" i="41"/>
  <c r="Q10" i="41"/>
  <c r="M10" i="41"/>
  <c r="M8" i="41"/>
  <c r="Q8" i="41"/>
  <c r="U8" i="41"/>
  <c r="Y8" i="41"/>
  <c r="AC8" i="41"/>
  <c r="AG8" i="41"/>
  <c r="AK8" i="41"/>
  <c r="AO8" i="41"/>
  <c r="AS8" i="41"/>
  <c r="AW8" i="41"/>
  <c r="BH8" i="41"/>
  <c r="BP9" i="41"/>
  <c r="BJ9" i="41"/>
  <c r="BH9" i="41"/>
  <c r="AW9" i="41"/>
  <c r="AS9" i="41"/>
  <c r="AO9" i="41"/>
  <c r="AK9" i="41"/>
  <c r="AG9" i="41"/>
  <c r="AC9" i="41"/>
  <c r="Y9" i="41"/>
  <c r="W9" i="41"/>
  <c r="U9" i="41"/>
  <c r="Q9" i="41"/>
  <c r="M9" i="41"/>
  <c r="CQ8" i="41"/>
  <c r="BP8" i="41"/>
  <c r="BP7" i="41"/>
  <c r="BH7" i="41"/>
  <c r="AW7" i="41"/>
  <c r="AS7" i="41"/>
  <c r="AO7" i="41"/>
  <c r="AK7" i="41"/>
  <c r="AG7" i="41"/>
  <c r="Y7" i="41"/>
  <c r="U7" i="41"/>
  <c r="Q7" i="41"/>
  <c r="M7" i="41"/>
  <c r="BR6" i="41"/>
  <c r="BQ6" i="41"/>
  <c r="BP6" i="41"/>
  <c r="BJ6" i="41"/>
  <c r="BI6" i="41"/>
  <c r="BH6" i="41"/>
  <c r="AY6" i="41"/>
  <c r="AX6" i="41"/>
  <c r="AW6" i="41"/>
  <c r="AU6" i="41"/>
  <c r="AT6" i="41"/>
  <c r="AS6" i="41"/>
  <c r="AQ6" i="41"/>
  <c r="AP6" i="41"/>
  <c r="AO6" i="41"/>
  <c r="AM6" i="41"/>
  <c r="AL6" i="41"/>
  <c r="AK6" i="41"/>
  <c r="AI6" i="41"/>
  <c r="AH6" i="41"/>
  <c r="AG6" i="41"/>
  <c r="AE6" i="41"/>
  <c r="AD6" i="41"/>
  <c r="AC6" i="41"/>
  <c r="AA6" i="41"/>
  <c r="Z6" i="41"/>
  <c r="Y6" i="41"/>
  <c r="W6" i="41"/>
  <c r="V6" i="41"/>
  <c r="U6" i="41"/>
  <c r="S6" i="41"/>
  <c r="R6" i="41"/>
  <c r="Q6" i="41"/>
  <c r="O6" i="41"/>
  <c r="N6" i="41"/>
  <c r="M6" i="41"/>
  <c r="BR5" i="41"/>
  <c r="BQ5" i="41"/>
  <c r="BP5" i="41"/>
  <c r="BJ5" i="41"/>
  <c r="BI5" i="41"/>
  <c r="BH5" i="41"/>
  <c r="AY5" i="41"/>
  <c r="AX5" i="41"/>
  <c r="AW5" i="41"/>
  <c r="AU5" i="41"/>
  <c r="AT5" i="41"/>
  <c r="AS5" i="41"/>
  <c r="AQ5" i="41"/>
  <c r="AP5" i="41"/>
  <c r="AO5" i="41"/>
  <c r="AM5" i="41"/>
  <c r="AL5" i="41"/>
  <c r="AK5" i="41"/>
  <c r="AI5" i="41"/>
  <c r="AH5" i="41"/>
  <c r="AG5" i="41"/>
  <c r="AE5" i="41"/>
  <c r="AD5" i="41"/>
  <c r="AC5" i="41"/>
  <c r="AA5" i="41"/>
  <c r="Z5" i="41"/>
  <c r="Y5" i="41"/>
  <c r="W5" i="41"/>
  <c r="V5" i="41"/>
  <c r="U5" i="41"/>
  <c r="S5" i="41"/>
  <c r="R5" i="41"/>
  <c r="Q5" i="41"/>
  <c r="O5" i="41"/>
  <c r="N5" i="41"/>
  <c r="M5" i="41"/>
  <c r="BR4" i="41"/>
  <c r="BQ4" i="41"/>
  <c r="BP4" i="41"/>
  <c r="BJ4" i="41"/>
  <c r="BI4" i="41"/>
  <c r="BH4" i="41"/>
  <c r="AY4" i="41"/>
  <c r="AX4" i="41"/>
  <c r="AW4" i="41"/>
  <c r="AU4" i="41"/>
  <c r="AT4" i="41"/>
  <c r="AS4" i="41"/>
  <c r="AQ4" i="41"/>
  <c r="AP4" i="41"/>
  <c r="AO4" i="41"/>
  <c r="AM4" i="41"/>
  <c r="AL4" i="41"/>
  <c r="AK4" i="41"/>
  <c r="AI4" i="41"/>
  <c r="AH4" i="41"/>
  <c r="AG4" i="41"/>
  <c r="AE4" i="41"/>
  <c r="AD4" i="41"/>
  <c r="AC4" i="41"/>
  <c r="AA4" i="41"/>
  <c r="Z4" i="41"/>
  <c r="Y4" i="41"/>
  <c r="W4" i="41"/>
  <c r="V4" i="41"/>
  <c r="U4" i="41"/>
  <c r="S4" i="41"/>
  <c r="R4" i="41"/>
  <c r="Q4" i="41"/>
  <c r="O4" i="41"/>
  <c r="N4" i="41"/>
  <c r="M4" i="41"/>
  <c r="BR3" i="41"/>
  <c r="BQ3" i="41"/>
  <c r="BP3" i="41"/>
  <c r="BJ3" i="41"/>
  <c r="BI3" i="41"/>
  <c r="BH3" i="41"/>
  <c r="AY3" i="41"/>
  <c r="AX3" i="41"/>
  <c r="AW3" i="41"/>
  <c r="AU3" i="41"/>
  <c r="AT3" i="41"/>
  <c r="AS3" i="41"/>
  <c r="AQ3" i="41"/>
  <c r="AP3" i="41"/>
  <c r="AO3" i="41"/>
  <c r="AM3" i="41"/>
  <c r="AL3" i="41"/>
  <c r="AK3" i="41"/>
  <c r="AI3" i="41"/>
  <c r="AH3" i="41"/>
  <c r="AG3" i="41"/>
  <c r="AE3" i="41"/>
  <c r="AD3" i="41"/>
  <c r="AC3" i="41"/>
  <c r="AA3" i="41"/>
  <c r="Z3" i="41"/>
  <c r="Y3" i="41"/>
  <c r="W3" i="41"/>
  <c r="V3" i="41"/>
  <c r="U3" i="41"/>
  <c r="S3" i="41"/>
  <c r="R3" i="41"/>
  <c r="Q3" i="41"/>
  <c r="O3" i="41"/>
  <c r="N3" i="41"/>
  <c r="M3" i="41"/>
  <c r="BR2" i="41"/>
  <c r="BQ2" i="41"/>
  <c r="BP2" i="41"/>
  <c r="BJ2" i="41"/>
  <c r="BI2" i="41"/>
  <c r="BH2" i="41"/>
  <c r="AY2" i="41"/>
  <c r="AX2" i="41"/>
  <c r="AW2" i="41"/>
  <c r="AU2" i="41"/>
  <c r="AT2" i="41"/>
  <c r="AS2" i="41"/>
  <c r="AQ2" i="41"/>
  <c r="AP2" i="41"/>
  <c r="AO2" i="41"/>
  <c r="AM2" i="41"/>
  <c r="AL2" i="41"/>
  <c r="AK2" i="41"/>
  <c r="AI2" i="41"/>
  <c r="AH2" i="41"/>
  <c r="AG2" i="41"/>
  <c r="AE2" i="41"/>
  <c r="AD2" i="41"/>
  <c r="AC2" i="41"/>
  <c r="AA2" i="41"/>
  <c r="Z2" i="41"/>
  <c r="Y2" i="41"/>
  <c r="W2" i="41"/>
  <c r="V2" i="41"/>
  <c r="U2" i="41"/>
  <c r="S2" i="41"/>
  <c r="R2" i="41"/>
  <c r="Q2" i="41"/>
  <c r="O2" i="41"/>
  <c r="N2" i="41"/>
  <c r="M2" i="41"/>
  <c r="BO51" i="41"/>
  <c r="AN51" i="41"/>
  <c r="L10" i="41"/>
  <c r="P11" i="41"/>
  <c r="T12" i="41"/>
  <c r="X13" i="41"/>
  <c r="AM35" i="29"/>
  <c r="AU35" i="29"/>
  <c r="X35" i="29" s="1"/>
  <c r="AF35" i="29"/>
  <c r="L35" i="29" s="1"/>
  <c r="AG7" i="29"/>
  <c r="AG13" i="29"/>
  <c r="BC7" i="29"/>
  <c r="BC31" i="29" s="1"/>
  <c r="AZ33" i="29"/>
  <c r="AZ7" i="29"/>
  <c r="AV8" i="29"/>
  <c r="AW8" i="29"/>
  <c r="AV9" i="29"/>
  <c r="AW9" i="29"/>
  <c r="AV10" i="29"/>
  <c r="AW10" i="29"/>
  <c r="AV11" i="29"/>
  <c r="AW11" i="29"/>
  <c r="AV12" i="29"/>
  <c r="AW12" i="29"/>
  <c r="AV14" i="29"/>
  <c r="AW14" i="29"/>
  <c r="BA30" i="29"/>
  <c r="BB30" i="29"/>
  <c r="BD30" i="29"/>
  <c r="BE30" i="29"/>
  <c r="AY33" i="29"/>
  <c r="AZ3" i="29"/>
  <c r="AN13" i="29"/>
  <c r="AT13" i="29" s="1"/>
  <c r="AT7" i="29" s="1"/>
  <c r="AO7" i="29" s="1"/>
  <c r="AN8" i="29"/>
  <c r="AO8" i="29"/>
  <c r="AO9" i="29"/>
  <c r="AN10" i="29"/>
  <c r="AO10" i="29" s="1"/>
  <c r="AM37" i="29"/>
  <c r="AN37" i="29" s="1"/>
  <c r="T37" i="29" s="1"/>
  <c r="AQ3" i="29"/>
  <c r="AI5" i="29"/>
  <c r="AI3" i="29"/>
  <c r="BO23" i="29"/>
  <c r="BW23" i="29"/>
  <c r="BW22" i="29"/>
  <c r="BW21" i="29"/>
  <c r="BY21" i="29" s="1"/>
  <c r="BW17" i="29"/>
  <c r="BW16" i="29"/>
  <c r="BW15" i="29"/>
  <c r="BW14" i="29"/>
  <c r="BY14" i="29" s="1"/>
  <c r="BW13" i="29"/>
  <c r="BW12" i="29"/>
  <c r="BW11" i="29"/>
  <c r="BW10" i="29"/>
  <c r="BY10" i="29" s="1"/>
  <c r="BW9" i="29"/>
  <c r="BW8" i="29"/>
  <c r="BN31" i="29"/>
  <c r="BN30" i="29"/>
  <c r="BM31" i="29"/>
  <c r="BM30" i="29"/>
  <c r="BH3" i="29"/>
  <c r="BM3" i="29" s="1"/>
  <c r="BD33" i="29"/>
  <c r="BD31" i="29"/>
  <c r="BD3" i="29"/>
  <c r="BA31" i="29"/>
  <c r="BA33" i="29"/>
  <c r="BF30" i="29"/>
  <c r="BG30" i="29"/>
  <c r="BG20" i="29" s="1"/>
  <c r="BH20" i="29"/>
  <c r="AV3" i="29"/>
  <c r="BA3" i="29"/>
  <c r="BJ30" i="29"/>
  <c r="AX30" i="29"/>
  <c r="AP30" i="29"/>
  <c r="P25" i="29"/>
  <c r="T26" i="29" s="1"/>
  <c r="X27" i="29" s="1"/>
  <c r="AB28" i="29" s="1"/>
  <c r="BI6" i="29"/>
  <c r="BI5" i="29"/>
  <c r="BI3" i="29"/>
  <c r="AU15" i="29"/>
  <c r="AV15" i="29" s="1"/>
  <c r="AW15" i="29" s="1"/>
  <c r="AV17" i="29"/>
  <c r="AW17" i="29"/>
  <c r="AV16" i="29"/>
  <c r="AW16" i="29"/>
  <c r="AN17" i="29"/>
  <c r="AO17" i="29"/>
  <c r="AN16" i="29"/>
  <c r="AO16" i="29"/>
  <c r="AN15" i="29"/>
  <c r="AO15" i="29"/>
  <c r="AW33" i="29"/>
  <c r="AV7" i="29"/>
  <c r="AU13" i="29"/>
  <c r="AV13" i="29"/>
  <c r="AU41" i="29"/>
  <c r="AV41" i="29"/>
  <c r="AV30" i="29" s="1"/>
  <c r="AN41" i="29"/>
  <c r="T41" i="29" s="1"/>
  <c r="AL5" i="29"/>
  <c r="AO5" i="29" s="1"/>
  <c r="AL4" i="29"/>
  <c r="AO4" i="29" s="1"/>
  <c r="AO3" i="29"/>
  <c r="AF17" i="29"/>
  <c r="AG17" i="29"/>
  <c r="AF15" i="29"/>
  <c r="AG15" i="29"/>
  <c r="AG14" i="29"/>
  <c r="AG12" i="29"/>
  <c r="AG11" i="29"/>
  <c r="AG10" i="29"/>
  <c r="AG9" i="29"/>
  <c r="AG8" i="29"/>
  <c r="AG16" i="29"/>
  <c r="T91" i="29"/>
  <c r="AA36" i="29"/>
  <c r="Z36" i="29"/>
  <c r="Y36" i="29"/>
  <c r="W36" i="29"/>
  <c r="V36" i="29"/>
  <c r="U36" i="29"/>
  <c r="S36" i="29"/>
  <c r="R36" i="29"/>
  <c r="Q36" i="29"/>
  <c r="O36" i="29"/>
  <c r="N36" i="29"/>
  <c r="M36" i="29"/>
  <c r="P90" i="29"/>
  <c r="T90" i="29" s="1"/>
  <c r="X90" i="29" s="1"/>
  <c r="AB90" i="29" s="1"/>
  <c r="P89" i="29"/>
  <c r="T89" i="29" s="1"/>
  <c r="X89" i="29" s="1"/>
  <c r="AB89" i="29" s="1"/>
  <c r="AF37" i="29"/>
  <c r="AG37" i="29" s="1"/>
  <c r="L37" i="29" s="1"/>
  <c r="AF31" i="29"/>
  <c r="AF39" i="29"/>
  <c r="AG39" i="29" s="1"/>
  <c r="AS31" i="29"/>
  <c r="AS30" i="29"/>
  <c r="AN3" i="29"/>
  <c r="AR3" i="29"/>
  <c r="BB33" i="29"/>
  <c r="BB31" i="29"/>
  <c r="AJ31" i="29"/>
  <c r="AJ30" i="29"/>
  <c r="AG5" i="29"/>
  <c r="AJ5" i="29" s="1"/>
  <c r="AG3" i="29"/>
  <c r="AJ3" i="29" s="1"/>
  <c r="BH10" i="29"/>
  <c r="AU37" i="29"/>
  <c r="AV37" i="29" s="1"/>
  <c r="AU31" i="29"/>
  <c r="AU39" i="29"/>
  <c r="AV39" i="29" s="1"/>
  <c r="AL10" i="29"/>
  <c r="AL9" i="29"/>
  <c r="AL11" i="29"/>
  <c r="AL12" i="29"/>
  <c r="AL8" i="29"/>
  <c r="AR30" i="29"/>
  <c r="AL7" i="29"/>
  <c r="AL13" i="29"/>
  <c r="AL14" i="29"/>
  <c r="AN11" i="29"/>
  <c r="AN12" i="29"/>
  <c r="BH14" i="29"/>
  <c r="BF31" i="29"/>
  <c r="BH41" i="29"/>
  <c r="AG41" i="29"/>
  <c r="AG30" i="29" s="1"/>
  <c r="AL41" i="29"/>
  <c r="AM14" i="29"/>
  <c r="AK31" i="29"/>
  <c r="BH7" i="29"/>
  <c r="BH9" i="29"/>
  <c r="BH11" i="29"/>
  <c r="BH12" i="29"/>
  <c r="BH13" i="29"/>
  <c r="BG31" i="29"/>
  <c r="BE31" i="29"/>
  <c r="AV31" i="29"/>
  <c r="AR31" i="29"/>
  <c r="AN7" i="29"/>
  <c r="AN9" i="29"/>
  <c r="AM31" i="29"/>
  <c r="AU34" i="29"/>
  <c r="AV34" i="29"/>
  <c r="X34" i="29" s="1"/>
  <c r="AV35" i="29"/>
  <c r="X37" i="29"/>
  <c r="AU38" i="29"/>
  <c r="AV38" i="29"/>
  <c r="X38" i="29" s="1"/>
  <c r="AU33" i="29"/>
  <c r="AV33" i="29" s="1"/>
  <c r="X33" i="29"/>
  <c r="AM34" i="29"/>
  <c r="AN34" i="29" s="1"/>
  <c r="T34" i="29" s="1"/>
  <c r="AM38" i="29"/>
  <c r="AN38" i="29" s="1"/>
  <c r="T38" i="29" s="1"/>
  <c r="AM33" i="29"/>
  <c r="AN33" i="29" s="1"/>
  <c r="T33" i="29" s="1"/>
  <c r="AF21" i="29"/>
  <c r="AG21" i="29" s="1"/>
  <c r="AF22" i="29"/>
  <c r="AG22" i="29" s="1"/>
  <c r="AF23" i="29"/>
  <c r="AG23" i="29" s="1"/>
  <c r="AK21" i="29"/>
  <c r="AK22" i="29"/>
  <c r="AL22" i="29" s="1"/>
  <c r="AK23" i="29"/>
  <c r="AL23" i="29" s="1"/>
  <c r="AK15" i="29"/>
  <c r="AL15" i="29" s="1"/>
  <c r="AL16" i="29"/>
  <c r="AL17" i="29"/>
  <c r="AK30" i="29"/>
  <c r="AK20" i="29" s="1"/>
  <c r="AL20" i="29" s="1"/>
  <c r="AF34" i="29"/>
  <c r="AG34" i="29"/>
  <c r="L34" i="29" s="1"/>
  <c r="AG35" i="29"/>
  <c r="AF38" i="29"/>
  <c r="AG38" i="29" s="1"/>
  <c r="L38" i="29" s="1"/>
  <c r="AF33" i="29"/>
  <c r="AG33" i="29" s="1"/>
  <c r="L33" i="29" s="1"/>
  <c r="BC33" i="29"/>
  <c r="BC3" i="29"/>
  <c r="BL3" i="29"/>
  <c r="BH30" i="29"/>
  <c r="AU30" i="29"/>
  <c r="BG23" i="29"/>
  <c r="BH23" i="29" s="1"/>
  <c r="BG22" i="29"/>
  <c r="BH22" i="29" s="1"/>
  <c r="BG21" i="29"/>
  <c r="BH21" i="29" s="1"/>
  <c r="BG19" i="29"/>
  <c r="BH19" i="29" s="1"/>
  <c r="BG18" i="29"/>
  <c r="BH18" i="29" s="1"/>
  <c r="BH17" i="29"/>
  <c r="BH16" i="29"/>
  <c r="BG15" i="29"/>
  <c r="BH15" i="29" s="1"/>
  <c r="BH5" i="29"/>
  <c r="BH4" i="29"/>
  <c r="AU23" i="29"/>
  <c r="AV23" i="29" s="1"/>
  <c r="AU22" i="29"/>
  <c r="AV22" i="29" s="1"/>
  <c r="AU21" i="29"/>
  <c r="AV21" i="29" s="1"/>
  <c r="AU20" i="29"/>
  <c r="AV20" i="29" s="1"/>
  <c r="AU19" i="29"/>
  <c r="AV19" i="29" s="1"/>
  <c r="AU18" i="29"/>
  <c r="AV18" i="29" s="1"/>
  <c r="AV5" i="29"/>
  <c r="AV4" i="29"/>
  <c r="AM23" i="29"/>
  <c r="AN23" i="29" s="1"/>
  <c r="AM22" i="29"/>
  <c r="AN22" i="29" s="1"/>
  <c r="AM21" i="29"/>
  <c r="AN21" i="29" s="1"/>
  <c r="AN5" i="29"/>
  <c r="AN4" i="29"/>
  <c r="AK19" i="29"/>
  <c r="AL19" i="29" s="1"/>
  <c r="AL3" i="29"/>
  <c r="AF18" i="29"/>
  <c r="AG18" i="29" s="1"/>
  <c r="AF19" i="29"/>
  <c r="AG19" i="29" s="1"/>
  <c r="BG27" i="29"/>
  <c r="BG25" i="29"/>
  <c r="AK27" i="29"/>
  <c r="AU28" i="29" s="1"/>
  <c r="AK26" i="29"/>
  <c r="AU27" i="29" s="1"/>
  <c r="AK25" i="29"/>
  <c r="AU26" i="29" s="1"/>
  <c r="AU25" i="29"/>
  <c r="AK28" i="29"/>
  <c r="AA38" i="29"/>
  <c r="Z38" i="29"/>
  <c r="Y38" i="29"/>
  <c r="W38" i="29"/>
  <c r="V38" i="29"/>
  <c r="U38" i="29"/>
  <c r="S38" i="29"/>
  <c r="R38" i="29"/>
  <c r="Q38" i="29"/>
  <c r="O38" i="29"/>
  <c r="N38" i="29"/>
  <c r="M38" i="29"/>
  <c r="AA37" i="29"/>
  <c r="Z37" i="29"/>
  <c r="Y37" i="29"/>
  <c r="W37" i="29"/>
  <c r="V37" i="29"/>
  <c r="U37" i="29"/>
  <c r="S37" i="29"/>
  <c r="R37" i="29"/>
  <c r="Q37" i="29"/>
  <c r="O37" i="29"/>
  <c r="N37" i="29"/>
  <c r="M37" i="29"/>
  <c r="AA34" i="29"/>
  <c r="Z34" i="29"/>
  <c r="Y34" i="29"/>
  <c r="W34" i="29"/>
  <c r="V34" i="29"/>
  <c r="U34" i="29"/>
  <c r="S34" i="29"/>
  <c r="R34" i="29"/>
  <c r="Q34" i="29"/>
  <c r="O34" i="29"/>
  <c r="N34" i="29"/>
  <c r="M34" i="29"/>
  <c r="AA33" i="29"/>
  <c r="Z33" i="29"/>
  <c r="Y33" i="29"/>
  <c r="W33" i="29"/>
  <c r="V33" i="29"/>
  <c r="U33" i="29"/>
  <c r="S33" i="29"/>
  <c r="R33" i="29"/>
  <c r="Q33" i="29"/>
  <c r="O33" i="29"/>
  <c r="N33" i="29"/>
  <c r="M33" i="29"/>
  <c r="AE31" i="29"/>
  <c r="X25" i="29"/>
  <c r="AB26" i="29"/>
  <c r="AB25" i="29"/>
  <c r="BZ24" i="29"/>
  <c r="BX24" i="29"/>
  <c r="BZ23" i="29"/>
  <c r="Y23" i="29"/>
  <c r="U23" i="29" s="1"/>
  <c r="Q23" i="29" s="1"/>
  <c r="M23" i="29" s="1"/>
  <c r="BZ22" i="29"/>
  <c r="AE22" i="29" s="1"/>
  <c r="AA22" i="29" s="1"/>
  <c r="W22" i="29" s="1"/>
  <c r="S22" i="29" s="1"/>
  <c r="O22" i="29" s="1"/>
  <c r="Y22" i="29"/>
  <c r="U22" i="29" s="1"/>
  <c r="Q22" i="29" s="1"/>
  <c r="M22" i="29" s="1"/>
  <c r="BZ21" i="29"/>
  <c r="AE21" i="29" s="1"/>
  <c r="AA21" i="29" s="1"/>
  <c r="W21" i="29" s="1"/>
  <c r="S21" i="29" s="1"/>
  <c r="O21" i="29" s="1"/>
  <c r="Y21" i="29"/>
  <c r="U21" i="29"/>
  <c r="Q21" i="29" s="1"/>
  <c r="M21" i="29" s="1"/>
  <c r="BZ20" i="29"/>
  <c r="AE20" i="29" s="1"/>
  <c r="AA20" i="29" s="1"/>
  <c r="W20" i="29" s="1"/>
  <c r="S20" i="29" s="1"/>
  <c r="O20" i="29" s="1"/>
  <c r="Y20" i="29"/>
  <c r="U20" i="29" s="1"/>
  <c r="Q20" i="29" s="1"/>
  <c r="M20" i="29" s="1"/>
  <c r="BZ19" i="29"/>
  <c r="AE19" i="29" s="1"/>
  <c r="AA19" i="29" s="1"/>
  <c r="W19" i="29" s="1"/>
  <c r="S19" i="29" s="1"/>
  <c r="O19" i="29" s="1"/>
  <c r="Y19" i="29"/>
  <c r="U19" i="29" s="1"/>
  <c r="Q19" i="29"/>
  <c r="M19" i="29" s="1"/>
  <c r="BZ18" i="29"/>
  <c r="AE18" i="29" s="1"/>
  <c r="AA18" i="29" s="1"/>
  <c r="W18" i="29" s="1"/>
  <c r="S18" i="29" s="1"/>
  <c r="O18" i="29" s="1"/>
  <c r="BX18" i="29"/>
  <c r="Y18" i="29"/>
  <c r="U18" i="29" s="1"/>
  <c r="Q18" i="29"/>
  <c r="M18" i="29" s="1"/>
  <c r="BZ17" i="29"/>
  <c r="BX17" i="29"/>
  <c r="AE17" i="29"/>
  <c r="AA17" i="29" s="1"/>
  <c r="W17" i="29" s="1"/>
  <c r="S17" i="29" s="1"/>
  <c r="O17" i="29" s="1"/>
  <c r="Y17" i="29"/>
  <c r="U17" i="29" s="1"/>
  <c r="Q17" i="29" s="1"/>
  <c r="M17" i="29" s="1"/>
  <c r="BZ16" i="29"/>
  <c r="AE16" i="29" s="1"/>
  <c r="AA16" i="29" s="1"/>
  <c r="W16" i="29" s="1"/>
  <c r="S16" i="29" s="1"/>
  <c r="O16" i="29" s="1"/>
  <c r="BX16" i="29"/>
  <c r="Y16" i="29"/>
  <c r="U16" i="29" s="1"/>
  <c r="Q16" i="29" s="1"/>
  <c r="M16" i="29" s="1"/>
  <c r="BZ15" i="29"/>
  <c r="AE15" i="29" s="1"/>
  <c r="AA15" i="29" s="1"/>
  <c r="W15" i="29" s="1"/>
  <c r="S15" i="29" s="1"/>
  <c r="O15" i="29" s="1"/>
  <c r="Y15" i="29"/>
  <c r="U15" i="29" s="1"/>
  <c r="Q15" i="29" s="1"/>
  <c r="M15" i="29" s="1"/>
  <c r="BZ41" i="29"/>
  <c r="AE41" i="29" s="1"/>
  <c r="AA41" i="29" s="1"/>
  <c r="W41" i="29" s="1"/>
  <c r="S41" i="29" s="1"/>
  <c r="O41" i="29" s="1"/>
  <c r="Y41" i="29"/>
  <c r="U41" i="29" s="1"/>
  <c r="Q41" i="29" s="1"/>
  <c r="M41" i="29" s="1"/>
  <c r="BZ14" i="29"/>
  <c r="AE14" i="29" s="1"/>
  <c r="AA14" i="29" s="1"/>
  <c r="W14" i="29" s="1"/>
  <c r="S14" i="29" s="1"/>
  <c r="O14" i="29" s="1"/>
  <c r="Y14" i="29"/>
  <c r="U14" i="29"/>
  <c r="Q14" i="29" s="1"/>
  <c r="M14" i="29" s="1"/>
  <c r="Y13" i="29"/>
  <c r="U13" i="29"/>
  <c r="Q13" i="29" s="1"/>
  <c r="M13" i="29" s="1"/>
  <c r="Y12" i="29"/>
  <c r="U12" i="29" s="1"/>
  <c r="Q12" i="29" s="1"/>
  <c r="M12" i="29" s="1"/>
  <c r="BZ11" i="29"/>
  <c r="AE11" i="29" s="1"/>
  <c r="AA11" i="29" s="1"/>
  <c r="W11" i="29" s="1"/>
  <c r="S11" i="29" s="1"/>
  <c r="O11" i="29" s="1"/>
  <c r="Y11" i="29"/>
  <c r="U11" i="29" s="1"/>
  <c r="Q11" i="29" s="1"/>
  <c r="M11" i="29" s="1"/>
  <c r="BZ10" i="29"/>
  <c r="AE10" i="29" s="1"/>
  <c r="AA10" i="29" s="1"/>
  <c r="W10" i="29" s="1"/>
  <c r="S10" i="29" s="1"/>
  <c r="O10" i="29" s="1"/>
  <c r="Y10" i="29"/>
  <c r="U10" i="29"/>
  <c r="Q10" i="29" s="1"/>
  <c r="M10" i="29" s="1"/>
  <c r="Y9" i="29"/>
  <c r="U9" i="29" s="1"/>
  <c r="Q9" i="29" s="1"/>
  <c r="M9" i="29" s="1"/>
  <c r="BZ8" i="29"/>
  <c r="AE8" i="29" s="1"/>
  <c r="AA8" i="29" s="1"/>
  <c r="W8" i="29" s="1"/>
  <c r="S8" i="29" s="1"/>
  <c r="O8" i="29" s="1"/>
  <c r="BX8" i="29"/>
  <c r="Y8" i="29"/>
  <c r="U8" i="29" s="1"/>
  <c r="Q8" i="29" s="1"/>
  <c r="M8" i="29" s="1"/>
  <c r="BZ7" i="29"/>
  <c r="AE7" i="29" s="1"/>
  <c r="AA7" i="29" s="1"/>
  <c r="W7" i="29" s="1"/>
  <c r="S7" i="29" s="1"/>
  <c r="O7" i="29" s="1"/>
  <c r="BX7" i="29"/>
  <c r="Y7" i="29"/>
  <c r="U7" i="29" s="1"/>
  <c r="Q7" i="29" s="1"/>
  <c r="M7" i="29" s="1"/>
  <c r="T25" i="29"/>
  <c r="X26" i="29"/>
  <c r="AB27" i="29" s="1"/>
  <c r="L41" i="29"/>
  <c r="AT31" i="29"/>
  <c r="AT30" i="29"/>
  <c r="AW7" i="29"/>
  <c r="BK36" i="41"/>
  <c r="BK35" i="41"/>
  <c r="BK47" i="58"/>
  <c r="BD47" i="58"/>
  <c r="S44" i="26"/>
  <c r="P49" i="25"/>
  <c r="T57" i="25"/>
  <c r="P57" i="25"/>
  <c r="BV11" i="58"/>
  <c r="BN11" i="58"/>
  <c r="BG11" i="58"/>
  <c r="AY11" i="58"/>
  <c r="AQ11" i="58"/>
  <c r="AI11" i="58"/>
  <c r="AA11" i="58"/>
  <c r="S11" i="58"/>
  <c r="BN13" i="58"/>
  <c r="AY13" i="58"/>
  <c r="AI13" i="58"/>
  <c r="S13" i="58"/>
  <c r="AM18" i="29"/>
  <c r="AN18" i="29" s="1"/>
  <c r="AM19" i="29"/>
  <c r="AN19" i="29" s="1"/>
  <c r="BE3" i="29"/>
  <c r="BL30" i="29"/>
  <c r="AM39" i="29"/>
  <c r="AN39" i="29" s="1"/>
  <c r="AG31" i="29"/>
  <c r="BB3" i="29"/>
  <c r="AO13" i="29"/>
  <c r="AZ13" i="29"/>
  <c r="AW13" i="29"/>
  <c r="AW31" i="29" s="1"/>
  <c r="BD32" i="41"/>
  <c r="P23" i="25"/>
  <c r="V24" i="26"/>
  <c r="Y24" i="26" s="1"/>
  <c r="V20" i="26"/>
  <c r="BG9" i="41"/>
  <c r="AI9" i="41"/>
  <c r="CD10" i="41"/>
  <c r="AU11" i="41"/>
  <c r="O11" i="41"/>
  <c r="L39" i="29"/>
  <c r="S12" i="26"/>
  <c r="O12" i="26"/>
  <c r="S14" i="26"/>
  <c r="S21" i="26"/>
  <c r="BZ26" i="41"/>
  <c r="BJ26" i="41" s="1"/>
  <c r="BK33" i="41"/>
  <c r="BD33" i="41"/>
  <c r="Q17" i="25"/>
  <c r="DB10" i="58"/>
  <c r="DP12" i="58"/>
  <c r="DB12" i="58"/>
  <c r="AB13" i="26"/>
  <c r="AD13" i="26"/>
  <c r="AF13" i="26"/>
  <c r="DC10" i="58"/>
  <c r="BC26" i="41"/>
  <c r="L7" i="29"/>
  <c r="L12" i="29"/>
  <c r="L10" i="29"/>
  <c r="L23" i="29" s="1"/>
  <c r="L8" i="29"/>
  <c r="L21" i="29" s="1"/>
  <c r="L14" i="29"/>
  <c r="L11" i="29"/>
  <c r="L9" i="29"/>
  <c r="L22" i="29" s="1"/>
  <c r="L16" i="29"/>
  <c r="AY10" i="41"/>
  <c r="S10" i="41"/>
  <c r="BG10" i="41"/>
  <c r="AM10" i="41"/>
  <c r="BJ10" i="41"/>
  <c r="W10" i="41"/>
  <c r="S8" i="41"/>
  <c r="AY8" i="41"/>
  <c r="BR8" i="41"/>
  <c r="AM8" i="41"/>
  <c r="V38" i="26"/>
  <c r="L13" i="29"/>
  <c r="AI13" i="29" s="1"/>
  <c r="AZ31" i="29"/>
  <c r="AO30" i="29"/>
  <c r="L17" i="29"/>
  <c r="DN17" i="58"/>
  <c r="L21" i="26"/>
  <c r="L25" i="26"/>
  <c r="L22" i="26"/>
  <c r="L15" i="29"/>
  <c r="AZ30" i="29"/>
  <c r="AI7" i="29"/>
  <c r="BD26" i="41" l="1"/>
  <c r="AJ26" i="41"/>
  <c r="CY69" i="58"/>
  <c r="AB26" i="41"/>
  <c r="P26" i="41"/>
  <c r="AF26" i="41"/>
  <c r="O11" i="58"/>
  <c r="F15" i="26"/>
  <c r="J15" i="26"/>
  <c r="AG15" i="26"/>
  <c r="AH15" i="26" s="1"/>
  <c r="AJ15" i="26" s="1"/>
  <c r="K15" i="26"/>
  <c r="G15" i="26"/>
  <c r="K49" i="58"/>
  <c r="F49" i="58"/>
  <c r="G49" i="58"/>
  <c r="J49" i="58"/>
  <c r="F37" i="41"/>
  <c r="J37" i="41"/>
  <c r="K37" i="41"/>
  <c r="G37" i="41"/>
  <c r="J14" i="26"/>
  <c r="F14" i="26"/>
  <c r="G14" i="26"/>
  <c r="AG14" i="26"/>
  <c r="AH14" i="26" s="1"/>
  <c r="AJ14" i="26" s="1"/>
  <c r="K14" i="26"/>
  <c r="G38" i="41"/>
  <c r="J38" i="41"/>
  <c r="K38" i="41"/>
  <c r="F38" i="41"/>
  <c r="K48" i="58"/>
  <c r="J48" i="58"/>
  <c r="G48" i="58"/>
  <c r="F48" i="58"/>
  <c r="CA26" i="41"/>
  <c r="T37" i="58"/>
  <c r="AV26" i="41"/>
  <c r="X26" i="41"/>
  <c r="AZ37" i="58"/>
  <c r="AH10" i="25"/>
  <c r="M10" i="25" s="1"/>
  <c r="M48" i="25" s="1"/>
  <c r="AH12" i="25"/>
  <c r="U12" i="25" s="1"/>
  <c r="AF13" i="25"/>
  <c r="Q13" i="25" s="1"/>
  <c r="AH11" i="25"/>
  <c r="Q11" i="25" s="1"/>
  <c r="Q48" i="25" s="1"/>
  <c r="U48" i="25" s="1"/>
  <c r="AG13" i="25"/>
  <c r="M13" i="25" s="1"/>
  <c r="P37" i="58"/>
  <c r="DE27" i="58"/>
  <c r="DE50" i="58" s="1"/>
  <c r="DE36" i="58"/>
  <c r="DE35" i="58"/>
  <c r="L33" i="26"/>
  <c r="S32" i="26"/>
  <c r="T43" i="25"/>
  <c r="M45" i="25"/>
  <c r="M52" i="25" s="1"/>
  <c r="Q45" i="25"/>
  <c r="U45" i="25" s="1"/>
  <c r="U52" i="25" s="1"/>
  <c r="L32" i="26"/>
  <c r="L39" i="26" s="1"/>
  <c r="CR27" i="41"/>
  <c r="AR26" i="41"/>
  <c r="CY10" i="58"/>
  <c r="BK42" i="58"/>
  <c r="X14" i="25"/>
  <c r="T14" i="25"/>
  <c r="BZ7" i="41"/>
  <c r="CD7" i="41"/>
  <c r="AU9" i="41"/>
  <c r="AE9" i="41"/>
  <c r="O9" i="41"/>
  <c r="BN9" i="41"/>
  <c r="BR9" i="41"/>
  <c r="AQ9" i="41"/>
  <c r="AA9" i="41"/>
  <c r="BV11" i="41"/>
  <c r="AY11" i="41"/>
  <c r="S11" i="41"/>
  <c r="BN11" i="41"/>
  <c r="BJ11" i="41"/>
  <c r="AM11" i="41"/>
  <c r="W11" i="41"/>
  <c r="L69" i="58"/>
  <c r="L37" i="58"/>
  <c r="CX12" i="58"/>
  <c r="CT12" i="58"/>
  <c r="CP12" i="58"/>
  <c r="CL12" i="58"/>
  <c r="CH12" i="58"/>
  <c r="CD12" i="58"/>
  <c r="AS42" i="25"/>
  <c r="O42" i="25" s="1"/>
  <c r="AT42" i="25"/>
  <c r="P42" i="25" s="1"/>
  <c r="L31" i="29"/>
  <c r="L20" i="29" s="1"/>
  <c r="AY26" i="41"/>
  <c r="S26" i="41"/>
  <c r="AM26" i="41"/>
  <c r="BV26" i="41"/>
  <c r="S11" i="26"/>
  <c r="O11" i="26"/>
  <c r="X18" i="25"/>
  <c r="T18" i="25"/>
  <c r="BV10" i="41"/>
  <c r="BR10" i="41"/>
  <c r="AQ10" i="41"/>
  <c r="AA10" i="41"/>
  <c r="Y55" i="25"/>
  <c r="Y52" i="25"/>
  <c r="M27" i="25"/>
  <c r="Y51" i="25"/>
  <c r="W8" i="41"/>
  <c r="BG8" i="41"/>
  <c r="AI8" i="41"/>
  <c r="AE10" i="41"/>
  <c r="O10" i="41"/>
  <c r="AU10" i="41"/>
  <c r="BN10" i="41"/>
  <c r="AI10" i="41"/>
  <c r="BC10" i="41"/>
  <c r="W26" i="41"/>
  <c r="AI26" i="41"/>
  <c r="Q27" i="25"/>
  <c r="U27" i="25" s="1"/>
  <c r="P18" i="25"/>
  <c r="O35" i="26"/>
  <c r="AE11" i="41"/>
  <c r="BG11" i="41"/>
  <c r="S9" i="41"/>
  <c r="AY9" i="41"/>
  <c r="CD8" i="41"/>
  <c r="P14" i="25"/>
  <c r="AM9" i="41"/>
  <c r="AI11" i="41"/>
  <c r="BC9" i="41"/>
  <c r="S36" i="26"/>
  <c r="O36" i="26"/>
  <c r="S17" i="26"/>
  <c r="O17" i="26"/>
  <c r="X49" i="25"/>
  <c r="T49" i="25"/>
  <c r="T23" i="25"/>
  <c r="X23" i="25"/>
  <c r="X45" i="25"/>
  <c r="T48" i="25"/>
  <c r="X48" i="25"/>
  <c r="P10" i="25"/>
  <c r="X10" i="25"/>
  <c r="P11" i="25"/>
  <c r="X11" i="25"/>
  <c r="CX15" i="58"/>
  <c r="CT15" i="58"/>
  <c r="CP15" i="58"/>
  <c r="CL15" i="58"/>
  <c r="CH15" i="58"/>
  <c r="CD15" i="58"/>
  <c r="CX10" i="58"/>
  <c r="CT10" i="58"/>
  <c r="CP10" i="58"/>
  <c r="CL10" i="58"/>
  <c r="CH10" i="58"/>
  <c r="CD10" i="58"/>
  <c r="BJ11" i="58"/>
  <c r="CX11" i="58"/>
  <c r="CT11" i="58"/>
  <c r="CP11" i="58"/>
  <c r="CL11" i="58"/>
  <c r="CH11" i="58"/>
  <c r="CD11" i="58"/>
  <c r="CX13" i="58"/>
  <c r="CT13" i="58"/>
  <c r="CP13" i="58"/>
  <c r="CL13" i="58"/>
  <c r="CH13" i="58"/>
  <c r="CD13" i="58"/>
  <c r="CX65" i="58"/>
  <c r="AR11" i="25"/>
  <c r="AR48" i="25"/>
  <c r="AI15" i="26"/>
  <c r="AI36" i="26"/>
  <c r="AA9" i="56"/>
  <c r="AA11" i="56"/>
  <c r="BD52" i="58"/>
  <c r="BD55" i="58"/>
  <c r="AZ52" i="58"/>
  <c r="BD53" i="58" s="1"/>
  <c r="AZ55" i="58"/>
  <c r="BD56" i="58" s="1"/>
  <c r="BD45" i="58"/>
  <c r="BK45" i="58"/>
  <c r="AA15" i="58"/>
  <c r="BG15" i="58"/>
  <c r="AQ15" i="58"/>
  <c r="BV15" i="58"/>
  <c r="AR52" i="58"/>
  <c r="AV53" i="58" s="1"/>
  <c r="AR55" i="58"/>
  <c r="AV56" i="58" s="1"/>
  <c r="AZ57" i="58" s="1"/>
  <c r="BD58" i="58" s="1"/>
  <c r="AV52" i="58"/>
  <c r="AZ53" i="58" s="1"/>
  <c r="AV55" i="58"/>
  <c r="AZ56" i="58" s="1"/>
  <c r="BD57" i="58" s="1"/>
  <c r="AF37" i="58"/>
  <c r="AE11" i="58"/>
  <c r="DP14" i="58"/>
  <c r="AF52" i="58"/>
  <c r="AJ53" i="58" s="1"/>
  <c r="AF55" i="58"/>
  <c r="AJ56" i="58" s="1"/>
  <c r="AN57" i="58" s="1"/>
  <c r="AR58" i="58" s="1"/>
  <c r="AV59" i="58" s="1"/>
  <c r="AZ60" i="58" s="1"/>
  <c r="AN52" i="58"/>
  <c r="AR53" i="58" s="1"/>
  <c r="AN55" i="58"/>
  <c r="AR56" i="58" s="1"/>
  <c r="AV57" i="58" s="1"/>
  <c r="AZ58" i="58" s="1"/>
  <c r="BD59" i="58" s="1"/>
  <c r="BO37" i="58"/>
  <c r="BY7" i="29"/>
  <c r="BX10" i="29"/>
  <c r="BY15" i="29"/>
  <c r="BX19" i="29"/>
  <c r="BX21" i="29"/>
  <c r="BX23" i="29"/>
  <c r="BX41" i="29"/>
  <c r="DN18" i="58"/>
  <c r="AV69" i="58"/>
  <c r="CE7" i="58"/>
  <c r="AN37" i="58"/>
  <c r="CM37" i="58" s="1"/>
  <c r="CM7" i="58"/>
  <c r="CM69" i="58" s="1"/>
  <c r="DP9" i="58"/>
  <c r="AR14" i="25"/>
  <c r="AR44" i="25"/>
  <c r="AI14" i="26"/>
  <c r="AI44" i="26"/>
  <c r="AA10" i="56"/>
  <c r="AA12" i="56"/>
  <c r="BX14" i="29"/>
  <c r="BX20" i="29"/>
  <c r="BY22" i="29"/>
  <c r="DO7" i="58"/>
  <c r="DO8" i="58"/>
  <c r="DO9" i="58"/>
  <c r="DO11" i="58"/>
  <c r="DO12" i="58"/>
  <c r="DO13" i="58"/>
  <c r="DO15" i="58"/>
  <c r="DP37" i="58"/>
  <c r="CQ7" i="41"/>
  <c r="CQ9" i="41"/>
  <c r="CQ10" i="41"/>
  <c r="CR26" i="41"/>
  <c r="CC26" i="41" s="1"/>
  <c r="BY26" i="41" s="1"/>
  <c r="CQ27" i="41"/>
  <c r="AS43" i="25"/>
  <c r="W43" i="25" s="1"/>
  <c r="AR43" i="25"/>
  <c r="AJ11" i="26"/>
  <c r="R11" i="26" s="1"/>
  <c r="AI11" i="26"/>
  <c r="AJ30" i="26"/>
  <c r="R30" i="26" s="1"/>
  <c r="AI30" i="26"/>
  <c r="AJ31" i="26"/>
  <c r="R31" i="26" s="1"/>
  <c r="AI31" i="26"/>
  <c r="AB7" i="56"/>
  <c r="N7" i="56" s="1"/>
  <c r="BY18" i="29"/>
  <c r="BY24" i="29"/>
  <c r="AD21" i="29" s="1"/>
  <c r="Z21" i="29" s="1"/>
  <c r="V21" i="29" s="1"/>
  <c r="R21" i="29" s="1"/>
  <c r="N21" i="29" s="1"/>
  <c r="DP10" i="58"/>
  <c r="DO10" i="58"/>
  <c r="DP38" i="58"/>
  <c r="DA12" i="58" s="1"/>
  <c r="V12" i="58" s="1"/>
  <c r="DO38" i="58"/>
  <c r="CR8" i="41"/>
  <c r="AS44" i="25"/>
  <c r="BX15" i="29"/>
  <c r="BX22" i="29"/>
  <c r="BY8" i="29"/>
  <c r="BY16" i="29"/>
  <c r="BY23" i="29"/>
  <c r="DP8" i="58"/>
  <c r="AJ32" i="26"/>
  <c r="AB8" i="56"/>
  <c r="N8" i="56" s="1"/>
  <c r="AB12" i="56"/>
  <c r="N12" i="56" s="1"/>
  <c r="CR9" i="41"/>
  <c r="AS11" i="25"/>
  <c r="S11" i="25" s="1"/>
  <c r="AS45" i="25"/>
  <c r="O45" i="25" s="1"/>
  <c r="AB9" i="56"/>
  <c r="N9" i="56" s="1"/>
  <c r="AB13" i="56"/>
  <c r="N13" i="56" s="1"/>
  <c r="BY41" i="29"/>
  <c r="BY17" i="29"/>
  <c r="AS14" i="25"/>
  <c r="W14" i="25" s="1"/>
  <c r="AB10" i="56"/>
  <c r="N10" i="56" s="1"/>
  <c r="AB11" i="56"/>
  <c r="N11" i="56" s="1"/>
  <c r="AI31" i="29"/>
  <c r="AD51" i="25"/>
  <c r="T42" i="25"/>
  <c r="X42" i="25"/>
  <c r="AB37" i="58"/>
  <c r="L26" i="41"/>
  <c r="AZ51" i="41"/>
  <c r="BD69" i="58"/>
  <c r="X69" i="58"/>
  <c r="AR23" i="25"/>
  <c r="P45" i="25"/>
  <c r="O32" i="26"/>
  <c r="BX11" i="29"/>
  <c r="Q57" i="25"/>
  <c r="U14" i="25"/>
  <c r="U57" i="25" s="1"/>
  <c r="Z56" i="25"/>
  <c r="T45" i="25"/>
  <c r="AI30" i="29"/>
  <c r="AL30" i="29"/>
  <c r="AL31" i="29"/>
  <c r="AE23" i="29"/>
  <c r="AA23" i="29" s="1"/>
  <c r="W23" i="29" s="1"/>
  <c r="S23" i="29" s="1"/>
  <c r="O23" i="29" s="1"/>
  <c r="BC30" i="29"/>
  <c r="AZ37" i="29" s="1"/>
  <c r="O9" i="26"/>
  <c r="O31" i="26"/>
  <c r="BI9" i="29"/>
  <c r="AR17" i="25"/>
  <c r="AT17" i="25"/>
  <c r="X17" i="25" s="1"/>
  <c r="AT20" i="25"/>
  <c r="X20" i="25" s="1"/>
  <c r="AR24" i="25"/>
  <c r="AT24" i="25"/>
  <c r="X24" i="25" s="1"/>
  <c r="AR40" i="25"/>
  <c r="AT40" i="25"/>
  <c r="X40" i="25" s="1"/>
  <c r="AS58" i="25"/>
  <c r="W58" i="25" s="1"/>
  <c r="AT58" i="25"/>
  <c r="X58" i="25" s="1"/>
  <c r="AD25" i="26"/>
  <c r="AD24" i="26"/>
  <c r="AD23" i="26"/>
  <c r="AI23" i="26" s="1"/>
  <c r="AD22" i="26"/>
  <c r="BW26" i="41"/>
  <c r="W40" i="26"/>
  <c r="BI7" i="29"/>
  <c r="BI31" i="29" s="1"/>
  <c r="BL31" i="29"/>
  <c r="BZ9" i="58"/>
  <c r="DB9" i="58"/>
  <c r="BZ8" i="58"/>
  <c r="DB8" i="58"/>
  <c r="BW69" i="58"/>
  <c r="BW37" i="58"/>
  <c r="BS37" i="58"/>
  <c r="BS69" i="58"/>
  <c r="BK37" i="58"/>
  <c r="CQ37" i="58" s="1"/>
  <c r="BK69" i="58"/>
  <c r="BV10" i="58"/>
  <c r="BR10" i="58"/>
  <c r="BN10" i="58"/>
  <c r="BJ10" i="58"/>
  <c r="BG10" i="58"/>
  <c r="BC10" i="58"/>
  <c r="AY10" i="58"/>
  <c r="AU10" i="58"/>
  <c r="AQ10" i="58"/>
  <c r="AM10" i="58"/>
  <c r="AI10" i="58"/>
  <c r="AE10" i="58"/>
  <c r="AA10" i="58"/>
  <c r="W10" i="58"/>
  <c r="S10" i="58"/>
  <c r="O10" i="58"/>
  <c r="BR11" i="58"/>
  <c r="BC11" i="58"/>
  <c r="AM11" i="58"/>
  <c r="W11" i="58"/>
  <c r="DP11" i="58"/>
  <c r="DB11" i="58"/>
  <c r="AE25" i="26"/>
  <c r="AR18" i="25"/>
  <c r="AS23" i="25"/>
  <c r="W23" i="25" s="1"/>
  <c r="AR49" i="25"/>
  <c r="AJ12" i="26"/>
  <c r="N12" i="26" s="1"/>
  <c r="AJ17" i="26"/>
  <c r="N17" i="26" s="1"/>
  <c r="AJ20" i="26"/>
  <c r="AI9" i="26"/>
  <c r="AJ9" i="26"/>
  <c r="AS15" i="25"/>
  <c r="W15" i="25" s="1"/>
  <c r="AR15" i="25"/>
  <c r="AI10" i="26"/>
  <c r="AJ10" i="26"/>
  <c r="AJ23" i="26"/>
  <c r="AI12" i="26"/>
  <c r="AS18" i="25"/>
  <c r="W18" i="25" s="1"/>
  <c r="BY11" i="29"/>
  <c r="DD17" i="58"/>
  <c r="DD20" i="58"/>
  <c r="DD24" i="58"/>
  <c r="CF19" i="41"/>
  <c r="CF12" i="41"/>
  <c r="L30" i="29"/>
  <c r="BR26" i="41"/>
  <c r="AQ26" i="41"/>
  <c r="AA26" i="41"/>
  <c r="BN26" i="41"/>
  <c r="AU26" i="41"/>
  <c r="AE26" i="41"/>
  <c r="O26" i="41"/>
  <c r="BG26" i="41"/>
  <c r="L23" i="26"/>
  <c r="L24" i="26"/>
  <c r="Y40" i="26"/>
  <c r="AL21" i="29"/>
  <c r="AK18" i="29"/>
  <c r="AL18" i="29" s="1"/>
  <c r="AN31" i="29"/>
  <c r="AS3" i="29"/>
  <c r="AT3" i="29"/>
  <c r="T39" i="29"/>
  <c r="AY3" i="29"/>
  <c r="BF3" i="29"/>
  <c r="BB37" i="29"/>
  <c r="T35" i="29"/>
  <c r="AN35" i="29"/>
  <c r="BS51" i="41"/>
  <c r="BS26" i="41"/>
  <c r="T26" i="41"/>
  <c r="T51" i="41"/>
  <c r="S10" i="26"/>
  <c r="O10" i="26"/>
  <c r="O20" i="26"/>
  <c r="T15" i="25"/>
  <c r="P15" i="25"/>
  <c r="T44" i="25"/>
  <c r="P44" i="25"/>
  <c r="BD31" i="41"/>
  <c r="BK31" i="41"/>
  <c r="BK51" i="41"/>
  <c r="BK26" i="41"/>
  <c r="O15" i="58"/>
  <c r="AE15" i="58"/>
  <c r="AU15" i="58"/>
  <c r="BJ15" i="58"/>
  <c r="W15" i="58"/>
  <c r="BC15" i="58"/>
  <c r="AM15" i="58"/>
  <c r="BR15" i="58"/>
  <c r="S15" i="58"/>
  <c r="AI15" i="58"/>
  <c r="AY15" i="58"/>
  <c r="BN15" i="58"/>
  <c r="DB15" i="58"/>
  <c r="DP15" i="58"/>
  <c r="T13" i="29"/>
  <c r="AW30" i="29"/>
  <c r="L19" i="29"/>
  <c r="L18" i="29"/>
  <c r="AN14" i="29"/>
  <c r="AN30" i="29" s="1"/>
  <c r="AM30" i="29"/>
  <c r="AM20" i="29" s="1"/>
  <c r="AN20" i="29" s="1"/>
  <c r="AO31" i="29"/>
  <c r="L12" i="26"/>
  <c r="L34" i="26" s="1"/>
  <c r="M47" i="25"/>
  <c r="S15" i="26"/>
  <c r="O15" i="26"/>
  <c r="S30" i="26"/>
  <c r="O30" i="26"/>
  <c r="BC7" i="41"/>
  <c r="BR7" i="41"/>
  <c r="AM7" i="41"/>
  <c r="AA7" i="41"/>
  <c r="S7" i="41"/>
  <c r="AE7" i="41"/>
  <c r="BG7" i="41"/>
  <c r="AQ7" i="41"/>
  <c r="W7" i="41"/>
  <c r="BC8" i="41"/>
  <c r="AA8" i="41"/>
  <c r="AQ8" i="41"/>
  <c r="BN8" i="41"/>
  <c r="BJ8" i="41"/>
  <c r="O8" i="41"/>
  <c r="AE8" i="41"/>
  <c r="AU8" i="41"/>
  <c r="BD34" i="41"/>
  <c r="BK34" i="41"/>
  <c r="M26" i="25"/>
  <c r="Q26" i="25"/>
  <c r="U26" i="25" s="1"/>
  <c r="Q21" i="25"/>
  <c r="M21" i="25"/>
  <c r="L17" i="26"/>
  <c r="BI30" i="29"/>
  <c r="BI15" i="29"/>
  <c r="BR13" i="58"/>
  <c r="BC13" i="58"/>
  <c r="AM13" i="58"/>
  <c r="W13" i="58"/>
  <c r="BJ13" i="58"/>
  <c r="AE13" i="58"/>
  <c r="AU13" i="58"/>
  <c r="O13" i="58"/>
  <c r="BV13" i="58"/>
  <c r="BG13" i="58"/>
  <c r="AQ13" i="58"/>
  <c r="AA13" i="58"/>
  <c r="DP13" i="58"/>
  <c r="DB13" i="58"/>
  <c r="BZ14" i="58"/>
  <c r="DB14" i="58"/>
  <c r="AK18" i="26"/>
  <c r="AK19" i="26"/>
  <c r="AK24" i="26"/>
  <c r="AK26" i="26"/>
  <c r="AK27" i="26"/>
  <c r="AK28" i="26"/>
  <c r="AK29" i="26"/>
  <c r="AA34" i="26"/>
  <c r="AA33" i="26"/>
  <c r="AA13" i="26"/>
  <c r="AC34" i="26"/>
  <c r="AC33" i="26"/>
  <c r="AC13" i="26"/>
  <c r="AE34" i="26"/>
  <c r="AE33" i="26"/>
  <c r="AE13" i="26"/>
  <c r="BH31" i="29"/>
  <c r="BA37" i="29"/>
  <c r="AK16" i="26"/>
  <c r="AK23" i="26"/>
  <c r="AI20" i="26"/>
  <c r="AK22" i="26"/>
  <c r="AI17" i="26"/>
  <c r="T40" i="25"/>
  <c r="P40" i="25"/>
  <c r="O10" i="25"/>
  <c r="S10" i="25"/>
  <c r="BC11" i="41"/>
  <c r="BR11" i="41"/>
  <c r="AQ11" i="41"/>
  <c r="AA11" i="41"/>
  <c r="CP11" i="41"/>
  <c r="CR10" i="41"/>
  <c r="BD44" i="58"/>
  <c r="BK44" i="58"/>
  <c r="AA9" i="58"/>
  <c r="AQ9" i="58"/>
  <c r="BG9" i="58"/>
  <c r="BV9" i="58"/>
  <c r="AI9" i="58"/>
  <c r="BN9" i="58"/>
  <c r="AY9" i="58"/>
  <c r="AR37" i="58"/>
  <c r="CA37" i="58" s="1"/>
  <c r="AR69" i="58"/>
  <c r="AJ37" i="58"/>
  <c r="CI37" i="58" s="1"/>
  <c r="AJ69" i="58"/>
  <c r="BV12" i="58"/>
  <c r="BR12" i="58"/>
  <c r="BN12" i="58"/>
  <c r="BJ12" i="58"/>
  <c r="BG12" i="58"/>
  <c r="BC12" i="58"/>
  <c r="AY12" i="58"/>
  <c r="AU12" i="58"/>
  <c r="AQ12" i="58"/>
  <c r="AM12" i="58"/>
  <c r="AI12" i="58"/>
  <c r="AE12" i="58"/>
  <c r="AA12" i="58"/>
  <c r="W12" i="58"/>
  <c r="S12" i="58"/>
  <c r="O12" i="58"/>
  <c r="BZ9" i="29"/>
  <c r="AE9" i="29" s="1"/>
  <c r="AA9" i="29" s="1"/>
  <c r="W9" i="29" s="1"/>
  <c r="S9" i="29" s="1"/>
  <c r="O9" i="29" s="1"/>
  <c r="BZ12" i="29"/>
  <c r="AE12" i="29" s="1"/>
  <c r="AA12" i="29" s="1"/>
  <c r="W12" i="29" s="1"/>
  <c r="S12" i="29" s="1"/>
  <c r="O12" i="29" s="1"/>
  <c r="BZ13" i="29"/>
  <c r="AE13" i="29" s="1"/>
  <c r="AA13" i="29" s="1"/>
  <c r="W13" i="29" s="1"/>
  <c r="S13" i="29" s="1"/>
  <c r="O13" i="29" s="1"/>
  <c r="W38" i="26"/>
  <c r="Q22" i="25"/>
  <c r="Q46" i="25" s="1"/>
  <c r="M22" i="25"/>
  <c r="M46" i="25" s="1"/>
  <c r="BD46" i="58"/>
  <c r="BK46" i="58"/>
  <c r="AT16" i="25"/>
  <c r="X16" i="25" s="1"/>
  <c r="AT19" i="25"/>
  <c r="X19" i="25" s="1"/>
  <c r="AT21" i="25"/>
  <c r="X21" i="25" s="1"/>
  <c r="AT22" i="25"/>
  <c r="X22" i="25" s="1"/>
  <c r="AT25" i="25"/>
  <c r="X25" i="25" s="1"/>
  <c r="AT26" i="25"/>
  <c r="X26" i="25" s="1"/>
  <c r="AT27" i="25"/>
  <c r="X27" i="25" s="1"/>
  <c r="AT28" i="25"/>
  <c r="X28" i="25" s="1"/>
  <c r="AT29" i="25"/>
  <c r="X29" i="25" s="1"/>
  <c r="AT30" i="25"/>
  <c r="X30" i="25" s="1"/>
  <c r="AT31" i="25"/>
  <c r="X31" i="25" s="1"/>
  <c r="AT32" i="25"/>
  <c r="X32" i="25" s="1"/>
  <c r="AT33" i="25"/>
  <c r="X33" i="25" s="1"/>
  <c r="AT34" i="25"/>
  <c r="X34" i="25" s="1"/>
  <c r="AT35" i="25"/>
  <c r="X35" i="25" s="1"/>
  <c r="AT36" i="25"/>
  <c r="X36" i="25" s="1"/>
  <c r="AT37" i="25"/>
  <c r="X37" i="25" s="1"/>
  <c r="AT38" i="25"/>
  <c r="X38" i="25" s="1"/>
  <c r="AT39" i="25"/>
  <c r="X39" i="25" s="1"/>
  <c r="AT41" i="25"/>
  <c r="X41" i="25" s="1"/>
  <c r="AT46" i="25"/>
  <c r="X46" i="25" s="1"/>
  <c r="AT47" i="25"/>
  <c r="X47" i="25" s="1"/>
  <c r="DG17" i="58"/>
  <c r="DQ16" i="58"/>
  <c r="DC14" i="58"/>
  <c r="CY14" i="58" s="1"/>
  <c r="BZ37" i="58"/>
  <c r="DB37" i="58"/>
  <c r="S8" i="58"/>
  <c r="AI8" i="58"/>
  <c r="AY8" i="58"/>
  <c r="BN8" i="58"/>
  <c r="BZ7" i="58"/>
  <c r="DB7" i="58"/>
  <c r="AB34" i="26"/>
  <c r="AD34" i="26"/>
  <c r="AF34" i="26"/>
  <c r="CI12" i="41"/>
  <c r="AD23" i="29" l="1"/>
  <c r="Z23" i="29" s="1"/>
  <c r="V23" i="29" s="1"/>
  <c r="R23" i="29" s="1"/>
  <c r="N23" i="29" s="1"/>
  <c r="Q52" i="25"/>
  <c r="AD19" i="29"/>
  <c r="Z19" i="29" s="1"/>
  <c r="V19" i="29" s="1"/>
  <c r="R19" i="29" s="1"/>
  <c r="N19" i="29" s="1"/>
  <c r="CC8" i="41"/>
  <c r="BU8" i="41" s="1"/>
  <c r="CC10" i="41"/>
  <c r="CC9" i="41"/>
  <c r="BM9" i="41" s="1"/>
  <c r="BM12" i="58"/>
  <c r="AD11" i="29"/>
  <c r="Z11" i="29" s="1"/>
  <c r="V11" i="29" s="1"/>
  <c r="R11" i="29" s="1"/>
  <c r="N11" i="29" s="1"/>
  <c r="AR42" i="25"/>
  <c r="S45" i="25"/>
  <c r="AD10" i="29"/>
  <c r="Z10" i="29" s="1"/>
  <c r="V10" i="29" s="1"/>
  <c r="R10" i="29" s="1"/>
  <c r="N10" i="29" s="1"/>
  <c r="AD17" i="29"/>
  <c r="Z17" i="29" s="1"/>
  <c r="V17" i="29" s="1"/>
  <c r="R17" i="29" s="1"/>
  <c r="N17" i="29" s="1"/>
  <c r="CE69" i="58"/>
  <c r="CU7" i="58"/>
  <c r="CU69" i="58" s="1"/>
  <c r="CX7" i="58"/>
  <c r="CT7" i="58"/>
  <c r="CP7" i="58"/>
  <c r="CL7" i="58"/>
  <c r="CH7" i="58"/>
  <c r="CD7" i="58"/>
  <c r="CX37" i="58"/>
  <c r="CT37" i="58"/>
  <c r="CP37" i="58"/>
  <c r="CL37" i="58"/>
  <c r="CH37" i="58"/>
  <c r="CD37" i="58"/>
  <c r="CX14" i="58"/>
  <c r="CT14" i="58"/>
  <c r="CP14" i="58"/>
  <c r="CL14" i="58"/>
  <c r="CH14" i="58"/>
  <c r="CD14" i="58"/>
  <c r="BV7" i="41"/>
  <c r="AY7" i="41"/>
  <c r="AU7" i="41"/>
  <c r="BJ7" i="41"/>
  <c r="O7" i="41"/>
  <c r="BN7" i="41"/>
  <c r="AI7" i="41"/>
  <c r="CX8" i="58"/>
  <c r="CT8" i="58"/>
  <c r="CP8" i="58"/>
  <c r="CL8" i="58"/>
  <c r="CH8" i="58"/>
  <c r="CD8" i="58"/>
  <c r="CX9" i="58"/>
  <c r="CT9" i="58"/>
  <c r="CP9" i="58"/>
  <c r="CL9" i="58"/>
  <c r="CH9" i="58"/>
  <c r="CD9" i="58"/>
  <c r="AD12" i="58"/>
  <c r="AD20" i="29"/>
  <c r="Z20" i="29" s="1"/>
  <c r="V20" i="29" s="1"/>
  <c r="R20" i="29" s="1"/>
  <c r="N20" i="29" s="1"/>
  <c r="AX12" i="58"/>
  <c r="AD22" i="29"/>
  <c r="Z22" i="29" s="1"/>
  <c r="V22" i="29" s="1"/>
  <c r="R22" i="29" s="1"/>
  <c r="N22" i="29" s="1"/>
  <c r="BM26" i="41"/>
  <c r="R26" i="41"/>
  <c r="BI12" i="58"/>
  <c r="S43" i="25"/>
  <c r="DA11" i="58"/>
  <c r="CS11" i="58" s="1"/>
  <c r="AD41" i="29"/>
  <c r="Z41" i="29" s="1"/>
  <c r="V41" i="29" s="1"/>
  <c r="R41" i="29" s="1"/>
  <c r="N41" i="29" s="1"/>
  <c r="R12" i="26"/>
  <c r="DA37" i="58"/>
  <c r="BF37" i="58" s="1"/>
  <c r="N32" i="26"/>
  <c r="R32" i="26"/>
  <c r="S44" i="25"/>
  <c r="W44" i="25"/>
  <c r="O44" i="25"/>
  <c r="R12" i="58"/>
  <c r="BQ12" i="58"/>
  <c r="AH12" i="58"/>
  <c r="BB12" i="58"/>
  <c r="AH26" i="41"/>
  <c r="AX26" i="41"/>
  <c r="AH37" i="58"/>
  <c r="DA14" i="58"/>
  <c r="CS14" i="58" s="1"/>
  <c r="DA13" i="58"/>
  <c r="CO13" i="58" s="1"/>
  <c r="DA15" i="58"/>
  <c r="CW15" i="58" s="1"/>
  <c r="S14" i="25"/>
  <c r="DA8" i="58"/>
  <c r="CW8" i="58" s="1"/>
  <c r="N30" i="26"/>
  <c r="O43" i="25"/>
  <c r="N11" i="26"/>
  <c r="O14" i="25"/>
  <c r="CW12" i="58"/>
  <c r="CO12" i="58"/>
  <c r="CG12" i="58"/>
  <c r="CS12" i="58"/>
  <c r="CK12" i="58"/>
  <c r="CC12" i="58"/>
  <c r="AD16" i="29"/>
  <c r="Z16" i="29" s="1"/>
  <c r="V16" i="29" s="1"/>
  <c r="R16" i="29" s="1"/>
  <c r="N16" i="29" s="1"/>
  <c r="DA9" i="58"/>
  <c r="BF9" i="58" s="1"/>
  <c r="DN19" i="58"/>
  <c r="AT12" i="58"/>
  <c r="DA10" i="58"/>
  <c r="BF10" i="58" s="1"/>
  <c r="AI22" i="26"/>
  <c r="AJ22" i="26"/>
  <c r="N22" i="26" s="1"/>
  <c r="AR20" i="25"/>
  <c r="AS20" i="25"/>
  <c r="W20" i="25" s="1"/>
  <c r="O11" i="25"/>
  <c r="W11" i="25"/>
  <c r="AS40" i="25"/>
  <c r="W40" i="25" s="1"/>
  <c r="N31" i="26"/>
  <c r="AS17" i="25"/>
  <c r="W17" i="25" s="1"/>
  <c r="W42" i="25"/>
  <c r="S42" i="25"/>
  <c r="AS24" i="25"/>
  <c r="W24" i="25" s="1"/>
  <c r="AR58" i="25"/>
  <c r="Z12" i="58"/>
  <c r="AD15" i="29"/>
  <c r="Z15" i="29" s="1"/>
  <c r="V15" i="29" s="1"/>
  <c r="R15" i="29" s="1"/>
  <c r="N15" i="29" s="1"/>
  <c r="AD14" i="29"/>
  <c r="Z14" i="29" s="1"/>
  <c r="V14" i="29" s="1"/>
  <c r="R14" i="29" s="1"/>
  <c r="N14" i="29" s="1"/>
  <c r="AD7" i="29"/>
  <c r="Z7" i="29" s="1"/>
  <c r="V7" i="29" s="1"/>
  <c r="R7" i="29" s="1"/>
  <c r="N7" i="29" s="1"/>
  <c r="AD8" i="29"/>
  <c r="Z8" i="29" s="1"/>
  <c r="V8" i="29" s="1"/>
  <c r="R8" i="29" s="1"/>
  <c r="N8" i="29" s="1"/>
  <c r="R17" i="26"/>
  <c r="W45" i="25"/>
  <c r="AD18" i="29"/>
  <c r="Z18" i="29" s="1"/>
  <c r="V18" i="29" s="1"/>
  <c r="R18" i="29" s="1"/>
  <c r="N18" i="29" s="1"/>
  <c r="U53" i="25"/>
  <c r="U51" i="25"/>
  <c r="AP26" i="41"/>
  <c r="BU26" i="41"/>
  <c r="BI26" i="41"/>
  <c r="AL26" i="41"/>
  <c r="V26" i="41"/>
  <c r="BB26" i="41"/>
  <c r="BQ26" i="41"/>
  <c r="Z26" i="41"/>
  <c r="BF26" i="41"/>
  <c r="AT26" i="41"/>
  <c r="AD26" i="41"/>
  <c r="N26" i="41"/>
  <c r="BF12" i="58"/>
  <c r="AP12" i="58"/>
  <c r="N12" i="58"/>
  <c r="BU12" i="58"/>
  <c r="BY12" i="58"/>
  <c r="AL12" i="58"/>
  <c r="DD23" i="58"/>
  <c r="CF18" i="41"/>
  <c r="DD18" i="58"/>
  <c r="CF13" i="41"/>
  <c r="CF15" i="41"/>
  <c r="Q44" i="25"/>
  <c r="U44" i="25" s="1"/>
  <c r="BB37" i="58"/>
  <c r="AQ8" i="58"/>
  <c r="BV8" i="58"/>
  <c r="AA8" i="58"/>
  <c r="BG8" i="58"/>
  <c r="O8" i="58"/>
  <c r="AE8" i="58"/>
  <c r="AU8" i="58"/>
  <c r="BJ8" i="58"/>
  <c r="AM8" i="58"/>
  <c r="BR8" i="58"/>
  <c r="W8" i="58"/>
  <c r="BC8" i="58"/>
  <c r="S9" i="58"/>
  <c r="W9" i="58"/>
  <c r="AM9" i="58"/>
  <c r="BC9" i="58"/>
  <c r="BR9" i="58"/>
  <c r="O9" i="58"/>
  <c r="AE9" i="58"/>
  <c r="AU9" i="58"/>
  <c r="BJ9" i="58"/>
  <c r="AI21" i="26"/>
  <c r="AJ21" i="26"/>
  <c r="L46" i="26"/>
  <c r="N20" i="26"/>
  <c r="R20" i="26"/>
  <c r="S23" i="25"/>
  <c r="O23" i="25"/>
  <c r="AK25" i="26"/>
  <c r="T58" i="25"/>
  <c r="P58" i="25"/>
  <c r="P24" i="25"/>
  <c r="T24" i="25"/>
  <c r="T20" i="25"/>
  <c r="P20" i="25"/>
  <c r="T17" i="25"/>
  <c r="P17" i="25"/>
  <c r="R9" i="26"/>
  <c r="N9" i="26"/>
  <c r="N23" i="26"/>
  <c r="R23" i="26"/>
  <c r="S15" i="25"/>
  <c r="O15" i="25"/>
  <c r="S18" i="25"/>
  <c r="O18" i="25"/>
  <c r="N10" i="26"/>
  <c r="R10" i="26"/>
  <c r="O58" i="25"/>
  <c r="S58" i="25"/>
  <c r="CS12" i="41"/>
  <c r="CI13" i="41"/>
  <c r="BZ16" i="58"/>
  <c r="DB16" i="58"/>
  <c r="DO16" i="58"/>
  <c r="DP16" i="58"/>
  <c r="DA16" i="58" s="1"/>
  <c r="AR47" i="25"/>
  <c r="AS47" i="25"/>
  <c r="W47" i="25" s="1"/>
  <c r="AS46" i="25"/>
  <c r="W46" i="25" s="1"/>
  <c r="AR46" i="25"/>
  <c r="AS41" i="25"/>
  <c r="W41" i="25" s="1"/>
  <c r="AR41" i="25"/>
  <c r="AS39" i="25"/>
  <c r="W39" i="25" s="1"/>
  <c r="AR39" i="25"/>
  <c r="AS38" i="25"/>
  <c r="W38" i="25" s="1"/>
  <c r="AR38" i="25"/>
  <c r="AS37" i="25"/>
  <c r="W37" i="25" s="1"/>
  <c r="AR37" i="25"/>
  <c r="AS36" i="25"/>
  <c r="W36" i="25" s="1"/>
  <c r="AR36" i="25"/>
  <c r="AS35" i="25"/>
  <c r="W35" i="25" s="1"/>
  <c r="AR35" i="25"/>
  <c r="AS34" i="25"/>
  <c r="W34" i="25" s="1"/>
  <c r="AR34" i="25"/>
  <c r="AS33" i="25"/>
  <c r="W33" i="25" s="1"/>
  <c r="AR33" i="25"/>
  <c r="AS32" i="25"/>
  <c r="W32" i="25" s="1"/>
  <c r="AR32" i="25"/>
  <c r="AS31" i="25"/>
  <c r="W31" i="25" s="1"/>
  <c r="AR31" i="25"/>
  <c r="AS30" i="25"/>
  <c r="W30" i="25" s="1"/>
  <c r="AR30" i="25"/>
  <c r="AS29" i="25"/>
  <c r="W29" i="25" s="1"/>
  <c r="AR29" i="25"/>
  <c r="AS28" i="25"/>
  <c r="W28" i="25" s="1"/>
  <c r="AR28" i="25"/>
  <c r="AS27" i="25"/>
  <c r="W27" i="25" s="1"/>
  <c r="AR27" i="25"/>
  <c r="AR26" i="25"/>
  <c r="AS26" i="25"/>
  <c r="W26" i="25" s="1"/>
  <c r="AS25" i="25"/>
  <c r="W25" i="25" s="1"/>
  <c r="AR25" i="25"/>
  <c r="AS22" i="25"/>
  <c r="W22" i="25" s="1"/>
  <c r="AR22" i="25"/>
  <c r="AR21" i="25"/>
  <c r="AS21" i="25"/>
  <c r="W21" i="25" s="1"/>
  <c r="AS19" i="25"/>
  <c r="W19" i="25" s="1"/>
  <c r="AR19" i="25"/>
  <c r="AS16" i="25"/>
  <c r="W16" i="25" s="1"/>
  <c r="AR16" i="25"/>
  <c r="R15" i="26"/>
  <c r="N15" i="26"/>
  <c r="BX13" i="29"/>
  <c r="BY13" i="29"/>
  <c r="AD13" i="29" s="1"/>
  <c r="Z13" i="29" s="1"/>
  <c r="V13" i="29" s="1"/>
  <c r="R13" i="29" s="1"/>
  <c r="N13" i="29" s="1"/>
  <c r="BX12" i="29"/>
  <c r="BY12" i="29"/>
  <c r="AD12" i="29" s="1"/>
  <c r="Z12" i="29" s="1"/>
  <c r="V12" i="29" s="1"/>
  <c r="R12" i="29" s="1"/>
  <c r="N12" i="29" s="1"/>
  <c r="BX9" i="29"/>
  <c r="BY9" i="29"/>
  <c r="AD9" i="29" s="1"/>
  <c r="Z9" i="29" s="1"/>
  <c r="V9" i="29" s="1"/>
  <c r="R9" i="29" s="1"/>
  <c r="N9" i="29" s="1"/>
  <c r="S23" i="26"/>
  <c r="O23" i="26"/>
  <c r="AK33" i="26"/>
  <c r="AJ16" i="26"/>
  <c r="AI16" i="26"/>
  <c r="AI29" i="26"/>
  <c r="AJ29" i="26"/>
  <c r="AI28" i="26"/>
  <c r="AJ28" i="26"/>
  <c r="AI27" i="26"/>
  <c r="AJ27" i="26"/>
  <c r="AI26" i="26"/>
  <c r="AJ26" i="26"/>
  <c r="AI24" i="26"/>
  <c r="AJ24" i="26"/>
  <c r="S19" i="26"/>
  <c r="O19" i="26"/>
  <c r="S18" i="26"/>
  <c r="O18" i="26"/>
  <c r="L31" i="26"/>
  <c r="L40" i="26"/>
  <c r="L38" i="26"/>
  <c r="L29" i="26"/>
  <c r="M43" i="25"/>
  <c r="M53" i="25"/>
  <c r="M51" i="25"/>
  <c r="P30" i="26" s="1"/>
  <c r="AQ13" i="29"/>
  <c r="T16" i="29"/>
  <c r="DD15" i="58"/>
  <c r="DD19" i="58"/>
  <c r="DD22" i="58"/>
  <c r="CF14" i="41"/>
  <c r="CF10" i="41"/>
  <c r="CF17" i="41"/>
  <c r="DD21" i="58"/>
  <c r="DD16" i="58"/>
  <c r="CF16" i="41"/>
  <c r="CF11" i="41"/>
  <c r="BK3" i="29"/>
  <c r="BN3" i="29"/>
  <c r="T14" i="29"/>
  <c r="T11" i="29"/>
  <c r="T10" i="29"/>
  <c r="T23" i="29" s="1"/>
  <c r="T17" i="29"/>
  <c r="T12" i="29"/>
  <c r="T7" i="29"/>
  <c r="T9" i="29"/>
  <c r="T15" i="29"/>
  <c r="T8" i="29"/>
  <c r="T21" i="29" s="1"/>
  <c r="CR11" i="41"/>
  <c r="CC11" i="41" s="1"/>
  <c r="CQ11" i="41"/>
  <c r="BV7" i="58"/>
  <c r="O7" i="58"/>
  <c r="W7" i="58"/>
  <c r="AE7" i="58"/>
  <c r="AM7" i="58"/>
  <c r="AU7" i="58"/>
  <c r="BC7" i="58"/>
  <c r="BJ7" i="58"/>
  <c r="BN7" i="58"/>
  <c r="AA7" i="58"/>
  <c r="AQ7" i="58"/>
  <c r="BG7" i="58"/>
  <c r="S7" i="58"/>
  <c r="AI7" i="58"/>
  <c r="AY7" i="58"/>
  <c r="BR7" i="58"/>
  <c r="BN37" i="58"/>
  <c r="BV37" i="58"/>
  <c r="BR37" i="58"/>
  <c r="BJ37" i="58"/>
  <c r="O37" i="58"/>
  <c r="W37" i="58"/>
  <c r="AE37" i="58"/>
  <c r="AM37" i="58"/>
  <c r="AU37" i="58"/>
  <c r="BC37" i="58"/>
  <c r="AA37" i="58"/>
  <c r="AQ37" i="58"/>
  <c r="BG37" i="58"/>
  <c r="S37" i="58"/>
  <c r="AI37" i="58"/>
  <c r="AY37" i="58"/>
  <c r="DQ17" i="58"/>
  <c r="DG18" i="58"/>
  <c r="T47" i="25"/>
  <c r="P47" i="25"/>
  <c r="T46" i="25"/>
  <c r="P46" i="25"/>
  <c r="T41" i="25"/>
  <c r="P41" i="25"/>
  <c r="T39" i="25"/>
  <c r="P39" i="25"/>
  <c r="P38" i="25"/>
  <c r="T38" i="25"/>
  <c r="P37" i="25"/>
  <c r="T37" i="25"/>
  <c r="P36" i="25"/>
  <c r="T36" i="25"/>
  <c r="P35" i="25"/>
  <c r="T35" i="25"/>
  <c r="T34" i="25"/>
  <c r="P34" i="25"/>
  <c r="P33" i="25"/>
  <c r="T33" i="25"/>
  <c r="P32" i="25"/>
  <c r="T32" i="25"/>
  <c r="T31" i="25"/>
  <c r="P31" i="25"/>
  <c r="P30" i="25"/>
  <c r="T30" i="25"/>
  <c r="T29" i="25"/>
  <c r="P29" i="25"/>
  <c r="P28" i="25"/>
  <c r="T28" i="25"/>
  <c r="T27" i="25"/>
  <c r="P27" i="25"/>
  <c r="T26" i="25"/>
  <c r="P26" i="25"/>
  <c r="T25" i="25"/>
  <c r="P25" i="25"/>
  <c r="T22" i="25"/>
  <c r="P22" i="25"/>
  <c r="T21" i="25"/>
  <c r="P21" i="25"/>
  <c r="T19" i="25"/>
  <c r="P19" i="25"/>
  <c r="T16" i="25"/>
  <c r="P16" i="25"/>
  <c r="N14" i="26"/>
  <c r="R14" i="26"/>
  <c r="CP12" i="41"/>
  <c r="CP13" i="41" s="1"/>
  <c r="CP14" i="41" s="1"/>
  <c r="CP15" i="41" s="1"/>
  <c r="CP16" i="41" s="1"/>
  <c r="CP17" i="41" s="1"/>
  <c r="CP18" i="41" s="1"/>
  <c r="CP19" i="41" s="1"/>
  <c r="CP20" i="41" s="1"/>
  <c r="CP21" i="41" s="1"/>
  <c r="CP22" i="41" s="1"/>
  <c r="CP23" i="41" s="1"/>
  <c r="CP24" i="41" s="1"/>
  <c r="CP25" i="41" s="1"/>
  <c r="CD11" i="41"/>
  <c r="S22" i="26"/>
  <c r="O22" i="26"/>
  <c r="S16" i="26"/>
  <c r="O16" i="26"/>
  <c r="AK13" i="26"/>
  <c r="AK34" i="26"/>
  <c r="S29" i="26"/>
  <c r="O29" i="26"/>
  <c r="O28" i="26"/>
  <c r="S28" i="26"/>
  <c r="S27" i="26"/>
  <c r="O27" i="26"/>
  <c r="S26" i="26"/>
  <c r="O26" i="26"/>
  <c r="S24" i="26"/>
  <c r="O24" i="26"/>
  <c r="R22" i="26"/>
  <c r="AI19" i="26"/>
  <c r="AJ19" i="26"/>
  <c r="AI18" i="26"/>
  <c r="AJ18" i="26"/>
  <c r="BR14" i="58"/>
  <c r="BC14" i="58"/>
  <c r="AM14" i="58"/>
  <c r="W14" i="58"/>
  <c r="BV14" i="58"/>
  <c r="BG14" i="58"/>
  <c r="AQ14" i="58"/>
  <c r="AA14" i="58"/>
  <c r="BJ14" i="58"/>
  <c r="AE14" i="58"/>
  <c r="BN14" i="58"/>
  <c r="AI14" i="58"/>
  <c r="AU14" i="58"/>
  <c r="O14" i="58"/>
  <c r="AY14" i="58"/>
  <c r="S14" i="58"/>
  <c r="M44" i="25"/>
  <c r="Q43" i="25"/>
  <c r="U43" i="25" s="1"/>
  <c r="Q53" i="25"/>
  <c r="Q51" i="25"/>
  <c r="F90" i="29"/>
  <c r="Y38" i="26"/>
  <c r="BU10" i="41"/>
  <c r="AX10" i="41"/>
  <c r="AH10" i="41"/>
  <c r="R10" i="41"/>
  <c r="BQ10" i="41"/>
  <c r="AP10" i="41"/>
  <c r="Z10" i="41"/>
  <c r="BM10" i="41"/>
  <c r="BF10" i="41"/>
  <c r="AT10" i="41"/>
  <c r="AD10" i="41"/>
  <c r="N10" i="41"/>
  <c r="BB10" i="41"/>
  <c r="BY10" i="41"/>
  <c r="BI10" i="41"/>
  <c r="AL10" i="41"/>
  <c r="V10" i="41"/>
  <c r="BM15" i="58" l="1"/>
  <c r="AX15" i="58"/>
  <c r="AX8" i="41"/>
  <c r="BQ8" i="41"/>
  <c r="BY8" i="41"/>
  <c r="BQ9" i="41"/>
  <c r="CS15" i="58"/>
  <c r="AL8" i="41"/>
  <c r="CS37" i="58"/>
  <c r="AT8" i="41"/>
  <c r="AH8" i="41"/>
  <c r="BF8" i="41"/>
  <c r="AD8" i="41"/>
  <c r="AP8" i="41"/>
  <c r="R8" i="41"/>
  <c r="V8" i="41"/>
  <c r="BB8" i="41"/>
  <c r="BI8" i="41"/>
  <c r="BM8" i="41"/>
  <c r="N8" i="41"/>
  <c r="Z8" i="41"/>
  <c r="AX9" i="41"/>
  <c r="N9" i="41"/>
  <c r="R9" i="41"/>
  <c r="Z9" i="41"/>
  <c r="BU13" i="58"/>
  <c r="AH9" i="41"/>
  <c r="AD9" i="41"/>
  <c r="BF9" i="41"/>
  <c r="BB15" i="58"/>
  <c r="V37" i="58"/>
  <c r="R15" i="58"/>
  <c r="BQ15" i="58"/>
  <c r="BQ13" i="58"/>
  <c r="AL9" i="41"/>
  <c r="V9" i="41"/>
  <c r="AT9" i="41"/>
  <c r="BY9" i="41"/>
  <c r="AH15" i="58"/>
  <c r="BY37" i="58"/>
  <c r="V15" i="58"/>
  <c r="AL15" i="58"/>
  <c r="AD13" i="58"/>
  <c r="BU9" i="41"/>
  <c r="BI9" i="41"/>
  <c r="BM37" i="58"/>
  <c r="AD9" i="58"/>
  <c r="BB9" i="41"/>
  <c r="AP9" i="41"/>
  <c r="Z8" i="58"/>
  <c r="Z10" i="58"/>
  <c r="AH8" i="58"/>
  <c r="AT37" i="58"/>
  <c r="BU37" i="58"/>
  <c r="AD37" i="58"/>
  <c r="AT10" i="58"/>
  <c r="BQ37" i="58"/>
  <c r="R37" i="58"/>
  <c r="AL37" i="58"/>
  <c r="BF15" i="58"/>
  <c r="AP37" i="58"/>
  <c r="CO37" i="58"/>
  <c r="AX37" i="58"/>
  <c r="N37" i="58"/>
  <c r="BI37" i="58"/>
  <c r="BI15" i="58"/>
  <c r="CC37" i="58"/>
  <c r="CG15" i="58"/>
  <c r="CC15" i="58"/>
  <c r="CK15" i="58"/>
  <c r="O20" i="25"/>
  <c r="BF8" i="58"/>
  <c r="CK13" i="58"/>
  <c r="CG8" i="58"/>
  <c r="CG37" i="58"/>
  <c r="CW37" i="58"/>
  <c r="CK37" i="58"/>
  <c r="CC13" i="58"/>
  <c r="AL14" i="58"/>
  <c r="V11" i="58"/>
  <c r="Z11" i="58"/>
  <c r="CG11" i="58"/>
  <c r="BQ11" i="58"/>
  <c r="BY11" i="58"/>
  <c r="AD11" i="58"/>
  <c r="AX11" i="58"/>
  <c r="CO11" i="58"/>
  <c r="AP11" i="58"/>
  <c r="AT11" i="58"/>
  <c r="BY14" i="58"/>
  <c r="CC14" i="58"/>
  <c r="CX16" i="58"/>
  <c r="CT16" i="58"/>
  <c r="CP16" i="58"/>
  <c r="CL16" i="58"/>
  <c r="CH16" i="58"/>
  <c r="CD16" i="58"/>
  <c r="Z37" i="58"/>
  <c r="AD14" i="58"/>
  <c r="R14" i="58"/>
  <c r="CG14" i="58"/>
  <c r="R11" i="58"/>
  <c r="BU11" i="58"/>
  <c r="AH11" i="58"/>
  <c r="AT14" i="58"/>
  <c r="V14" i="58"/>
  <c r="AL11" i="58"/>
  <c r="N11" i="58"/>
  <c r="CC11" i="58"/>
  <c r="CK11" i="58"/>
  <c r="BM11" i="58"/>
  <c r="BI14" i="58"/>
  <c r="AH14" i="58"/>
  <c r="O40" i="25"/>
  <c r="BB11" i="58"/>
  <c r="BF11" i="58"/>
  <c r="BI11" i="58"/>
  <c r="CW11" i="58"/>
  <c r="CO14" i="58"/>
  <c r="AP15" i="58"/>
  <c r="CO15" i="58"/>
  <c r="S24" i="25"/>
  <c r="AT15" i="58"/>
  <c r="BB9" i="58"/>
  <c r="BI9" i="58"/>
  <c r="V9" i="58"/>
  <c r="V13" i="58"/>
  <c r="AT13" i="58"/>
  <c r="CO8" i="58"/>
  <c r="CS13" i="58"/>
  <c r="R8" i="58"/>
  <c r="AH9" i="58"/>
  <c r="BM9" i="58"/>
  <c r="BB8" i="58"/>
  <c r="CK8" i="58"/>
  <c r="CK14" i="58"/>
  <c r="CW14" i="58"/>
  <c r="AD8" i="58"/>
  <c r="BQ8" i="58"/>
  <c r="N8" i="58"/>
  <c r="BI8" i="58"/>
  <c r="BY8" i="58"/>
  <c r="AT8" i="58"/>
  <c r="AL8" i="58"/>
  <c r="Z13" i="58"/>
  <c r="BF13" i="58"/>
  <c r="R13" i="58"/>
  <c r="AX13" i="58"/>
  <c r="BM13" i="58"/>
  <c r="AH13" i="58"/>
  <c r="AP13" i="58"/>
  <c r="AX8" i="58"/>
  <c r="CC8" i="58"/>
  <c r="CG13" i="58"/>
  <c r="BB13" i="58"/>
  <c r="BI13" i="58"/>
  <c r="AP14" i="58"/>
  <c r="Z14" i="58"/>
  <c r="BB14" i="58"/>
  <c r="AX14" i="58"/>
  <c r="AL13" i="58"/>
  <c r="N13" i="58"/>
  <c r="BY13" i="58"/>
  <c r="N14" i="58"/>
  <c r="BU14" i="58"/>
  <c r="BF14" i="58"/>
  <c r="BQ14" i="58"/>
  <c r="BM14" i="58"/>
  <c r="BM8" i="58"/>
  <c r="AP8" i="58"/>
  <c r="AL9" i="58"/>
  <c r="BQ9" i="58"/>
  <c r="R9" i="58"/>
  <c r="V8" i="58"/>
  <c r="BU8" i="58"/>
  <c r="CS8" i="58"/>
  <c r="CW13" i="58"/>
  <c r="Z15" i="58"/>
  <c r="BY15" i="58"/>
  <c r="N15" i="58"/>
  <c r="AD15" i="58"/>
  <c r="BU15" i="58"/>
  <c r="S40" i="25"/>
  <c r="O24" i="25"/>
  <c r="O17" i="25"/>
  <c r="BY9" i="58"/>
  <c r="AX9" i="58"/>
  <c r="N9" i="58"/>
  <c r="AT9" i="58"/>
  <c r="S20" i="25"/>
  <c r="S17" i="25"/>
  <c r="AP9" i="58"/>
  <c r="Z9" i="58"/>
  <c r="BU9" i="58"/>
  <c r="DD36" i="58"/>
  <c r="DD35" i="58"/>
  <c r="DE34" i="58"/>
  <c r="DE33" i="58"/>
  <c r="DE32" i="58"/>
  <c r="DE31" i="58"/>
  <c r="CW16" i="58"/>
  <c r="CO16" i="58"/>
  <c r="CG16" i="58"/>
  <c r="CS16" i="58"/>
  <c r="CK16" i="58"/>
  <c r="CC16" i="58"/>
  <c r="CW10" i="58"/>
  <c r="CO10" i="58"/>
  <c r="CG10" i="58"/>
  <c r="CS10" i="58"/>
  <c r="CK10" i="58"/>
  <c r="CC10" i="58"/>
  <c r="CS9" i="58"/>
  <c r="CK9" i="58"/>
  <c r="CW9" i="58"/>
  <c r="CO9" i="58"/>
  <c r="CG9" i="58"/>
  <c r="CC9" i="58"/>
  <c r="DN20" i="58"/>
  <c r="V10" i="58"/>
  <c r="AX10" i="58"/>
  <c r="AH10" i="58"/>
  <c r="BI10" i="58"/>
  <c r="BB10" i="58"/>
  <c r="AP10" i="58"/>
  <c r="R10" i="58"/>
  <c r="BU10" i="58"/>
  <c r="AL10" i="58"/>
  <c r="AD10" i="58"/>
  <c r="N10" i="58"/>
  <c r="BM10" i="58"/>
  <c r="BQ10" i="58"/>
  <c r="BY10" i="58"/>
  <c r="DE16" i="58"/>
  <c r="DE39" i="58" s="1"/>
  <c r="DE56" i="58" s="1"/>
  <c r="CG14" i="41"/>
  <c r="CG31" i="41" s="1"/>
  <c r="CG16" i="41"/>
  <c r="CG33" i="41" s="1"/>
  <c r="CG10" i="41"/>
  <c r="CG27" i="41" s="1"/>
  <c r="CG17" i="41"/>
  <c r="CG34" i="41" s="1"/>
  <c r="DE19" i="58"/>
  <c r="DE42" i="58" s="1"/>
  <c r="DE59" i="58" s="1"/>
  <c r="CG11" i="41"/>
  <c r="CG28" i="41" s="1"/>
  <c r="DE15" i="58"/>
  <c r="DE38" i="58" s="1"/>
  <c r="DE55" i="58" s="1"/>
  <c r="DE21" i="58"/>
  <c r="DE44" i="58" s="1"/>
  <c r="DE22" i="58"/>
  <c r="DE45" i="58" s="1"/>
  <c r="DE20" i="58"/>
  <c r="DE43" i="58" s="1"/>
  <c r="DE60" i="58" s="1"/>
  <c r="DE18" i="58"/>
  <c r="DE41" i="58" s="1"/>
  <c r="DE58" i="58" s="1"/>
  <c r="CG12" i="41"/>
  <c r="CG29" i="41" s="1"/>
  <c r="CG13" i="41"/>
  <c r="CG30" i="41" s="1"/>
  <c r="CG18" i="41"/>
  <c r="CG35" i="41" s="1"/>
  <c r="CG19" i="41"/>
  <c r="CG36" i="41" s="1"/>
  <c r="CG15" i="41"/>
  <c r="CG32" i="41" s="1"/>
  <c r="DE24" i="58"/>
  <c r="DE47" i="58" s="1"/>
  <c r="DE17" i="58"/>
  <c r="DE40" i="58" s="1"/>
  <c r="DE57" i="58" s="1"/>
  <c r="DE23" i="58"/>
  <c r="DE46" i="58" s="1"/>
  <c r="S25" i="26"/>
  <c r="O25" i="26"/>
  <c r="AJ25" i="26"/>
  <c r="AI25" i="26"/>
  <c r="R21" i="26"/>
  <c r="N21" i="26"/>
  <c r="P92" i="29"/>
  <c r="T92" i="29"/>
  <c r="T36" i="29" s="1"/>
  <c r="X92" i="29"/>
  <c r="N18" i="26"/>
  <c r="R18" i="26"/>
  <c r="N19" i="26"/>
  <c r="R19" i="26"/>
  <c r="S34" i="26"/>
  <c r="O34" i="26"/>
  <c r="S13" i="26"/>
  <c r="O13" i="26"/>
  <c r="AI34" i="26"/>
  <c r="AJ34" i="26"/>
  <c r="AJ13" i="26"/>
  <c r="AI13" i="26"/>
  <c r="BZ17" i="58"/>
  <c r="DB17" i="58"/>
  <c r="BU11" i="41"/>
  <c r="BQ11" i="41"/>
  <c r="AT11" i="41"/>
  <c r="Z11" i="41"/>
  <c r="N11" i="41"/>
  <c r="BM11" i="41"/>
  <c r="BB11" i="41"/>
  <c r="AH11" i="41"/>
  <c r="BI11" i="41"/>
  <c r="V11" i="41"/>
  <c r="AD11" i="41"/>
  <c r="AP11" i="41"/>
  <c r="BY11" i="41"/>
  <c r="AX11" i="41"/>
  <c r="R11" i="41"/>
  <c r="AL11" i="41"/>
  <c r="BF11" i="41"/>
  <c r="T19" i="29"/>
  <c r="AQ7" i="29"/>
  <c r="T31" i="29"/>
  <c r="T20" i="29" s="1"/>
  <c r="T30" i="29"/>
  <c r="P40" i="26"/>
  <c r="N24" i="26"/>
  <c r="R24" i="26"/>
  <c r="N26" i="26"/>
  <c r="R26" i="26"/>
  <c r="N27" i="26"/>
  <c r="R27" i="26"/>
  <c r="R28" i="26"/>
  <c r="N28" i="26"/>
  <c r="N29" i="26"/>
  <c r="R29" i="26"/>
  <c r="S33" i="26"/>
  <c r="O33" i="26"/>
  <c r="S16" i="25"/>
  <c r="O16" i="25"/>
  <c r="S19" i="25"/>
  <c r="O19" i="25"/>
  <c r="S22" i="25"/>
  <c r="O22" i="25"/>
  <c r="S25" i="25"/>
  <c r="O25" i="25"/>
  <c r="S27" i="25"/>
  <c r="O27" i="25"/>
  <c r="S28" i="25"/>
  <c r="O28" i="25"/>
  <c r="S29" i="25"/>
  <c r="O29" i="25"/>
  <c r="S30" i="25"/>
  <c r="O30" i="25"/>
  <c r="S31" i="25"/>
  <c r="O31" i="25"/>
  <c r="S32" i="25"/>
  <c r="O32" i="25"/>
  <c r="S33" i="25"/>
  <c r="O33" i="25"/>
  <c r="S34" i="25"/>
  <c r="O34" i="25"/>
  <c r="S35" i="25"/>
  <c r="O35" i="25"/>
  <c r="S36" i="25"/>
  <c r="O36" i="25"/>
  <c r="S37" i="25"/>
  <c r="O37" i="25"/>
  <c r="S38" i="25"/>
  <c r="O38" i="25"/>
  <c r="S39" i="25"/>
  <c r="O39" i="25"/>
  <c r="S41" i="25"/>
  <c r="O41" i="25"/>
  <c r="S46" i="25"/>
  <c r="O46" i="25"/>
  <c r="DE28" i="58"/>
  <c r="DE51" i="58" s="1"/>
  <c r="CG23" i="41"/>
  <c r="CG40" i="41" s="1"/>
  <c r="S16" i="58"/>
  <c r="AI16" i="58"/>
  <c r="AY16" i="58"/>
  <c r="BN16" i="58"/>
  <c r="O16" i="58"/>
  <c r="AQ16" i="58"/>
  <c r="BV16" i="58"/>
  <c r="AA16" i="58"/>
  <c r="AE16" i="58"/>
  <c r="AU16" i="58"/>
  <c r="BJ16" i="58"/>
  <c r="BG16" i="58"/>
  <c r="W16" i="58"/>
  <c r="BC16" i="58"/>
  <c r="AM16" i="58"/>
  <c r="BR16" i="58"/>
  <c r="CI14" i="41"/>
  <c r="CS13" i="41"/>
  <c r="CR12" i="41"/>
  <c r="CC12" i="41" s="1"/>
  <c r="CQ12" i="41"/>
  <c r="DG19" i="58"/>
  <c r="DQ18" i="58"/>
  <c r="DO17" i="58"/>
  <c r="DP17" i="58"/>
  <c r="DA17" i="58" s="1"/>
  <c r="AQ9" i="29"/>
  <c r="T22" i="29"/>
  <c r="T18" i="29" s="1"/>
  <c r="N16" i="26"/>
  <c r="R16" i="26"/>
  <c r="AJ33" i="26"/>
  <c r="AI33" i="26"/>
  <c r="S21" i="25"/>
  <c r="O21" i="25"/>
  <c r="S26" i="25"/>
  <c r="O26" i="25"/>
  <c r="S47" i="25"/>
  <c r="O47" i="25"/>
  <c r="Z16" i="58"/>
  <c r="BF16" i="58"/>
  <c r="V16" i="58"/>
  <c r="BB16" i="58"/>
  <c r="AP16" i="58"/>
  <c r="AL16" i="58"/>
  <c r="BU16" i="58"/>
  <c r="BQ16" i="58"/>
  <c r="R16" i="58"/>
  <c r="AX16" i="58"/>
  <c r="N16" i="58"/>
  <c r="AT16" i="58"/>
  <c r="BY16" i="58"/>
  <c r="AH16" i="58"/>
  <c r="BM16" i="58"/>
  <c r="AD16" i="58"/>
  <c r="BI16" i="58"/>
  <c r="CD12" i="41"/>
  <c r="BZ12" i="41"/>
  <c r="DC27" i="58" l="1"/>
  <c r="CY27" i="58" s="1"/>
  <c r="CX17" i="58"/>
  <c r="CT17" i="58"/>
  <c r="CP17" i="58"/>
  <c r="CL17" i="58"/>
  <c r="CH17" i="58"/>
  <c r="CD17" i="58"/>
  <c r="CS17" i="58"/>
  <c r="CK17" i="58"/>
  <c r="CW17" i="58"/>
  <c r="CO17" i="58"/>
  <c r="CG17" i="58"/>
  <c r="CC17" i="58"/>
  <c r="DN21" i="58"/>
  <c r="AA54" i="25"/>
  <c r="DD27" i="58"/>
  <c r="CF22" i="41"/>
  <c r="N25" i="26"/>
  <c r="R25" i="26"/>
  <c r="N33" i="26"/>
  <c r="R33" i="26"/>
  <c r="AX17" i="58"/>
  <c r="N17" i="58"/>
  <c r="AT17" i="58"/>
  <c r="BY17" i="58"/>
  <c r="AH17" i="58"/>
  <c r="AD17" i="58"/>
  <c r="BM17" i="58"/>
  <c r="BI17" i="58"/>
  <c r="Z17" i="58"/>
  <c r="BF17" i="58"/>
  <c r="V17" i="58"/>
  <c r="BB17" i="58"/>
  <c r="R17" i="58"/>
  <c r="AP17" i="58"/>
  <c r="BU17" i="58"/>
  <c r="AL17" i="58"/>
  <c r="BQ17" i="58"/>
  <c r="BZ18" i="58"/>
  <c r="DB18" i="58"/>
  <c r="DO18" i="58"/>
  <c r="DP18" i="58"/>
  <c r="DA18" i="58" s="1"/>
  <c r="BY12" i="41"/>
  <c r="V12" i="41"/>
  <c r="Z12" i="41"/>
  <c r="BI12" i="41"/>
  <c r="BQ12" i="41"/>
  <c r="BU12" i="41"/>
  <c r="BM12" i="41"/>
  <c r="AT12" i="41"/>
  <c r="N12" i="41"/>
  <c r="AX12" i="41"/>
  <c r="R12" i="41"/>
  <c r="AP12" i="41"/>
  <c r="AL12" i="41"/>
  <c r="BF12" i="41"/>
  <c r="AD12" i="41"/>
  <c r="BB12" i="41"/>
  <c r="AH12" i="41"/>
  <c r="CI15" i="41"/>
  <c r="CS14" i="41"/>
  <c r="AQ30" i="29"/>
  <c r="AQ31" i="29"/>
  <c r="R34" i="26"/>
  <c r="N34" i="26"/>
  <c r="X36" i="29"/>
  <c r="X39" i="29" s="1"/>
  <c r="L92" i="29"/>
  <c r="L36" i="29" s="1"/>
  <c r="AB92" i="29"/>
  <c r="AB36" i="29" s="1"/>
  <c r="AB39" i="29" s="1"/>
  <c r="P36" i="29"/>
  <c r="P39" i="29" s="1"/>
  <c r="BC12" i="41"/>
  <c r="AY12" i="41"/>
  <c r="AI12" i="41"/>
  <c r="S12" i="41"/>
  <c r="BN12" i="41"/>
  <c r="AU12" i="41"/>
  <c r="AE12" i="41"/>
  <c r="O12" i="41"/>
  <c r="BR12" i="41"/>
  <c r="AA12" i="41"/>
  <c r="BJ12" i="41"/>
  <c r="W12" i="41"/>
  <c r="BV12" i="41"/>
  <c r="AQ12" i="41"/>
  <c r="BG12" i="41"/>
  <c r="AM12" i="41"/>
  <c r="DQ19" i="58"/>
  <c r="DG20" i="58"/>
  <c r="BZ13" i="41"/>
  <c r="CD13" i="41"/>
  <c r="CQ13" i="41"/>
  <c r="CR13" i="41"/>
  <c r="CC13" i="41" s="1"/>
  <c r="AA17" i="58"/>
  <c r="AQ17" i="58"/>
  <c r="BG17" i="58"/>
  <c r="BV17" i="58"/>
  <c r="AI17" i="58"/>
  <c r="BN17" i="58"/>
  <c r="AY17" i="58"/>
  <c r="W17" i="58"/>
  <c r="AM17" i="58"/>
  <c r="BC17" i="58"/>
  <c r="BR17" i="58"/>
  <c r="O17" i="58"/>
  <c r="S17" i="58"/>
  <c r="AU17" i="58"/>
  <c r="AE17" i="58"/>
  <c r="BJ17" i="58"/>
  <c r="N13" i="26"/>
  <c r="R13" i="26"/>
  <c r="CE19" i="41" l="1"/>
  <c r="CA19" i="41" s="1"/>
  <c r="CE12" i="41"/>
  <c r="CA12" i="41" s="1"/>
  <c r="CE20" i="41"/>
  <c r="CA20" i="41" s="1"/>
  <c r="CE25" i="41"/>
  <c r="CA25" i="41" s="1"/>
  <c r="CE16" i="41"/>
  <c r="CA16" i="41" s="1"/>
  <c r="CE11" i="41"/>
  <c r="CA11" i="41" s="1"/>
  <c r="CE10" i="41"/>
  <c r="CE23" i="41"/>
  <c r="CA23" i="41" s="1"/>
  <c r="CE13" i="41"/>
  <c r="CA13" i="41" s="1"/>
  <c r="CE18" i="41"/>
  <c r="CA18" i="41" s="1"/>
  <c r="CE15" i="41"/>
  <c r="CA15" i="41" s="1"/>
  <c r="CE21" i="41"/>
  <c r="CA21" i="41" s="1"/>
  <c r="CE24" i="41"/>
  <c r="CA24" i="41" s="1"/>
  <c r="CE22" i="41"/>
  <c r="CA22" i="41" s="1"/>
  <c r="CE14" i="41"/>
  <c r="CA14" i="41" s="1"/>
  <c r="CE17" i="41"/>
  <c r="CA17" i="41" s="1"/>
  <c r="DC28" i="58"/>
  <c r="CY28" i="58" s="1"/>
  <c r="CX18" i="58"/>
  <c r="CT18" i="58"/>
  <c r="CP18" i="58"/>
  <c r="CL18" i="58"/>
  <c r="CH18" i="58"/>
  <c r="CD18" i="58"/>
  <c r="CW18" i="58"/>
  <c r="CO18" i="58"/>
  <c r="CG18" i="58"/>
  <c r="CS18" i="58"/>
  <c r="CK18" i="58"/>
  <c r="CC18" i="58"/>
  <c r="DN22" i="58"/>
  <c r="AA26" i="25"/>
  <c r="AA27" i="25"/>
  <c r="AB54" i="25"/>
  <c r="AA59" i="25"/>
  <c r="AA57" i="25"/>
  <c r="BQ13" i="41"/>
  <c r="Z13" i="41"/>
  <c r="AT13" i="41"/>
  <c r="V13" i="41"/>
  <c r="BU13" i="41"/>
  <c r="AP13" i="41"/>
  <c r="BM13" i="41"/>
  <c r="BF13" i="41"/>
  <c r="BY13" i="41"/>
  <c r="AX13" i="41"/>
  <c r="R13" i="41"/>
  <c r="AL13" i="41"/>
  <c r="N13" i="41"/>
  <c r="BB13" i="41"/>
  <c r="AH13" i="41"/>
  <c r="BI13" i="41"/>
  <c r="AD13" i="41"/>
  <c r="DQ20" i="58"/>
  <c r="DG21" i="58"/>
  <c r="DO19" i="58"/>
  <c r="DP19" i="58"/>
  <c r="DA19" i="58" s="1"/>
  <c r="AB10" i="29"/>
  <c r="AB23" i="29" s="1"/>
  <c r="AB16" i="29"/>
  <c r="AB17" i="29"/>
  <c r="AB13" i="29"/>
  <c r="BK13" i="29" s="1"/>
  <c r="AB9" i="29"/>
  <c r="AB14" i="29"/>
  <c r="AB8" i="29"/>
  <c r="AB21" i="29" s="1"/>
  <c r="AB12" i="29"/>
  <c r="BK12" i="29" s="1"/>
  <c r="AB11" i="29"/>
  <c r="BK11" i="29" s="1"/>
  <c r="AB7" i="29"/>
  <c r="AB41" i="29"/>
  <c r="AB15" i="29"/>
  <c r="X12" i="29"/>
  <c r="X11" i="29"/>
  <c r="X13" i="29"/>
  <c r="X10" i="29"/>
  <c r="X23" i="29" s="1"/>
  <c r="X8" i="29"/>
  <c r="X21" i="29" s="1"/>
  <c r="X15" i="29"/>
  <c r="X9" i="29"/>
  <c r="X14" i="29"/>
  <c r="X7" i="29"/>
  <c r="CI16" i="41"/>
  <c r="CS15" i="41"/>
  <c r="AE18" i="58"/>
  <c r="AU18" i="58"/>
  <c r="BJ18" i="58"/>
  <c r="O18" i="58"/>
  <c r="AA18" i="58"/>
  <c r="AQ18" i="58"/>
  <c r="BG18" i="58"/>
  <c r="BV18" i="58"/>
  <c r="S18" i="58"/>
  <c r="BC18" i="58"/>
  <c r="W18" i="58"/>
  <c r="AY18" i="58"/>
  <c r="AM18" i="58"/>
  <c r="BR18" i="58"/>
  <c r="AI18" i="58"/>
  <c r="BN18" i="58"/>
  <c r="BN13" i="41"/>
  <c r="BJ13" i="41"/>
  <c r="AM13" i="41"/>
  <c r="W13" i="41"/>
  <c r="AI13" i="41"/>
  <c r="S13" i="41"/>
  <c r="BC13" i="41"/>
  <c r="AY13" i="41"/>
  <c r="BG13" i="41"/>
  <c r="AE13" i="41"/>
  <c r="AA13" i="41"/>
  <c r="BR13" i="41"/>
  <c r="AU13" i="41"/>
  <c r="O13" i="41"/>
  <c r="BV13" i="41"/>
  <c r="AQ13" i="41"/>
  <c r="BZ19" i="58"/>
  <c r="DB19" i="58"/>
  <c r="P15" i="29"/>
  <c r="P13" i="29"/>
  <c r="P12" i="29"/>
  <c r="P41" i="29"/>
  <c r="P11" i="29"/>
  <c r="P14" i="29"/>
  <c r="P10" i="29"/>
  <c r="P23" i="29" s="1"/>
  <c r="P9" i="29"/>
  <c r="P16" i="29"/>
  <c r="P17" i="29"/>
  <c r="P8" i="29"/>
  <c r="P21" i="29" s="1"/>
  <c r="P7" i="29"/>
  <c r="BZ14" i="41"/>
  <c r="CD14" i="41"/>
  <c r="CR14" i="41"/>
  <c r="CC14" i="41" s="1"/>
  <c r="CQ14" i="41"/>
  <c r="BU18" i="58"/>
  <c r="BQ18" i="58"/>
  <c r="AP18" i="58"/>
  <c r="AL18" i="58"/>
  <c r="V18" i="58"/>
  <c r="AX18" i="58"/>
  <c r="N18" i="58"/>
  <c r="AT18" i="58"/>
  <c r="BY18" i="58"/>
  <c r="BB18" i="58"/>
  <c r="BF18" i="58"/>
  <c r="AH18" i="58"/>
  <c r="BM18" i="58"/>
  <c r="AD18" i="58"/>
  <c r="BI18" i="58"/>
  <c r="R18" i="58"/>
  <c r="Z18" i="58"/>
  <c r="CE46" i="41" l="1"/>
  <c r="CA10" i="41"/>
  <c r="CD47" i="41"/>
  <c r="BS47" i="41"/>
  <c r="CX19" i="58"/>
  <c r="CT19" i="58"/>
  <c r="CP19" i="58"/>
  <c r="CL19" i="58"/>
  <c r="CH19" i="58"/>
  <c r="CD19" i="58"/>
  <c r="CS19" i="58"/>
  <c r="CK19" i="58"/>
  <c r="CW19" i="58"/>
  <c r="CO19" i="58"/>
  <c r="CG19" i="58"/>
  <c r="CC19" i="58"/>
  <c r="DN23" i="58"/>
  <c r="AB27" i="25"/>
  <c r="AB26" i="25"/>
  <c r="AB58" i="25"/>
  <c r="AA53" i="25"/>
  <c r="AA51" i="25"/>
  <c r="AA52" i="25"/>
  <c r="BM14" i="41"/>
  <c r="N14" i="41"/>
  <c r="AH14" i="41"/>
  <c r="AT14" i="41"/>
  <c r="Z14" i="41"/>
  <c r="BI14" i="41"/>
  <c r="V14" i="41"/>
  <c r="AP14" i="41"/>
  <c r="BB14" i="41"/>
  <c r="BU14" i="41"/>
  <c r="AD14" i="41"/>
  <c r="BY14" i="41"/>
  <c r="AL14" i="41"/>
  <c r="BQ14" i="41"/>
  <c r="R14" i="41"/>
  <c r="AX14" i="41"/>
  <c r="BF14" i="41"/>
  <c r="BC14" i="41"/>
  <c r="AY14" i="41"/>
  <c r="AI14" i="41"/>
  <c r="S14" i="41"/>
  <c r="AM14" i="41"/>
  <c r="BN14" i="41"/>
  <c r="AU14" i="41"/>
  <c r="O14" i="41"/>
  <c r="BV14" i="41"/>
  <c r="BR14" i="41"/>
  <c r="AQ14" i="41"/>
  <c r="AA14" i="41"/>
  <c r="BG14" i="41"/>
  <c r="AE14" i="41"/>
  <c r="BJ14" i="41"/>
  <c r="W14" i="41"/>
  <c r="P31" i="29"/>
  <c r="P20" i="29" s="1"/>
  <c r="P30" i="29"/>
  <c r="P22" i="29"/>
  <c r="P18" i="29" s="1"/>
  <c r="P19" i="29"/>
  <c r="CD15" i="41"/>
  <c r="BZ15" i="41"/>
  <c r="CQ15" i="41"/>
  <c r="CR15" i="41"/>
  <c r="CC15" i="41" s="1"/>
  <c r="X30" i="29"/>
  <c r="AY7" i="29"/>
  <c r="X31" i="29"/>
  <c r="X20" i="29" s="1"/>
  <c r="X22" i="29"/>
  <c r="X18" i="29" s="1"/>
  <c r="AY13" i="29"/>
  <c r="X16" i="29"/>
  <c r="X19" i="29"/>
  <c r="AB19" i="29"/>
  <c r="AB22" i="29"/>
  <c r="AB18" i="29" s="1"/>
  <c r="BK9" i="29"/>
  <c r="V19" i="58"/>
  <c r="BF19" i="58"/>
  <c r="R19" i="58"/>
  <c r="AT19" i="58"/>
  <c r="BY19" i="58"/>
  <c r="AP19" i="58"/>
  <c r="BU19" i="58"/>
  <c r="AD19" i="58"/>
  <c r="BI19" i="58"/>
  <c r="AH19" i="58"/>
  <c r="BM19" i="58"/>
  <c r="Z19" i="58"/>
  <c r="BB19" i="58"/>
  <c r="AX19" i="58"/>
  <c r="N19" i="58"/>
  <c r="AL19" i="58"/>
  <c r="BQ19" i="58"/>
  <c r="DQ21" i="58"/>
  <c r="DG22" i="58"/>
  <c r="DO20" i="58"/>
  <c r="DP20" i="58"/>
  <c r="DA20" i="58" s="1"/>
  <c r="AA19" i="58"/>
  <c r="AM19" i="58"/>
  <c r="BC19" i="58"/>
  <c r="BR19" i="58"/>
  <c r="W19" i="58"/>
  <c r="AQ19" i="58"/>
  <c r="BG19" i="58"/>
  <c r="BV19" i="58"/>
  <c r="AE19" i="58"/>
  <c r="BJ19" i="58"/>
  <c r="AI19" i="58"/>
  <c r="BN19" i="58"/>
  <c r="S19" i="58"/>
  <c r="AU19" i="58"/>
  <c r="O19" i="58"/>
  <c r="AY19" i="58"/>
  <c r="CS16" i="41"/>
  <c r="CI17" i="41"/>
  <c r="AB30" i="29"/>
  <c r="BG39" i="29" s="1"/>
  <c r="BK7" i="29"/>
  <c r="AB31" i="29"/>
  <c r="AB20" i="29" s="1"/>
  <c r="BZ20" i="58"/>
  <c r="DB20" i="58"/>
  <c r="DD28" i="58"/>
  <c r="CF23" i="41"/>
  <c r="DC26" i="58" l="1"/>
  <c r="CY26" i="58" s="1"/>
  <c r="BO47" i="41"/>
  <c r="BZ47" i="41"/>
  <c r="DC29" i="58"/>
  <c r="CY29" i="58" s="1"/>
  <c r="DC25" i="58"/>
  <c r="CY25" i="58" s="1"/>
  <c r="DC30" i="58"/>
  <c r="CY30" i="58" s="1"/>
  <c r="CX20" i="58"/>
  <c r="CT20" i="58"/>
  <c r="CP20" i="58"/>
  <c r="CL20" i="58"/>
  <c r="CH20" i="58"/>
  <c r="CD20" i="58"/>
  <c r="CW20" i="58"/>
  <c r="CO20" i="58"/>
  <c r="CG20" i="58"/>
  <c r="CS20" i="58"/>
  <c r="CK20" i="58"/>
  <c r="CC20" i="58"/>
  <c r="DN24" i="58"/>
  <c r="AB52" i="25"/>
  <c r="AB28" i="25" s="1"/>
  <c r="AB51" i="25" s="1"/>
  <c r="AB49" i="25"/>
  <c r="S20" i="58"/>
  <c r="AM20" i="58"/>
  <c r="BC20" i="58"/>
  <c r="BR20" i="58"/>
  <c r="W20" i="58"/>
  <c r="AI20" i="58"/>
  <c r="AY20" i="58"/>
  <c r="BN20" i="58"/>
  <c r="AA20" i="58"/>
  <c r="AU20" i="58"/>
  <c r="BJ20" i="58"/>
  <c r="O20" i="58"/>
  <c r="AE20" i="58"/>
  <c r="AQ20" i="58"/>
  <c r="BG20" i="58"/>
  <c r="BV20" i="58"/>
  <c r="BK30" i="29"/>
  <c r="BK31" i="29"/>
  <c r="CD16" i="41"/>
  <c r="BZ16" i="41"/>
  <c r="AH20" i="58"/>
  <c r="BM20" i="58"/>
  <c r="Z20" i="58"/>
  <c r="BI20" i="58"/>
  <c r="V20" i="58"/>
  <c r="AX20" i="58"/>
  <c r="N20" i="58"/>
  <c r="AT20" i="58"/>
  <c r="BY20" i="58"/>
  <c r="AD20" i="58"/>
  <c r="BF20" i="58"/>
  <c r="R20" i="58"/>
  <c r="BB20" i="58"/>
  <c r="AP20" i="58"/>
  <c r="BU20" i="58"/>
  <c r="AL20" i="58"/>
  <c r="BQ20" i="58"/>
  <c r="DG23" i="58"/>
  <c r="DQ22" i="58"/>
  <c r="DP21" i="58"/>
  <c r="DA21" i="58" s="1"/>
  <c r="DO21" i="58"/>
  <c r="CS17" i="41"/>
  <c r="CI18" i="41"/>
  <c r="CQ16" i="41"/>
  <c r="CR16" i="41"/>
  <c r="CC16" i="41" s="1"/>
  <c r="BZ21" i="58"/>
  <c r="DB21" i="58"/>
  <c r="AY31" i="29"/>
  <c r="AY30" i="29"/>
  <c r="BB15" i="41"/>
  <c r="AH15" i="41"/>
  <c r="BI15" i="41"/>
  <c r="V15" i="41"/>
  <c r="BY15" i="41"/>
  <c r="AX15" i="41"/>
  <c r="R15" i="41"/>
  <c r="AL15" i="41"/>
  <c r="BF15" i="41"/>
  <c r="BU15" i="41"/>
  <c r="AP15" i="41"/>
  <c r="BM15" i="41"/>
  <c r="AD15" i="41"/>
  <c r="BQ15" i="41"/>
  <c r="Z15" i="41"/>
  <c r="AT15" i="41"/>
  <c r="N15" i="41"/>
  <c r="BG15" i="41"/>
  <c r="AU15" i="41"/>
  <c r="AE15" i="41"/>
  <c r="O15" i="41"/>
  <c r="BC15" i="41"/>
  <c r="AY15" i="41"/>
  <c r="AI15" i="41"/>
  <c r="S15" i="41"/>
  <c r="BN15" i="41"/>
  <c r="BJ15" i="41"/>
  <c r="AM15" i="41"/>
  <c r="W15" i="41"/>
  <c r="BV15" i="41"/>
  <c r="BR15" i="41"/>
  <c r="AQ15" i="41"/>
  <c r="AA15" i="41"/>
  <c r="DC20" i="58" l="1"/>
  <c r="CY20" i="58" s="1"/>
  <c r="DC12" i="58"/>
  <c r="CY12" i="58" s="1"/>
  <c r="DC23" i="58"/>
  <c r="CY23" i="58" s="1"/>
  <c r="DC11" i="58"/>
  <c r="CY11" i="58" s="1"/>
  <c r="DC16" i="58"/>
  <c r="CY16" i="58" s="1"/>
  <c r="DC13" i="58"/>
  <c r="CY13" i="58" s="1"/>
  <c r="DC19" i="58"/>
  <c r="CY19" i="58" s="1"/>
  <c r="DC17" i="58"/>
  <c r="CY17" i="58" s="1"/>
  <c r="DC18" i="58"/>
  <c r="CY18" i="58" s="1"/>
  <c r="DC21" i="58"/>
  <c r="CY21" i="58" s="1"/>
  <c r="DC15" i="58"/>
  <c r="CY15" i="58" s="1"/>
  <c r="CX21" i="58"/>
  <c r="CT21" i="58"/>
  <c r="CP21" i="58"/>
  <c r="CL21" i="58"/>
  <c r="CH21" i="58"/>
  <c r="CD21" i="58"/>
  <c r="CS21" i="58"/>
  <c r="CK21" i="58"/>
  <c r="CW21" i="58"/>
  <c r="CO21" i="58"/>
  <c r="CG21" i="58"/>
  <c r="CC21" i="58"/>
  <c r="DN25" i="58"/>
  <c r="AB53" i="25"/>
  <c r="AY37" i="29"/>
  <c r="AW37" i="29"/>
  <c r="AD16" i="41"/>
  <c r="AH16" i="41"/>
  <c r="BF16" i="41"/>
  <c r="BB16" i="41"/>
  <c r="BY16" i="41"/>
  <c r="AL16" i="41"/>
  <c r="BU16" i="41"/>
  <c r="AP16" i="41"/>
  <c r="R16" i="41"/>
  <c r="N16" i="41"/>
  <c r="BM16" i="41"/>
  <c r="BI16" i="41"/>
  <c r="V16" i="41"/>
  <c r="BQ16" i="41"/>
  <c r="Z16" i="41"/>
  <c r="AX16" i="41"/>
  <c r="AT16" i="41"/>
  <c r="CS18" i="41"/>
  <c r="CI19" i="41"/>
  <c r="CR17" i="41"/>
  <c r="CC17" i="41" s="1"/>
  <c r="CQ17" i="41"/>
  <c r="BZ22" i="58"/>
  <c r="DB22" i="58"/>
  <c r="DO22" i="58"/>
  <c r="DP22" i="58"/>
  <c r="DA22" i="58" s="1"/>
  <c r="S21" i="58"/>
  <c r="AI21" i="58"/>
  <c r="AU21" i="58"/>
  <c r="BJ21" i="58"/>
  <c r="O21" i="58"/>
  <c r="AE21" i="58"/>
  <c r="AY21" i="58"/>
  <c r="BN21" i="58"/>
  <c r="AA21" i="58"/>
  <c r="AM21" i="58"/>
  <c r="BC21" i="58"/>
  <c r="BR21" i="58"/>
  <c r="W21" i="58"/>
  <c r="AQ21" i="58"/>
  <c r="BG21" i="58"/>
  <c r="BV21" i="58"/>
  <c r="CD17" i="41"/>
  <c r="BZ17" i="41"/>
  <c r="N21" i="58"/>
  <c r="BQ21" i="58"/>
  <c r="AX21" i="58"/>
  <c r="AL21" i="58"/>
  <c r="AP21" i="58"/>
  <c r="BU21" i="58"/>
  <c r="AH21" i="58"/>
  <c r="BI21" i="58"/>
  <c r="BB21" i="58"/>
  <c r="BM21" i="58"/>
  <c r="V21" i="58"/>
  <c r="BF21" i="58"/>
  <c r="R21" i="58"/>
  <c r="AT21" i="58"/>
  <c r="BY21" i="58"/>
  <c r="Z21" i="58"/>
  <c r="AD21" i="58"/>
  <c r="DG24" i="58"/>
  <c r="DQ23" i="58"/>
  <c r="BC16" i="41"/>
  <c r="AY16" i="41"/>
  <c r="AI16" i="41"/>
  <c r="S16" i="41"/>
  <c r="BN16" i="41"/>
  <c r="AU16" i="41"/>
  <c r="AE16" i="41"/>
  <c r="O16" i="41"/>
  <c r="BV16" i="41"/>
  <c r="BR16" i="41"/>
  <c r="AQ16" i="41"/>
  <c r="AA16" i="41"/>
  <c r="BG16" i="41"/>
  <c r="BJ16" i="41"/>
  <c r="AM16" i="41"/>
  <c r="W16" i="41"/>
  <c r="DC22" i="58" l="1"/>
  <c r="DC24" i="58"/>
  <c r="CY24" i="58" s="1"/>
  <c r="CX22" i="58"/>
  <c r="CT22" i="58"/>
  <c r="CP22" i="58"/>
  <c r="CL22" i="58"/>
  <c r="CH22" i="58"/>
  <c r="CD22" i="58"/>
  <c r="CW22" i="58"/>
  <c r="CO22" i="58"/>
  <c r="CG22" i="58"/>
  <c r="CS22" i="58"/>
  <c r="CK22" i="58"/>
  <c r="CC22" i="58"/>
  <c r="DN26" i="58"/>
  <c r="DQ24" i="58"/>
  <c r="DG25" i="58"/>
  <c r="BZ23" i="58"/>
  <c r="DB23" i="58"/>
  <c r="DO23" i="58"/>
  <c r="DP23" i="58"/>
  <c r="DA23" i="58" s="1"/>
  <c r="BN17" i="41"/>
  <c r="BJ17" i="41"/>
  <c r="AM17" i="41"/>
  <c r="W17" i="41"/>
  <c r="BR17" i="41"/>
  <c r="AQ17" i="41"/>
  <c r="S17" i="41"/>
  <c r="BC17" i="41"/>
  <c r="BG17" i="41"/>
  <c r="AU17" i="41"/>
  <c r="AE17" i="41"/>
  <c r="O17" i="41"/>
  <c r="AY17" i="41"/>
  <c r="AA17" i="41"/>
  <c r="BV17" i="41"/>
  <c r="AI17" i="41"/>
  <c r="AP22" i="58"/>
  <c r="BU22" i="58"/>
  <c r="AH22" i="58"/>
  <c r="BQ22" i="58"/>
  <c r="AD22" i="58"/>
  <c r="BF22" i="58"/>
  <c r="R22" i="58"/>
  <c r="BB22" i="58"/>
  <c r="AL22" i="58"/>
  <c r="BM22" i="58"/>
  <c r="Z22" i="58"/>
  <c r="BI22" i="58"/>
  <c r="V22" i="58"/>
  <c r="AX22" i="58"/>
  <c r="N22" i="58"/>
  <c r="AT22" i="58"/>
  <c r="BY22" i="58"/>
  <c r="BY17" i="41"/>
  <c r="AX17" i="41"/>
  <c r="R17" i="41"/>
  <c r="N17" i="41"/>
  <c r="V17" i="41"/>
  <c r="BB17" i="41"/>
  <c r="AH17" i="41"/>
  <c r="AL17" i="41"/>
  <c r="BI17" i="41"/>
  <c r="BU17" i="41"/>
  <c r="AP17" i="41"/>
  <c r="BM17" i="41"/>
  <c r="BF17" i="41"/>
  <c r="BQ17" i="41"/>
  <c r="Z17" i="41"/>
  <c r="AD17" i="41"/>
  <c r="AT17" i="41"/>
  <c r="CI20" i="41"/>
  <c r="CS19" i="41"/>
  <c r="CR18" i="41"/>
  <c r="CC18" i="41" s="1"/>
  <c r="CQ18" i="41"/>
  <c r="AA22" i="58"/>
  <c r="AU22" i="58"/>
  <c r="BJ22" i="58"/>
  <c r="O22" i="58"/>
  <c r="AE22" i="58"/>
  <c r="AQ22" i="58"/>
  <c r="BG22" i="58"/>
  <c r="BV22" i="58"/>
  <c r="S22" i="58"/>
  <c r="AI22" i="58"/>
  <c r="BC22" i="58"/>
  <c r="BR22" i="58"/>
  <c r="W22" i="58"/>
  <c r="AM22" i="58"/>
  <c r="AY22" i="58"/>
  <c r="BN22" i="58"/>
  <c r="BZ18" i="41"/>
  <c r="CD18" i="41"/>
  <c r="CY22" i="58" l="1"/>
  <c r="DB65" i="58"/>
  <c r="CD65" i="58"/>
  <c r="DC41" i="58"/>
  <c r="DC64" i="58" s="1"/>
  <c r="CX23" i="58"/>
  <c r="CT23" i="58"/>
  <c r="CP23" i="58"/>
  <c r="CL23" i="58"/>
  <c r="CH23" i="58"/>
  <c r="CD23" i="58"/>
  <c r="CS23" i="58"/>
  <c r="CK23" i="58"/>
  <c r="CC23" i="58"/>
  <c r="CW23" i="58"/>
  <c r="CO23" i="58"/>
  <c r="CG23" i="58"/>
  <c r="DN27" i="58"/>
  <c r="BC18" i="41"/>
  <c r="AY18" i="41"/>
  <c r="AI18" i="41"/>
  <c r="S18" i="41"/>
  <c r="AM18" i="41"/>
  <c r="W18" i="41"/>
  <c r="BJ18" i="41"/>
  <c r="O18" i="41"/>
  <c r="BV18" i="41"/>
  <c r="BR18" i="41"/>
  <c r="AQ18" i="41"/>
  <c r="AA18" i="41"/>
  <c r="BG18" i="41"/>
  <c r="AE18" i="41"/>
  <c r="BN18" i="41"/>
  <c r="AU18" i="41"/>
  <c r="V18" i="41"/>
  <c r="AH18" i="41"/>
  <c r="BI18" i="41"/>
  <c r="R18" i="41"/>
  <c r="BM18" i="41"/>
  <c r="AT18" i="41"/>
  <c r="N18" i="41"/>
  <c r="BU18" i="41"/>
  <c r="Z18" i="41"/>
  <c r="BB18" i="41"/>
  <c r="AL18" i="41"/>
  <c r="BF18" i="41"/>
  <c r="AD18" i="41"/>
  <c r="AX18" i="41"/>
  <c r="AP18" i="41"/>
  <c r="BQ18" i="41"/>
  <c r="BY18" i="41"/>
  <c r="CS20" i="41"/>
  <c r="CI21" i="41"/>
  <c r="AD23" i="58"/>
  <c r="BM23" i="58"/>
  <c r="Z23" i="58"/>
  <c r="BB23" i="58"/>
  <c r="AX23" i="58"/>
  <c r="N23" i="58"/>
  <c r="AP23" i="58"/>
  <c r="BQ23" i="58"/>
  <c r="V23" i="58"/>
  <c r="BF23" i="58"/>
  <c r="R23" i="58"/>
  <c r="AT23" i="58"/>
  <c r="BY23" i="58"/>
  <c r="AL23" i="58"/>
  <c r="BU23" i="58"/>
  <c r="AH23" i="58"/>
  <c r="BI23" i="58"/>
  <c r="BZ24" i="58"/>
  <c r="DB24" i="58"/>
  <c r="CD19" i="41"/>
  <c r="BZ19" i="41"/>
  <c r="CR19" i="41"/>
  <c r="CC19" i="41" s="1"/>
  <c r="CQ19" i="41"/>
  <c r="S23" i="58"/>
  <c r="AI23" i="58"/>
  <c r="AU23" i="58"/>
  <c r="BJ23" i="58"/>
  <c r="O23" i="58"/>
  <c r="AE23" i="58"/>
  <c r="AY23" i="58"/>
  <c r="BN23" i="58"/>
  <c r="AA23" i="58"/>
  <c r="AQ23" i="58"/>
  <c r="BC23" i="58"/>
  <c r="BR23" i="58"/>
  <c r="W23" i="58"/>
  <c r="AM23" i="58"/>
  <c r="BG23" i="58"/>
  <c r="BV23" i="58"/>
  <c r="DG26" i="58"/>
  <c r="DQ25" i="58"/>
  <c r="DO24" i="58"/>
  <c r="DP24" i="58"/>
  <c r="DA24" i="58" s="1"/>
  <c r="BO65" i="58" l="1"/>
  <c r="BZ65" i="58"/>
  <c r="CX24" i="58"/>
  <c r="CT24" i="58"/>
  <c r="CP24" i="58"/>
  <c r="CL24" i="58"/>
  <c r="CH24" i="58"/>
  <c r="CD24" i="58"/>
  <c r="CW24" i="58"/>
  <c r="CO24" i="58"/>
  <c r="CG24" i="58"/>
  <c r="CS24" i="58"/>
  <c r="CK24" i="58"/>
  <c r="CC24" i="58"/>
  <c r="DN28" i="58"/>
  <c r="DQ26" i="58"/>
  <c r="DG27" i="58"/>
  <c r="V24" i="58"/>
  <c r="BY24" i="58"/>
  <c r="N24" i="58"/>
  <c r="AT24" i="58"/>
  <c r="BU24" i="58"/>
  <c r="AH24" i="58"/>
  <c r="BQ24" i="58"/>
  <c r="Z24" i="58"/>
  <c r="AL24" i="58"/>
  <c r="AP24" i="58"/>
  <c r="AX24" i="58"/>
  <c r="AD24" i="58"/>
  <c r="BF24" i="58"/>
  <c r="R24" i="58"/>
  <c r="BB24" i="58"/>
  <c r="BI24" i="58"/>
  <c r="BM24" i="58"/>
  <c r="BZ25" i="58"/>
  <c r="DB25" i="58"/>
  <c r="DO25" i="58"/>
  <c r="DP25" i="58"/>
  <c r="DA25" i="58" s="1"/>
  <c r="BQ19" i="41"/>
  <c r="Z19" i="41"/>
  <c r="AT19" i="41"/>
  <c r="N19" i="41"/>
  <c r="BU19" i="41"/>
  <c r="AP19" i="41"/>
  <c r="BM19" i="41"/>
  <c r="AD19" i="41"/>
  <c r="BB19" i="41"/>
  <c r="AH19" i="41"/>
  <c r="BI19" i="41"/>
  <c r="V19" i="41"/>
  <c r="BY19" i="41"/>
  <c r="AX19" i="41"/>
  <c r="R19" i="41"/>
  <c r="AL19" i="41"/>
  <c r="BF19" i="41"/>
  <c r="AA24" i="58"/>
  <c r="AQ24" i="58"/>
  <c r="BJ24" i="58"/>
  <c r="O24" i="58"/>
  <c r="AE24" i="58"/>
  <c r="AU24" i="58"/>
  <c r="BG24" i="58"/>
  <c r="BV24" i="58"/>
  <c r="S24" i="58"/>
  <c r="AI24" i="58"/>
  <c r="BC24" i="58"/>
  <c r="BR24" i="58"/>
  <c r="W24" i="58"/>
  <c r="AM24" i="58"/>
  <c r="AY24" i="58"/>
  <c r="BN24" i="58"/>
  <c r="CS21" i="41"/>
  <c r="CI22" i="41"/>
  <c r="CR20" i="41"/>
  <c r="CC20" i="41" s="1"/>
  <c r="CQ20" i="41"/>
  <c r="BG19" i="41"/>
  <c r="AU19" i="41"/>
  <c r="AE19" i="41"/>
  <c r="O19" i="41"/>
  <c r="BC19" i="41"/>
  <c r="AY19" i="41"/>
  <c r="AI19" i="41"/>
  <c r="S19" i="41"/>
  <c r="BN19" i="41"/>
  <c r="BJ19" i="41"/>
  <c r="AM19" i="41"/>
  <c r="W19" i="41"/>
  <c r="BV19" i="41"/>
  <c r="BR19" i="41"/>
  <c r="AQ19" i="41"/>
  <c r="AA19" i="41"/>
  <c r="CD20" i="41"/>
  <c r="BZ20" i="41"/>
  <c r="CU65" i="58" l="1"/>
  <c r="CM65" i="58"/>
  <c r="BW65" i="58"/>
  <c r="CI65" i="58"/>
  <c r="BS65" i="58"/>
  <c r="CE65" i="58"/>
  <c r="CQ65" i="58"/>
  <c r="CA65" i="58"/>
  <c r="CX25" i="58"/>
  <c r="CT25" i="58"/>
  <c r="CP25" i="58"/>
  <c r="CL25" i="58"/>
  <c r="CH25" i="58"/>
  <c r="CD25" i="58"/>
  <c r="CS25" i="58"/>
  <c r="CK25" i="58"/>
  <c r="CC25" i="58"/>
  <c r="CW25" i="58"/>
  <c r="CO25" i="58"/>
  <c r="CG25" i="58"/>
  <c r="DN29" i="58"/>
  <c r="BM20" i="41"/>
  <c r="N20" i="41"/>
  <c r="R20" i="41"/>
  <c r="AT20" i="41"/>
  <c r="AX20" i="41"/>
  <c r="BB20" i="41"/>
  <c r="V20" i="41"/>
  <c r="BF20" i="41"/>
  <c r="Z20" i="41"/>
  <c r="BQ20" i="41"/>
  <c r="BI20" i="41"/>
  <c r="BY20" i="41"/>
  <c r="AL20" i="41"/>
  <c r="BU20" i="41"/>
  <c r="AP20" i="41"/>
  <c r="AH20" i="41"/>
  <c r="AD20" i="41"/>
  <c r="BZ21" i="41"/>
  <c r="CD21" i="41"/>
  <c r="BV20" i="41"/>
  <c r="BG20" i="41"/>
  <c r="AQ20" i="41"/>
  <c r="AA20" i="41"/>
  <c r="AU20" i="41"/>
  <c r="BJ20" i="41"/>
  <c r="AM20" i="41"/>
  <c r="W20" i="41"/>
  <c r="BR20" i="41"/>
  <c r="AY20" i="41"/>
  <c r="AI20" i="41"/>
  <c r="S20" i="41"/>
  <c r="BN20" i="41"/>
  <c r="BC20" i="41"/>
  <c r="AE20" i="41"/>
  <c r="O20" i="41"/>
  <c r="CI23" i="41"/>
  <c r="CS22" i="41"/>
  <c r="CR21" i="41"/>
  <c r="CC21" i="41" s="1"/>
  <c r="CQ21" i="41"/>
  <c r="AD25" i="58"/>
  <c r="BM25" i="58"/>
  <c r="Z25" i="58"/>
  <c r="BB25" i="58"/>
  <c r="AT25" i="58"/>
  <c r="N25" i="58"/>
  <c r="AP25" i="58"/>
  <c r="BQ25" i="58"/>
  <c r="V25" i="58"/>
  <c r="BF25" i="58"/>
  <c r="R25" i="58"/>
  <c r="AX25" i="58"/>
  <c r="BY25" i="58"/>
  <c r="AL25" i="58"/>
  <c r="BU25" i="58"/>
  <c r="AH25" i="58"/>
  <c r="BI25" i="58"/>
  <c r="DB26" i="58"/>
  <c r="BZ26" i="58"/>
  <c r="S25" i="58"/>
  <c r="AI25" i="58"/>
  <c r="AY25" i="58"/>
  <c r="BJ25" i="58"/>
  <c r="O25" i="58"/>
  <c r="AE25" i="58"/>
  <c r="AU25" i="58"/>
  <c r="BN25" i="58"/>
  <c r="AA25" i="58"/>
  <c r="AQ25" i="58"/>
  <c r="BC25" i="58"/>
  <c r="BR25" i="58"/>
  <c r="W25" i="58"/>
  <c r="AM25" i="58"/>
  <c r="BG25" i="58"/>
  <c r="BV25" i="58"/>
  <c r="DG28" i="58"/>
  <c r="CH65" i="58" s="1"/>
  <c r="DQ27" i="58"/>
  <c r="DO26" i="58"/>
  <c r="DP26" i="58"/>
  <c r="DA26" i="58" s="1"/>
  <c r="CX26" i="58" l="1"/>
  <c r="CT26" i="58"/>
  <c r="CP26" i="58"/>
  <c r="CL26" i="58"/>
  <c r="CH26" i="58"/>
  <c r="CD26" i="58"/>
  <c r="CW26" i="58"/>
  <c r="CO26" i="58"/>
  <c r="CG26" i="58"/>
  <c r="CS26" i="58"/>
  <c r="CK26" i="58"/>
  <c r="CC26" i="58"/>
  <c r="DN30" i="58"/>
  <c r="AT26" i="58"/>
  <c r="BU26" i="58"/>
  <c r="AH26" i="58"/>
  <c r="BQ26" i="58"/>
  <c r="AD26" i="58"/>
  <c r="BF26" i="58"/>
  <c r="R26" i="58"/>
  <c r="AX26" i="58"/>
  <c r="V26" i="58"/>
  <c r="BB26" i="58"/>
  <c r="N26" i="58"/>
  <c r="AP26" i="58"/>
  <c r="BY26" i="58"/>
  <c r="AL26" i="58"/>
  <c r="BM26" i="58"/>
  <c r="Z26" i="58"/>
  <c r="BI26" i="58"/>
  <c r="DB27" i="58"/>
  <c r="BZ27" i="58"/>
  <c r="DO27" i="58"/>
  <c r="DP27" i="58"/>
  <c r="DA27" i="58" s="1"/>
  <c r="BY21" i="41"/>
  <c r="R21" i="41"/>
  <c r="N21" i="41"/>
  <c r="AX21" i="41"/>
  <c r="AT21" i="41"/>
  <c r="BF21" i="41"/>
  <c r="Z21" i="41"/>
  <c r="BB21" i="41"/>
  <c r="V21" i="41"/>
  <c r="AD21" i="41"/>
  <c r="AH21" i="41"/>
  <c r="BU21" i="41"/>
  <c r="AP21" i="41"/>
  <c r="BM21" i="41"/>
  <c r="AL21" i="41"/>
  <c r="BI21" i="41"/>
  <c r="BQ21" i="41"/>
  <c r="CS23" i="41"/>
  <c r="CI24" i="41"/>
  <c r="BW47" i="41"/>
  <c r="DG29" i="58"/>
  <c r="DQ28" i="58"/>
  <c r="AA26" i="58"/>
  <c r="AQ26" i="58"/>
  <c r="BJ26" i="58"/>
  <c r="O26" i="58"/>
  <c r="AE26" i="58"/>
  <c r="AU26" i="58"/>
  <c r="BG26" i="58"/>
  <c r="BV26" i="58"/>
  <c r="S26" i="58"/>
  <c r="AI26" i="58"/>
  <c r="AY26" i="58"/>
  <c r="BR26" i="58"/>
  <c r="W26" i="58"/>
  <c r="AM26" i="58"/>
  <c r="BC26" i="58"/>
  <c r="BN26" i="58"/>
  <c r="BZ22" i="41"/>
  <c r="CD22" i="41"/>
  <c r="CR22" i="41"/>
  <c r="CC22" i="41" s="1"/>
  <c r="CQ22" i="41"/>
  <c r="BN21" i="41"/>
  <c r="BC21" i="41"/>
  <c r="AM21" i="41"/>
  <c r="W21" i="41"/>
  <c r="BV21" i="41"/>
  <c r="BG21" i="41"/>
  <c r="AQ21" i="41"/>
  <c r="AA21" i="41"/>
  <c r="BJ21" i="41"/>
  <c r="AU21" i="41"/>
  <c r="AE21" i="41"/>
  <c r="O21" i="41"/>
  <c r="BR21" i="41"/>
  <c r="AY21" i="41"/>
  <c r="AI21" i="41"/>
  <c r="S21" i="41"/>
  <c r="CX27" i="58" l="1"/>
  <c r="CT27" i="58"/>
  <c r="CP27" i="58"/>
  <c r="CL27" i="58"/>
  <c r="CH27" i="58"/>
  <c r="CD27" i="58"/>
  <c r="CS27" i="58"/>
  <c r="CK27" i="58"/>
  <c r="CC27" i="58"/>
  <c r="CW27" i="58"/>
  <c r="CO27" i="58"/>
  <c r="CG27" i="58"/>
  <c r="DN31" i="58"/>
  <c r="CT65" i="58"/>
  <c r="DG30" i="58"/>
  <c r="DG31" i="58" s="1"/>
  <c r="DQ29" i="58"/>
  <c r="BZ23" i="41"/>
  <c r="CD23" i="41"/>
  <c r="AD22" i="41"/>
  <c r="BB22" i="41"/>
  <c r="AH22" i="41"/>
  <c r="BF22" i="41"/>
  <c r="BM22" i="41"/>
  <c r="AX22" i="41"/>
  <c r="R22" i="41"/>
  <c r="BI22" i="41"/>
  <c r="V22" i="41"/>
  <c r="AP22" i="41"/>
  <c r="BU22" i="41"/>
  <c r="AT22" i="41"/>
  <c r="BY22" i="41"/>
  <c r="AL22" i="41"/>
  <c r="Z22" i="41"/>
  <c r="BQ22" i="41"/>
  <c r="N22" i="41"/>
  <c r="BN22" i="41"/>
  <c r="BC22" i="41"/>
  <c r="AY22" i="41"/>
  <c r="AI22" i="41"/>
  <c r="S22" i="41"/>
  <c r="BJ22" i="41"/>
  <c r="AM22" i="41"/>
  <c r="W22" i="41"/>
  <c r="BV22" i="41"/>
  <c r="BR22" i="41"/>
  <c r="AQ22" i="41"/>
  <c r="AA22" i="41"/>
  <c r="BG22" i="41"/>
  <c r="AU22" i="41"/>
  <c r="AE22" i="41"/>
  <c r="O22" i="41"/>
  <c r="BZ28" i="58"/>
  <c r="DB28" i="58"/>
  <c r="DP28" i="58"/>
  <c r="DA28" i="58" s="1"/>
  <c r="DO28" i="58"/>
  <c r="CI25" i="41"/>
  <c r="CS24" i="41"/>
  <c r="CR23" i="41"/>
  <c r="CC23" i="41" s="1"/>
  <c r="CQ23" i="41"/>
  <c r="AD27" i="58"/>
  <c r="R27" i="58"/>
  <c r="AH27" i="58"/>
  <c r="AT27" i="58"/>
  <c r="BI27" i="58"/>
  <c r="BU27" i="58"/>
  <c r="AX27" i="58"/>
  <c r="BQ27" i="58"/>
  <c r="V27" i="58"/>
  <c r="N27" i="58"/>
  <c r="Z27" i="58"/>
  <c r="AL27" i="58"/>
  <c r="BB27" i="58"/>
  <c r="BM27" i="58"/>
  <c r="AP27" i="58"/>
  <c r="BF27" i="58"/>
  <c r="BY27" i="58"/>
  <c r="S27" i="58"/>
  <c r="AI27" i="58"/>
  <c r="W27" i="58"/>
  <c r="AQ27" i="58"/>
  <c r="BG27" i="58"/>
  <c r="AM27" i="58"/>
  <c r="BC27" i="58"/>
  <c r="BN27" i="58"/>
  <c r="AA27" i="58"/>
  <c r="O27" i="58"/>
  <c r="AE27" i="58"/>
  <c r="AY27" i="58"/>
  <c r="BR27" i="58"/>
  <c r="AU27" i="58"/>
  <c r="BJ27" i="58"/>
  <c r="BV27" i="58"/>
  <c r="CX28" i="58" l="1"/>
  <c r="CT28" i="58"/>
  <c r="CP28" i="58"/>
  <c r="CL28" i="58"/>
  <c r="CH28" i="58"/>
  <c r="CD28" i="58"/>
  <c r="CW28" i="58"/>
  <c r="CO28" i="58"/>
  <c r="CG28" i="58"/>
  <c r="CS28" i="58"/>
  <c r="CK28" i="58"/>
  <c r="CC28" i="58"/>
  <c r="DN32" i="58"/>
  <c r="DG32" i="58"/>
  <c r="DQ31" i="58"/>
  <c r="CP65" i="58"/>
  <c r="BZ24" i="41"/>
  <c r="CD24" i="41"/>
  <c r="CQ24" i="41"/>
  <c r="CR24" i="41"/>
  <c r="CC24" i="41" s="1"/>
  <c r="AD28" i="58"/>
  <c r="BI28" i="58"/>
  <c r="N28" i="58"/>
  <c r="AP28" i="58"/>
  <c r="V28" i="58"/>
  <c r="BY28" i="58"/>
  <c r="BM28" i="58"/>
  <c r="BU28" i="58"/>
  <c r="AX28" i="58"/>
  <c r="AT28" i="58"/>
  <c r="BQ28" i="58"/>
  <c r="Z28" i="58"/>
  <c r="BF28" i="58"/>
  <c r="BB28" i="58"/>
  <c r="AH28" i="58"/>
  <c r="AL28" i="58"/>
  <c r="R28" i="58"/>
  <c r="AA28" i="58"/>
  <c r="AQ28" i="58"/>
  <c r="BG28" i="58"/>
  <c r="BR28" i="58"/>
  <c r="O28" i="58"/>
  <c r="AE28" i="58"/>
  <c r="AU28" i="58"/>
  <c r="BJ28" i="58"/>
  <c r="S28" i="58"/>
  <c r="AI28" i="58"/>
  <c r="AY28" i="58"/>
  <c r="BN28" i="58"/>
  <c r="BV28" i="58"/>
  <c r="W28" i="58"/>
  <c r="AM28" i="58"/>
  <c r="BC28" i="58"/>
  <c r="BZ29" i="58"/>
  <c r="DB29" i="58"/>
  <c r="DO29" i="58"/>
  <c r="DP29" i="58"/>
  <c r="DA29" i="58" s="1"/>
  <c r="BY23" i="41"/>
  <c r="BB23" i="41"/>
  <c r="AX23" i="41"/>
  <c r="AH23" i="41"/>
  <c r="R23" i="41"/>
  <c r="AL23" i="41"/>
  <c r="V23" i="41"/>
  <c r="BF23" i="41"/>
  <c r="BM23" i="41"/>
  <c r="BU23" i="41"/>
  <c r="BQ23" i="41"/>
  <c r="AP23" i="41"/>
  <c r="Z23" i="41"/>
  <c r="BI23" i="41"/>
  <c r="AD23" i="41"/>
  <c r="N23" i="41"/>
  <c r="AT23" i="41"/>
  <c r="CS25" i="41"/>
  <c r="BG23" i="41"/>
  <c r="AU23" i="41"/>
  <c r="AE23" i="41"/>
  <c r="O23" i="41"/>
  <c r="BR23" i="41"/>
  <c r="AQ23" i="41"/>
  <c r="BV23" i="41"/>
  <c r="AI23" i="41"/>
  <c r="BJ23" i="41"/>
  <c r="AM23" i="41"/>
  <c r="W23" i="41"/>
  <c r="BN23" i="41"/>
  <c r="AY23" i="41"/>
  <c r="S23" i="41"/>
  <c r="BC23" i="41"/>
  <c r="AA23" i="41"/>
  <c r="DQ30" i="58"/>
  <c r="CX29" i="58" l="1"/>
  <c r="CT29" i="58"/>
  <c r="CP29" i="58"/>
  <c r="CL29" i="58"/>
  <c r="CH29" i="58"/>
  <c r="CD29" i="58"/>
  <c r="CS29" i="58"/>
  <c r="CK29" i="58"/>
  <c r="CC29" i="58"/>
  <c r="CW29" i="58"/>
  <c r="CO29" i="58"/>
  <c r="CG29" i="58"/>
  <c r="DP31" i="58"/>
  <c r="DA31" i="58" s="1"/>
  <c r="DO31" i="58"/>
  <c r="BZ31" i="58"/>
  <c r="DB31" i="58"/>
  <c r="DQ32" i="58"/>
  <c r="DG33" i="58"/>
  <c r="DN33" i="58"/>
  <c r="DP30" i="58"/>
  <c r="DA30" i="58" s="1"/>
  <c r="DO30" i="58"/>
  <c r="BZ30" i="58"/>
  <c r="DB30" i="58"/>
  <c r="CD25" i="41"/>
  <c r="BZ25" i="41"/>
  <c r="S29" i="58"/>
  <c r="AI29" i="58"/>
  <c r="AY29" i="58"/>
  <c r="BN29" i="58"/>
  <c r="W29" i="58"/>
  <c r="AM29" i="58"/>
  <c r="BC29" i="58"/>
  <c r="BR29" i="58"/>
  <c r="AA29" i="58"/>
  <c r="AQ29" i="58"/>
  <c r="BG29" i="58"/>
  <c r="O29" i="58"/>
  <c r="AE29" i="58"/>
  <c r="AU29" i="58"/>
  <c r="BJ29" i="58"/>
  <c r="BV29" i="58"/>
  <c r="BY24" i="41"/>
  <c r="AX24" i="41"/>
  <c r="R24" i="41"/>
  <c r="BB24" i="41"/>
  <c r="V24" i="41"/>
  <c r="BQ24" i="41"/>
  <c r="AH24" i="41"/>
  <c r="BU24" i="41"/>
  <c r="AL24" i="41"/>
  <c r="AD24" i="41"/>
  <c r="BI24" i="41"/>
  <c r="Z24" i="41"/>
  <c r="BF24" i="41"/>
  <c r="N24" i="41"/>
  <c r="AT24" i="41"/>
  <c r="BM24" i="41"/>
  <c r="AP24" i="41"/>
  <c r="CR25" i="41"/>
  <c r="CC25" i="41" s="1"/>
  <c r="CQ25" i="41"/>
  <c r="V29" i="58"/>
  <c r="AD29" i="58"/>
  <c r="BI29" i="58"/>
  <c r="R29" i="58"/>
  <c r="AX29" i="58"/>
  <c r="AT29" i="58"/>
  <c r="BU29" i="58"/>
  <c r="AH29" i="58"/>
  <c r="BM29" i="58"/>
  <c r="BF29" i="58"/>
  <c r="Z29" i="58"/>
  <c r="BQ29" i="58"/>
  <c r="AL29" i="58"/>
  <c r="BY29" i="58"/>
  <c r="AP29" i="58"/>
  <c r="N29" i="58"/>
  <c r="BB29" i="58"/>
  <c r="BV24" i="41"/>
  <c r="BC24" i="41"/>
  <c r="AM24" i="41"/>
  <c r="W24" i="41"/>
  <c r="BR24" i="41"/>
  <c r="AY24" i="41"/>
  <c r="AI24" i="41"/>
  <c r="S24" i="41"/>
  <c r="BN24" i="41"/>
  <c r="BJ24" i="41"/>
  <c r="AU24" i="41"/>
  <c r="AE24" i="41"/>
  <c r="O24" i="41"/>
  <c r="BG24" i="41"/>
  <c r="AQ24" i="41"/>
  <c r="AA24" i="41"/>
  <c r="CX30" i="58" l="1"/>
  <c r="CT30" i="58"/>
  <c r="CP30" i="58"/>
  <c r="CL30" i="58"/>
  <c r="CH30" i="58"/>
  <c r="CD30" i="58"/>
  <c r="CX31" i="58"/>
  <c r="CT31" i="58"/>
  <c r="CP31" i="58"/>
  <c r="CL31" i="58"/>
  <c r="CH31" i="58"/>
  <c r="CD31" i="58"/>
  <c r="CW30" i="58"/>
  <c r="CO30" i="58"/>
  <c r="CG30" i="58"/>
  <c r="CS30" i="58"/>
  <c r="CK30" i="58"/>
  <c r="CC30" i="58"/>
  <c r="CS31" i="58"/>
  <c r="CK31" i="58"/>
  <c r="CC31" i="58"/>
  <c r="CW31" i="58"/>
  <c r="CO31" i="58"/>
  <c r="CG31" i="58"/>
  <c r="DN34" i="58"/>
  <c r="DG34" i="58"/>
  <c r="DQ33" i="58"/>
  <c r="DP32" i="58"/>
  <c r="DA32" i="58" s="1"/>
  <c r="DO32" i="58"/>
  <c r="BZ32" i="58"/>
  <c r="DB32" i="58"/>
  <c r="BJ31" i="58"/>
  <c r="AU31" i="58"/>
  <c r="AI31" i="58"/>
  <c r="S31" i="58"/>
  <c r="BN31" i="58"/>
  <c r="AY31" i="58"/>
  <c r="AE31" i="58"/>
  <c r="O31" i="58"/>
  <c r="BR31" i="58"/>
  <c r="BC31" i="58"/>
  <c r="AM31" i="58"/>
  <c r="AA31" i="58"/>
  <c r="BV31" i="58"/>
  <c r="BG31" i="58"/>
  <c r="AQ31" i="58"/>
  <c r="W31" i="58"/>
  <c r="AX31" i="58"/>
  <c r="N31" i="58"/>
  <c r="BB31" i="58"/>
  <c r="Z31" i="58"/>
  <c r="BF31" i="58"/>
  <c r="V31" i="58"/>
  <c r="BI31" i="58"/>
  <c r="AH31" i="58"/>
  <c r="BM31" i="58"/>
  <c r="AD31" i="58"/>
  <c r="BQ31" i="58"/>
  <c r="AL31" i="58"/>
  <c r="BU31" i="58"/>
  <c r="AP31" i="58"/>
  <c r="BY31" i="58"/>
  <c r="AT31" i="58"/>
  <c r="R31" i="58"/>
  <c r="AA30" i="58"/>
  <c r="AQ30" i="58"/>
  <c r="BG30" i="58"/>
  <c r="BV30" i="58"/>
  <c r="W30" i="58"/>
  <c r="AM30" i="58"/>
  <c r="BC30" i="58"/>
  <c r="BR30" i="58"/>
  <c r="S30" i="58"/>
  <c r="AI30" i="58"/>
  <c r="AY30" i="58"/>
  <c r="BN30" i="58"/>
  <c r="O30" i="58"/>
  <c r="AE30" i="58"/>
  <c r="AU30" i="58"/>
  <c r="BJ30" i="58"/>
  <c r="BM25" i="41"/>
  <c r="BU25" i="41"/>
  <c r="AT25" i="41"/>
  <c r="N25" i="41"/>
  <c r="AP25" i="41"/>
  <c r="BI25" i="41"/>
  <c r="AD25" i="41"/>
  <c r="BF25" i="41"/>
  <c r="Z25" i="41"/>
  <c r="AH25" i="41"/>
  <c r="BQ25" i="41"/>
  <c r="AL25" i="41"/>
  <c r="BY25" i="41"/>
  <c r="R25" i="41"/>
  <c r="AX25" i="41"/>
  <c r="V25" i="41"/>
  <c r="BB25" i="41"/>
  <c r="BR25" i="41"/>
  <c r="AY25" i="41"/>
  <c r="AI25" i="41"/>
  <c r="S25" i="41"/>
  <c r="BV25" i="41"/>
  <c r="BC25" i="41"/>
  <c r="AM25" i="41"/>
  <c r="W25" i="41"/>
  <c r="BG25" i="41"/>
  <c r="AQ25" i="41"/>
  <c r="AA25" i="41"/>
  <c r="BN25" i="41"/>
  <c r="BJ25" i="41"/>
  <c r="AU25" i="41"/>
  <c r="AE25" i="41"/>
  <c r="O25" i="41"/>
  <c r="AL30" i="58"/>
  <c r="BQ30" i="58"/>
  <c r="AH30" i="58"/>
  <c r="BM30" i="58"/>
  <c r="AD30" i="58"/>
  <c r="AP30" i="58"/>
  <c r="AT30" i="58"/>
  <c r="Z30" i="58"/>
  <c r="V30" i="58"/>
  <c r="BB30" i="58"/>
  <c r="R30" i="58"/>
  <c r="AX30" i="58"/>
  <c r="BY30" i="58"/>
  <c r="BI30" i="58"/>
  <c r="BU30" i="58"/>
  <c r="N30" i="58"/>
  <c r="BF30" i="58"/>
  <c r="CX32" i="58" l="1"/>
  <c r="CT32" i="58"/>
  <c r="CP32" i="58"/>
  <c r="CL32" i="58"/>
  <c r="CH32" i="58"/>
  <c r="CD32" i="58"/>
  <c r="CW32" i="58"/>
  <c r="CO32" i="58"/>
  <c r="CG32" i="58"/>
  <c r="CS32" i="58"/>
  <c r="CK32" i="58"/>
  <c r="CC32" i="58"/>
  <c r="BV32" i="58"/>
  <c r="BG32" i="58"/>
  <c r="AQ32" i="58"/>
  <c r="AE32" i="58"/>
  <c r="O32" i="58"/>
  <c r="BJ32" i="58"/>
  <c r="AU32" i="58"/>
  <c r="AA32" i="58"/>
  <c r="BN32" i="58"/>
  <c r="AY32" i="58"/>
  <c r="AM32" i="58"/>
  <c r="W32" i="58"/>
  <c r="BR32" i="58"/>
  <c r="BC32" i="58"/>
  <c r="AI32" i="58"/>
  <c r="S32" i="58"/>
  <c r="BY32" i="58"/>
  <c r="AT32" i="58"/>
  <c r="BU32" i="58"/>
  <c r="AP32" i="58"/>
  <c r="N32" i="58"/>
  <c r="BQ32" i="58"/>
  <c r="AH32" i="58"/>
  <c r="BM32" i="58"/>
  <c r="AL32" i="58"/>
  <c r="BI32" i="58"/>
  <c r="Z32" i="58"/>
  <c r="BF32" i="58"/>
  <c r="AD32" i="58"/>
  <c r="BB32" i="58"/>
  <c r="R32" i="58"/>
  <c r="AX32" i="58"/>
  <c r="V32" i="58"/>
  <c r="DP33" i="58"/>
  <c r="DA33" i="58" s="1"/>
  <c r="DO33" i="58"/>
  <c r="BZ33" i="58"/>
  <c r="DB33" i="58"/>
  <c r="DG35" i="58"/>
  <c r="DQ34" i="58"/>
  <c r="DN35" i="58"/>
  <c r="CX33" i="58" l="1"/>
  <c r="CT33" i="58"/>
  <c r="CP33" i="58"/>
  <c r="CL33" i="58"/>
  <c r="CH33" i="58"/>
  <c r="CD33" i="58"/>
  <c r="CS33" i="58"/>
  <c r="CK33" i="58"/>
  <c r="CC33" i="58"/>
  <c r="CW33" i="58"/>
  <c r="CO33" i="58"/>
  <c r="CG33" i="58"/>
  <c r="BZ34" i="58"/>
  <c r="DB34" i="58"/>
  <c r="DN36" i="58"/>
  <c r="DP34" i="58"/>
  <c r="DA34" i="58" s="1"/>
  <c r="DO34" i="58"/>
  <c r="DQ35" i="58"/>
  <c r="DG36" i="58"/>
  <c r="BJ33" i="58"/>
  <c r="AU33" i="58"/>
  <c r="AI33" i="58"/>
  <c r="S33" i="58"/>
  <c r="BN33" i="58"/>
  <c r="AY33" i="58"/>
  <c r="AE33" i="58"/>
  <c r="O33" i="58"/>
  <c r="BR33" i="58"/>
  <c r="BC33" i="58"/>
  <c r="AQ33" i="58"/>
  <c r="AA33" i="58"/>
  <c r="BV33" i="58"/>
  <c r="BG33" i="58"/>
  <c r="AM33" i="58"/>
  <c r="W33" i="58"/>
  <c r="BM33" i="58"/>
  <c r="AD33" i="58"/>
  <c r="BY33" i="58"/>
  <c r="AT33" i="58"/>
  <c r="R33" i="58"/>
  <c r="BF33" i="58"/>
  <c r="V33" i="58"/>
  <c r="BQ33" i="58"/>
  <c r="AP33" i="58"/>
  <c r="AX33" i="58"/>
  <c r="N33" i="58"/>
  <c r="BI33" i="58"/>
  <c r="AH33" i="58"/>
  <c r="BU33" i="58"/>
  <c r="AL33" i="58"/>
  <c r="BB33" i="58"/>
  <c r="Z33" i="58"/>
  <c r="CX34" i="58" l="1"/>
  <c r="CT34" i="58"/>
  <c r="CP34" i="58"/>
  <c r="CL34" i="58"/>
  <c r="CH34" i="58"/>
  <c r="CD34" i="58"/>
  <c r="CW34" i="58"/>
  <c r="CO34" i="58"/>
  <c r="CG34" i="58"/>
  <c r="CS34" i="58"/>
  <c r="CK34" i="58"/>
  <c r="CC34" i="58"/>
  <c r="DQ36" i="58"/>
  <c r="DP35" i="58"/>
  <c r="DA35" i="58" s="1"/>
  <c r="DO35" i="58"/>
  <c r="BZ35" i="58"/>
  <c r="DB35" i="58"/>
  <c r="BY34" i="58"/>
  <c r="AP34" i="58"/>
  <c r="BU34" i="58"/>
  <c r="AT34" i="58"/>
  <c r="N34" i="58"/>
  <c r="BQ34" i="58"/>
  <c r="AH34" i="58"/>
  <c r="BM34" i="58"/>
  <c r="AL34" i="58"/>
  <c r="BI34" i="58"/>
  <c r="Z34" i="58"/>
  <c r="BF34" i="58"/>
  <c r="AD34" i="58"/>
  <c r="BB34" i="58"/>
  <c r="R34" i="58"/>
  <c r="AX34" i="58"/>
  <c r="V34" i="58"/>
  <c r="BV34" i="58"/>
  <c r="BG34" i="58"/>
  <c r="AU34" i="58"/>
  <c r="AE34" i="58"/>
  <c r="O34" i="58"/>
  <c r="BJ34" i="58"/>
  <c r="AQ34" i="58"/>
  <c r="AA34" i="58"/>
  <c r="BN34" i="58"/>
  <c r="AY34" i="58"/>
  <c r="AM34" i="58"/>
  <c r="W34" i="58"/>
  <c r="BR34" i="58"/>
  <c r="BC34" i="58"/>
  <c r="AI34" i="58"/>
  <c r="S34" i="58"/>
  <c r="CX35" i="58" l="1"/>
  <c r="CT35" i="58"/>
  <c r="CP35" i="58"/>
  <c r="CL35" i="58"/>
  <c r="CH35" i="58"/>
  <c r="CD35" i="58"/>
  <c r="CS35" i="58"/>
  <c r="CK35" i="58"/>
  <c r="CC35" i="58"/>
  <c r="CW35" i="58"/>
  <c r="CO35" i="58"/>
  <c r="CG35" i="58"/>
  <c r="DO36" i="58"/>
  <c r="DP36" i="58"/>
  <c r="DA36" i="58" s="1"/>
  <c r="BN35" i="58"/>
  <c r="BC35" i="58"/>
  <c r="AM35" i="58"/>
  <c r="W35" i="58"/>
  <c r="BR35" i="58"/>
  <c r="AY35" i="58"/>
  <c r="AI35" i="58"/>
  <c r="S35" i="58"/>
  <c r="BV35" i="58"/>
  <c r="BJ35" i="58"/>
  <c r="AU35" i="58"/>
  <c r="AE35" i="58"/>
  <c r="O35" i="58"/>
  <c r="BG35" i="58"/>
  <c r="AQ35" i="58"/>
  <c r="AA35" i="58"/>
  <c r="AX35" i="58"/>
  <c r="R35" i="58"/>
  <c r="BB35" i="58"/>
  <c r="V35" i="58"/>
  <c r="BF35" i="58"/>
  <c r="Z35" i="58"/>
  <c r="BI35" i="58"/>
  <c r="AD35" i="58"/>
  <c r="BQ35" i="58"/>
  <c r="AH35" i="58"/>
  <c r="BM35" i="58"/>
  <c r="AL35" i="58"/>
  <c r="BY35" i="58"/>
  <c r="AP35" i="58"/>
  <c r="BU35" i="58"/>
  <c r="AT35" i="58"/>
  <c r="N35" i="58"/>
  <c r="DB36" i="58"/>
  <c r="BZ36" i="58"/>
  <c r="CX36" i="58" l="1"/>
  <c r="CT36" i="58"/>
  <c r="CP36" i="58"/>
  <c r="CL36" i="58"/>
  <c r="CH36" i="58"/>
  <c r="CD36" i="58"/>
  <c r="CW36" i="58"/>
  <c r="CO36" i="58"/>
  <c r="CG36" i="58"/>
  <c r="CS36" i="58"/>
  <c r="CK36" i="58"/>
  <c r="CC36" i="58"/>
  <c r="BU36" i="58"/>
  <c r="BM36" i="58"/>
  <c r="BF36" i="58"/>
  <c r="AX36" i="58"/>
  <c r="AP36" i="58"/>
  <c r="AH36" i="58"/>
  <c r="Z36" i="58"/>
  <c r="R36" i="58"/>
  <c r="BY36" i="58"/>
  <c r="BQ36" i="58"/>
  <c r="BI36" i="58"/>
  <c r="BB36" i="58"/>
  <c r="AT36" i="58"/>
  <c r="AL36" i="58"/>
  <c r="AD36" i="58"/>
  <c r="V36" i="58"/>
  <c r="N36" i="58"/>
  <c r="BR36" i="58"/>
  <c r="BJ36" i="58"/>
  <c r="BC36" i="58"/>
  <c r="AU36" i="58"/>
  <c r="AM36" i="58"/>
  <c r="AE36" i="58"/>
  <c r="W36" i="58"/>
  <c r="O36" i="58"/>
  <c r="BV36" i="58"/>
  <c r="BN36" i="58"/>
  <c r="BG36" i="58"/>
  <c r="AY36" i="58"/>
  <c r="AQ36" i="58"/>
  <c r="AI36" i="58"/>
  <c r="AA36" i="58"/>
  <c r="S36" i="58"/>
  <c r="DE30" i="58" l="1"/>
  <c r="DE53" i="58" s="1"/>
  <c r="DE29" i="58"/>
  <c r="DE52" i="58" s="1"/>
  <c r="CG24" i="41"/>
  <c r="CG41" i="41" s="1"/>
  <c r="CG25" i="41"/>
  <c r="CG42" i="41" s="1"/>
  <c r="DD30" i="58" l="1"/>
  <c r="DD29" i="58"/>
  <c r="CF25" i="41"/>
  <c r="CF24" i="41"/>
  <c r="DD26" i="58" l="1"/>
  <c r="CF21" i="41"/>
  <c r="CF20" i="41"/>
  <c r="T8" i="41" s="1"/>
  <c r="T9" i="41" s="1"/>
  <c r="DE26" i="58"/>
  <c r="DE49" i="58" s="1"/>
  <c r="CG21" i="41"/>
  <c r="CG38" i="41" s="1"/>
  <c r="DE25" i="58"/>
  <c r="CG20" i="41"/>
  <c r="CG37" i="41" s="1"/>
  <c r="DD25" i="58"/>
  <c r="CG43" i="41" l="1"/>
  <c r="L8" i="58"/>
  <c r="L9" i="58" s="1"/>
  <c r="AV8" i="41"/>
  <c r="AV9" i="41" s="1"/>
  <c r="AV8" i="58"/>
  <c r="BW8" i="58"/>
  <c r="BW9" i="58" s="1"/>
  <c r="AN8" i="58"/>
  <c r="BO8" i="58"/>
  <c r="BD8" i="58"/>
  <c r="BD9" i="58" s="1"/>
  <c r="AJ8" i="58"/>
  <c r="X8" i="58"/>
  <c r="X9" i="58" s="1"/>
  <c r="AB8" i="58"/>
  <c r="AB9" i="58" s="1"/>
  <c r="T8" i="58"/>
  <c r="T9" i="58" s="1"/>
  <c r="P8" i="58"/>
  <c r="P9" i="58" s="1"/>
  <c r="DE48" i="58"/>
  <c r="DE54" i="58"/>
  <c r="BS8" i="58"/>
  <c r="BS9" i="58" s="1"/>
  <c r="CY8" i="58"/>
  <c r="CY9" i="58" s="1"/>
  <c r="BK8" i="58"/>
  <c r="AZ8" i="58"/>
  <c r="AZ9" i="58" s="1"/>
  <c r="AR8" i="58"/>
  <c r="AF8" i="58"/>
  <c r="AF9" i="58" s="1"/>
  <c r="BK8" i="41"/>
  <c r="BK9" i="41" s="1"/>
  <c r="BO8" i="41"/>
  <c r="BO9" i="41" s="1"/>
  <c r="X8" i="41"/>
  <c r="X9" i="41" s="1"/>
  <c r="BS8" i="41"/>
  <c r="BS9" i="41" s="1"/>
  <c r="AB8" i="41"/>
  <c r="AB9" i="41" s="1"/>
  <c r="CA8" i="41"/>
  <c r="CA9" i="41" s="1"/>
  <c r="P8" i="41"/>
  <c r="P9" i="41" s="1"/>
  <c r="BW8" i="41"/>
  <c r="BW9" i="41" s="1"/>
  <c r="AF8" i="41"/>
  <c r="AF9" i="41" s="1"/>
  <c r="BD8" i="41"/>
  <c r="BD9" i="41" s="1"/>
  <c r="AJ8" i="41"/>
  <c r="AJ9" i="41" s="1"/>
  <c r="AZ8" i="41"/>
  <c r="AZ9" i="41" s="1"/>
  <c r="AR8" i="41"/>
  <c r="AR9" i="41" s="1"/>
  <c r="L8" i="41"/>
  <c r="L9" i="41" s="1"/>
  <c r="AN8" i="41"/>
  <c r="AN9" i="41" s="1"/>
  <c r="BO9" i="58" l="1"/>
  <c r="AJ9" i="58"/>
  <c r="CI9" i="58" s="1"/>
  <c r="CI8" i="58"/>
  <c r="AV9" i="58"/>
  <c r="CE9" i="58" s="1"/>
  <c r="CU9" i="58" s="1"/>
  <c r="CE8" i="58"/>
  <c r="CU8" i="58" s="1"/>
  <c r="AR9" i="58"/>
  <c r="CA9" i="58" s="1"/>
  <c r="CA8" i="58"/>
  <c r="BK9" i="58"/>
  <c r="CQ9" i="58" s="1"/>
  <c r="CQ8" i="58"/>
  <c r="AN9" i="58"/>
  <c r="CM9" i="58" s="1"/>
  <c r="CM8" i="58"/>
  <c r="CR7" i="41" l="1"/>
  <c r="CC7" i="41" s="1"/>
  <c r="AS49" i="25"/>
  <c r="AS48" i="25"/>
  <c r="AJ35" i="26"/>
  <c r="AJ36" i="26"/>
  <c r="AJ44" i="26"/>
  <c r="AS57" i="25"/>
  <c r="O48" i="25" l="1"/>
  <c r="W48" i="25"/>
  <c r="S48" i="25"/>
  <c r="W57" i="25"/>
  <c r="O57" i="25"/>
  <c r="S57" i="25"/>
  <c r="N44" i="26"/>
  <c r="R44" i="26"/>
  <c r="N36" i="26"/>
  <c r="R36" i="26"/>
  <c r="DP7" i="58"/>
  <c r="DA7" i="58" s="1"/>
  <c r="N35" i="26"/>
  <c r="R35" i="26"/>
  <c r="O49" i="25"/>
  <c r="W49" i="25"/>
  <c r="S49" i="25"/>
  <c r="BQ7" i="41"/>
  <c r="BM7" i="41"/>
  <c r="AP7" i="41"/>
  <c r="V7" i="41"/>
  <c r="AX7" i="41"/>
  <c r="AX51" i="41" s="1"/>
  <c r="AH7" i="41"/>
  <c r="BY7" i="41"/>
  <c r="BI7" i="41"/>
  <c r="R7" i="41"/>
  <c r="AL7" i="41"/>
  <c r="N7" i="41"/>
  <c r="Z7" i="41"/>
  <c r="AD7" i="41"/>
  <c r="BF7" i="41"/>
  <c r="BB7" i="41"/>
  <c r="AT7" i="41"/>
  <c r="BU7" i="41"/>
  <c r="CS7" i="58" l="1"/>
  <c r="CK7" i="58"/>
  <c r="CW7" i="58"/>
  <c r="CO7" i="58"/>
  <c r="CG7" i="58"/>
  <c r="CC7" i="58"/>
  <c r="AT7" i="58"/>
  <c r="AP7" i="58"/>
  <c r="R7" i="58"/>
  <c r="BF7" i="58"/>
  <c r="AH7" i="58"/>
  <c r="V7" i="58"/>
  <c r="AX7" i="58"/>
  <c r="AX69" i="58" s="1"/>
  <c r="AL7" i="58"/>
  <c r="BQ7" i="58"/>
  <c r="BB7" i="58"/>
  <c r="BI7" i="58"/>
  <c r="BM7" i="58"/>
  <c r="BY7" i="58"/>
  <c r="N7" i="58"/>
  <c r="BU7" i="58"/>
  <c r="AD7" i="58"/>
  <c r="Z7" i="58"/>
  <c r="K12" i="25" l="1"/>
  <c r="G12" i="58"/>
  <c r="L5" i="56"/>
  <c r="G13" i="58"/>
  <c r="J10" i="58"/>
  <c r="F14" i="58"/>
  <c r="K10" i="58"/>
  <c r="L3" i="56"/>
  <c r="J14" i="56"/>
  <c r="K12" i="58"/>
  <c r="F10" i="58"/>
  <c r="DM11" i="58"/>
  <c r="AP12" i="25"/>
  <c r="AQ12" i="25" s="1"/>
  <c r="AS12" i="25" s="1"/>
  <c r="G10" i="58"/>
  <c r="J11" i="58"/>
  <c r="G14" i="58"/>
  <c r="DM10" i="58"/>
  <c r="K14" i="56"/>
  <c r="F14" i="56"/>
  <c r="L6" i="56"/>
  <c r="DM14" i="58"/>
  <c r="J14" i="58"/>
  <c r="F11" i="58"/>
  <c r="DM12" i="58"/>
  <c r="K14" i="58"/>
  <c r="L12" i="25"/>
  <c r="K13" i="58"/>
  <c r="G14" i="56"/>
  <c r="G12" i="25"/>
  <c r="J12" i="58"/>
  <c r="K11" i="58"/>
  <c r="L4" i="56"/>
  <c r="DM13" i="58"/>
  <c r="H12" i="25"/>
  <c r="J13" i="58"/>
  <c r="G11" i="58"/>
  <c r="F12" i="58"/>
  <c r="F13" i="58"/>
  <c r="S12" i="25" l="1"/>
  <c r="O12" i="25"/>
  <c r="W12" i="25"/>
</calcChain>
</file>

<file path=xl/comments1.xml><?xml version="1.0" encoding="utf-8"?>
<comments xmlns="http://schemas.openxmlformats.org/spreadsheetml/2006/main">
  <authors>
    <author>Niels Jungbluth</author>
  </authors>
  <commentList>
    <comment ref="AS52" authorId="0">
      <text>
        <r>
          <rPr>
            <b/>
            <sz val="8"/>
            <color indexed="81"/>
            <rFont val="Tahoma"/>
            <family val="2"/>
          </rPr>
          <t>Niels Jungbluth:</t>
        </r>
        <r>
          <rPr>
            <sz val="8"/>
            <color indexed="81"/>
            <rFont val="Tahoma"/>
            <family val="2"/>
          </rPr>
          <t xml:space="preserve">
http://www.omikron-online.de/cyberchem/preise/prs-html/019sc-si.htm</t>
        </r>
      </text>
    </comment>
  </commentList>
</comments>
</file>

<file path=xl/comments10.xml><?xml version="1.0" encoding="utf-8"?>
<comments xmlns="http://schemas.openxmlformats.org/spreadsheetml/2006/main">
  <authors>
    <author>René Itten</author>
  </authors>
  <commentList>
    <comment ref="A28" authorId="0">
      <text>
        <r>
          <rPr>
            <b/>
            <sz val="9"/>
            <color indexed="81"/>
            <rFont val="Tahoma"/>
            <family val="2"/>
          </rPr>
          <t>René Itten:</t>
        </r>
        <r>
          <rPr>
            <sz val="9"/>
            <color indexed="81"/>
            <rFont val="Tahoma"/>
            <family val="2"/>
          </rPr>
          <t xml:space="preserve">
Approximation for quartz crucible</t>
        </r>
      </text>
    </comment>
    <comment ref="F31" authorId="0">
      <text>
        <r>
          <rPr>
            <b/>
            <sz val="9"/>
            <color indexed="81"/>
            <rFont val="Tahoma"/>
            <family val="2"/>
          </rPr>
          <t>René Itten:</t>
        </r>
        <r>
          <rPr>
            <sz val="9"/>
            <color indexed="81"/>
            <rFont val="Tahoma"/>
            <family val="2"/>
          </rPr>
          <t xml:space="preserve">
dummy Silicon Carbide</t>
        </r>
      </text>
    </comment>
  </commentList>
</comments>
</file>

<file path=xl/comments11.xml><?xml version="1.0" encoding="utf-8"?>
<comments xmlns="http://schemas.openxmlformats.org/spreadsheetml/2006/main">
  <authors>
    <author>Matthias S</author>
  </authors>
  <commentList>
    <comment ref="AB49" authorId="0">
      <text>
        <r>
          <rPr>
            <b/>
            <sz val="8"/>
            <color indexed="81"/>
            <rFont val="Tahoma"/>
            <family val="2"/>
          </rPr>
          <t>Matthias S:</t>
        </r>
        <r>
          <rPr>
            <sz val="8"/>
            <color indexed="81"/>
            <rFont val="Tahoma"/>
            <family val="2"/>
          </rPr>
          <t xml:space="preserve">
Berechnungen im Dokument Montagesysteme_2007.xls</t>
        </r>
      </text>
    </comment>
  </commentList>
</comments>
</file>

<file path=xl/comments2.xml><?xml version="1.0" encoding="utf-8"?>
<comments xmlns="http://schemas.openxmlformats.org/spreadsheetml/2006/main">
  <authors>
    <author>René Itten</author>
  </authors>
  <commentList>
    <comment ref="A49" authorId="0">
      <text>
        <r>
          <rPr>
            <b/>
            <sz val="9"/>
            <color indexed="81"/>
            <rFont val="Tahoma"/>
            <family val="2"/>
          </rPr>
          <t>René Itten:</t>
        </r>
        <r>
          <rPr>
            <sz val="9"/>
            <color indexed="81"/>
            <rFont val="Tahoma"/>
            <family val="2"/>
          </rPr>
          <t xml:space="preserve">
recycled silicon</t>
        </r>
      </text>
    </comment>
  </commentList>
</comments>
</file>

<file path=xl/comments3.xml><?xml version="1.0" encoding="utf-8"?>
<comments xmlns="http://schemas.openxmlformats.org/spreadsheetml/2006/main">
  <authors>
    <author>René Itten</author>
  </authors>
  <commentList>
    <comment ref="A31" authorId="0">
      <text>
        <r>
          <rPr>
            <b/>
            <sz val="9"/>
            <color indexed="81"/>
            <rFont val="Tahoma"/>
            <family val="2"/>
          </rPr>
          <t>René Itten:</t>
        </r>
        <r>
          <rPr>
            <sz val="9"/>
            <color indexed="81"/>
            <rFont val="Tahoma"/>
            <family val="2"/>
          </rPr>
          <t xml:space="preserve">
Recycled Silicon</t>
        </r>
      </text>
    </comment>
  </commentList>
</comments>
</file>

<file path=xl/comments4.xml><?xml version="1.0" encoding="utf-8"?>
<comments xmlns="http://schemas.openxmlformats.org/spreadsheetml/2006/main">
  <authors>
    <author>René Itten</author>
  </authors>
  <commentList>
    <comment ref="A80" authorId="0">
      <text>
        <r>
          <rPr>
            <b/>
            <sz val="9"/>
            <color indexed="81"/>
            <rFont val="Tahoma"/>
            <family val="2"/>
          </rPr>
          <t>René Itten:</t>
        </r>
        <r>
          <rPr>
            <sz val="9"/>
            <color indexed="81"/>
            <rFont val="Tahoma"/>
            <family val="2"/>
          </rPr>
          <t xml:space="preserve">
Wafer Clean
</t>
        </r>
      </text>
    </comment>
  </commentList>
</comments>
</file>

<file path=xl/comments5.xml><?xml version="1.0" encoding="utf-8"?>
<comments xmlns="http://schemas.openxmlformats.org/spreadsheetml/2006/main">
  <authors>
    <author>René Itten</author>
  </authors>
  <commentList>
    <comment ref="A91" authorId="0">
      <text>
        <r>
          <rPr>
            <b/>
            <sz val="9"/>
            <color indexed="81"/>
            <rFont val="Tahoma"/>
            <family val="2"/>
          </rPr>
          <t>René Itten:</t>
        </r>
        <r>
          <rPr>
            <sz val="9"/>
            <color indexed="81"/>
            <rFont val="Tahoma"/>
            <family val="2"/>
          </rPr>
          <t xml:space="preserve">
phosphoryl chloride
</t>
        </r>
      </text>
    </comment>
    <comment ref="A93" authorId="0">
      <text>
        <r>
          <rPr>
            <b/>
            <sz val="9"/>
            <color indexed="81"/>
            <rFont val="Tahoma"/>
            <family val="2"/>
          </rPr>
          <t>René Itten:</t>
        </r>
        <r>
          <rPr>
            <sz val="9"/>
            <color indexed="81"/>
            <rFont val="Tahoma"/>
            <family val="2"/>
          </rPr>
          <t xml:space="preserve">
Silicon nitride
</t>
        </r>
      </text>
    </comment>
    <comment ref="A94" authorId="0">
      <text>
        <r>
          <rPr>
            <b/>
            <sz val="9"/>
            <color indexed="81"/>
            <rFont val="Tahoma"/>
            <family val="2"/>
          </rPr>
          <t>René Itten:</t>
        </r>
        <r>
          <rPr>
            <sz val="9"/>
            <color indexed="81"/>
            <rFont val="Tahoma"/>
            <family val="2"/>
          </rPr>
          <t xml:space="preserve">
silicon dioxide
</t>
        </r>
      </text>
    </comment>
    <comment ref="A95" authorId="0">
      <text>
        <r>
          <rPr>
            <b/>
            <sz val="9"/>
            <color indexed="81"/>
            <rFont val="Tahoma"/>
            <family val="2"/>
          </rPr>
          <t>René Itten:</t>
        </r>
        <r>
          <rPr>
            <sz val="9"/>
            <color indexed="81"/>
            <rFont val="Tahoma"/>
            <family val="2"/>
          </rPr>
          <t xml:space="preserve">
terpineol alpha</t>
        </r>
      </text>
    </comment>
    <comment ref="A109" authorId="0">
      <text>
        <r>
          <rPr>
            <b/>
            <sz val="9"/>
            <color indexed="81"/>
            <rFont val="Tahoma"/>
            <family val="2"/>
          </rPr>
          <t>René Itten:</t>
        </r>
        <r>
          <rPr>
            <sz val="9"/>
            <color indexed="81"/>
            <rFont val="Tahoma"/>
            <family val="2"/>
          </rPr>
          <t xml:space="preserve">
carbon tetrafluoride
</t>
        </r>
      </text>
    </comment>
    <comment ref="A110" authorId="0">
      <text>
        <r>
          <rPr>
            <b/>
            <sz val="9"/>
            <color indexed="81"/>
            <rFont val="Tahoma"/>
            <family val="2"/>
          </rPr>
          <t>René Itten:</t>
        </r>
        <r>
          <rPr>
            <sz val="9"/>
            <color indexed="81"/>
            <rFont val="Tahoma"/>
            <family val="2"/>
          </rPr>
          <t xml:space="preserve">
Nitrogen to air???
</t>
        </r>
      </text>
    </comment>
    <comment ref="A111" authorId="0">
      <text>
        <r>
          <rPr>
            <b/>
            <sz val="9"/>
            <color indexed="81"/>
            <rFont val="Tahoma"/>
            <family val="2"/>
          </rPr>
          <t>René Itten:</t>
        </r>
        <r>
          <rPr>
            <sz val="9"/>
            <color indexed="81"/>
            <rFont val="Tahoma"/>
            <family val="2"/>
          </rPr>
          <t xml:space="preserve">
oxygen to air?</t>
        </r>
      </text>
    </comment>
  </commentList>
</comments>
</file>

<file path=xl/comments6.xml><?xml version="1.0" encoding="utf-8"?>
<comments xmlns="http://schemas.openxmlformats.org/spreadsheetml/2006/main">
  <authors>
    <author>Niels Jungbluth</author>
  </authors>
  <commentList>
    <comment ref="CG25" authorId="0">
      <text>
        <r>
          <rPr>
            <b/>
            <sz val="8"/>
            <color indexed="81"/>
            <rFont val="Tahoma"/>
            <family val="2"/>
          </rPr>
          <t>Niels Jungbluth:</t>
        </r>
        <r>
          <rPr>
            <sz val="8"/>
            <color indexed="81"/>
            <rFont val="Tahoma"/>
            <family val="2"/>
          </rPr>
          <t xml:space="preserve">
Company Ajlobo</t>
        </r>
      </text>
    </comment>
  </commentList>
</comments>
</file>

<file path=xl/comments7.xml><?xml version="1.0" encoding="utf-8"?>
<comments xmlns="http://schemas.openxmlformats.org/spreadsheetml/2006/main">
  <authors>
    <author>Matthias S</author>
    <author>Niels Jungbluth</author>
  </authors>
  <commentList>
    <comment ref="Y53" authorId="0">
      <text>
        <r>
          <rPr>
            <b/>
            <sz val="8"/>
            <color indexed="81"/>
            <rFont val="Tahoma"/>
            <family val="2"/>
          </rPr>
          <t>Matthias S:</t>
        </r>
        <r>
          <rPr>
            <sz val="8"/>
            <color indexed="81"/>
            <rFont val="Tahoma"/>
            <family val="2"/>
          </rPr>
          <t xml:space="preserve">
Gewicht: original 11.4 kg /0.72 m2
2008: 12 kg / m2 (www.firstsolar.com)</t>
        </r>
      </text>
    </comment>
    <comment ref="AA59" authorId="1">
      <text>
        <r>
          <rPr>
            <b/>
            <sz val="8"/>
            <color indexed="81"/>
            <rFont val="Tahoma"/>
            <family val="2"/>
          </rPr>
          <t>Niels Jungbluth:</t>
        </r>
        <r>
          <rPr>
            <sz val="8"/>
            <color indexed="81"/>
            <rFont val="Tahoma"/>
            <family val="2"/>
          </rPr>
          <t xml:space="preserve">
Cd losses with waste
</t>
        </r>
      </text>
    </comment>
  </commentList>
</comments>
</file>

<file path=xl/comments8.xml><?xml version="1.0" encoding="utf-8"?>
<comments xmlns="http://schemas.openxmlformats.org/spreadsheetml/2006/main">
  <authors>
    <author>Niels Jungbluth</author>
  </authors>
  <commentList>
    <comment ref="C19" authorId="0">
      <text>
        <r>
          <rPr>
            <b/>
            <sz val="8"/>
            <color indexed="81"/>
            <rFont val="Tahoma"/>
            <family val="2"/>
          </rPr>
          <t>Niels Jungbluth:</t>
        </r>
        <r>
          <rPr>
            <sz val="8"/>
            <color indexed="81"/>
            <rFont val="Tahoma"/>
            <family val="2"/>
          </rPr>
          <t xml:space="preserve">
Leer bei Unit Process</t>
        </r>
      </text>
    </comment>
  </commentList>
</comments>
</file>

<file path=xl/comments9.xml><?xml version="1.0" encoding="utf-8"?>
<comments xmlns="http://schemas.openxmlformats.org/spreadsheetml/2006/main">
  <authors>
    <author>René Itten</author>
  </authors>
  <commentList>
    <comment ref="F20" authorId="0">
      <text>
        <r>
          <rPr>
            <b/>
            <sz val="9"/>
            <color indexed="81"/>
            <rFont val="Tahoma"/>
            <family val="2"/>
          </rPr>
          <t>René Itten:</t>
        </r>
        <r>
          <rPr>
            <sz val="9"/>
            <color indexed="81"/>
            <rFont val="Tahoma"/>
            <family val="2"/>
          </rPr>
          <t xml:space="preserve">
Fluoride anstatt Chloride</t>
        </r>
      </text>
    </comment>
  </commentList>
</comments>
</file>

<file path=xl/sharedStrings.xml><?xml version="1.0" encoding="utf-8"?>
<sst xmlns="http://schemas.openxmlformats.org/spreadsheetml/2006/main" count="27338" uniqueCount="2079">
  <si>
    <t>Fthenakis 2005, Excel File</t>
  </si>
  <si>
    <t>CdTe cell, First Solar</t>
  </si>
  <si>
    <t>Average distance 600km</t>
  </si>
  <si>
    <t>Acetic acid</t>
  </si>
  <si>
    <t>Ammonium, ion</t>
  </si>
  <si>
    <t>Chloride</t>
  </si>
  <si>
    <t>Fluoride</t>
  </si>
  <si>
    <t>Hydrocarbons, unspecified</t>
  </si>
  <si>
    <t>Hydroxide</t>
  </si>
  <si>
    <t>Nitrate</t>
  </si>
  <si>
    <t>wafers</t>
  </si>
  <si>
    <t>chemicals</t>
  </si>
  <si>
    <t>gases</t>
  </si>
  <si>
    <t>packaging</t>
  </si>
  <si>
    <t>Roberto Dones</t>
  </si>
  <si>
    <t>OVGA, 5232 Villigen PSI</t>
  </si>
  <si>
    <t>0041 56 310 2007</t>
  </si>
  <si>
    <t>0041 56 310 2199</t>
  </si>
  <si>
    <t>psi@ecoinvent.ch</t>
  </si>
  <si>
    <t>PSI</t>
  </si>
  <si>
    <t>Time of publications.</t>
  </si>
  <si>
    <t>A few million tonnes per year.</t>
  </si>
  <si>
    <t>Literature and own estimations.</t>
  </si>
  <si>
    <t>Estimation 20l/m2 panel</t>
  </si>
  <si>
    <t>amount of flat glass tempered (ca 50%)</t>
  </si>
  <si>
    <t>Date of data investigation.</t>
  </si>
  <si>
    <t>Production of hydrogen fluoride from fluorspar and sulphuric acid.</t>
  </si>
  <si>
    <t>Basic inventory based on own assumptions.</t>
  </si>
  <si>
    <t>Hydrogen fluoride is produced in different countries.</t>
  </si>
  <si>
    <t>Endothermic reaction of CaF2 and H2SO4.</t>
  </si>
  <si>
    <t>About 53'000 metric tonnes in the US.</t>
  </si>
  <si>
    <t>Own estimations.</t>
  </si>
  <si>
    <t>Time of publication.</t>
  </si>
  <si>
    <t xml:space="preserve">Publication of plant specific (partly aggregated) data. </t>
  </si>
  <si>
    <t>Not known.</t>
  </si>
  <si>
    <t>Cleaning, damage etching, texture etching, covering of backside, phosphor dotation, phosphor glass etching, printing of contacts, cleaning and quality testing.</t>
  </si>
  <si>
    <t>Materials and land use for a new production plant.</t>
  </si>
  <si>
    <t>Date of publication.</t>
  </si>
  <si>
    <t>Gelsenkirchen, DE.</t>
  </si>
  <si>
    <t>Information on webpage.</t>
  </si>
  <si>
    <t>Production in CH.</t>
  </si>
  <si>
    <t>material</t>
  </si>
  <si>
    <t>auxiliary material</t>
  </si>
  <si>
    <t>Installation in CH</t>
  </si>
  <si>
    <t>Use in CH.</t>
  </si>
  <si>
    <t>Photovoltaic installation with a capacity of 3kWp and a life time of 30 years installed in CH.</t>
  </si>
  <si>
    <t>Statistical data for CH.</t>
  </si>
  <si>
    <t>Basic inventory based on old literature information.</t>
  </si>
  <si>
    <t>Open cast mining of resource. Separation by crushing, grinding and flotation.</t>
  </si>
  <si>
    <t>Mineral extraction of calcium fluoride (fluorspar).</t>
  </si>
  <si>
    <t>Use of multi wire saws.</t>
  </si>
  <si>
    <t>GLO</t>
  </si>
  <si>
    <t>facade construction, mounted, at building</t>
  </si>
  <si>
    <t>facade construction, integrated, at building</t>
  </si>
  <si>
    <t>corrugated board, mixed fibre, single wall, at plant</t>
  </si>
  <si>
    <t>polyethylene, HDPE, granulate, at plant</t>
  </si>
  <si>
    <t>polystyrene, high impact, HIPS, at plant</t>
  </si>
  <si>
    <t>sheet rolling, steel</t>
  </si>
  <si>
    <t>wire drawing, steel</t>
  </si>
  <si>
    <t>transport, lorry &gt;16t, fleet average</t>
  </si>
  <si>
    <t>(4,5,na,na,na,na); Standard distance 50km</t>
  </si>
  <si>
    <t>(4,5,na,na,na,na)</t>
  </si>
  <si>
    <t>transport, freight, rail</t>
  </si>
  <si>
    <t>transport, van &lt;3.5t</t>
  </si>
  <si>
    <t>3kWp slanted-roof installation, CIS, panel, mounted, on roof</t>
  </si>
  <si>
    <t>3kWp slanted-roof installation, ribbon-Si, panel, mounted, on roof</t>
  </si>
  <si>
    <t>3kWp slanted-roof installation, CdTe, laminated, integrated, on roof</t>
  </si>
  <si>
    <t>3kWp slanted-roof installation, ribbon-Si, laminated, integrated, on roof</t>
  </si>
  <si>
    <t>3kWp slanted-roof installation, a-Si, laminated, integrated, on roof</t>
  </si>
  <si>
    <t>3kWp slanted-roof installation, a-Si, panel, mounted, on roof</t>
  </si>
  <si>
    <t>electricity, low voltage, at grid</t>
  </si>
  <si>
    <t>(3,4,3,1,1,5); Energy use for erection of 3kWp plant</t>
  </si>
  <si>
    <t>inverter, 2500W, at plant</t>
  </si>
  <si>
    <t>(2,4,1,1,1,na); Literature, 1 repair in the life time</t>
  </si>
  <si>
    <t>electric installation, photovoltaic plant, at plant</t>
  </si>
  <si>
    <t>(3,4,3,1,1,5); Literature</t>
  </si>
  <si>
    <t>(3,1,1,1,1,na); calculation with m2 panel</t>
  </si>
  <si>
    <t>(3,1,1,1,1,na); New estimation with mean value of frame weights, correction for panel area</t>
  </si>
  <si>
    <t>(3,4,3,1,1,5); Calculation, 2% of modules repaired in the life time, 1% rejects</t>
  </si>
  <si>
    <t>photovoltaic laminate, CdTe, mix, at regional storage</t>
  </si>
  <si>
    <t>operation, lorry 20-28t, empty, fleet average</t>
  </si>
  <si>
    <t>vkm</t>
  </si>
  <si>
    <t>(3,4,3,1,1,5); crane 80km to construction place</t>
  </si>
  <si>
    <t>(3,4,3,1,1,5); electric parts and panel 100km to construction place</t>
  </si>
  <si>
    <t>(3,4,3,1,1,5); 500km for import of panels and laminates to Switzerland</t>
  </si>
  <si>
    <t>transport, transoceanic freight ship</t>
  </si>
  <si>
    <t>OCE</t>
  </si>
  <si>
    <t>(3,4,3,1,1,5); 2000km for import (20%) of panels and laminates to Switzerland</t>
  </si>
  <si>
    <t>(3,4,3,1,1,5); calculated with electricity use</t>
  </si>
  <si>
    <t>(1,1,1,1,1,1)</t>
  </si>
  <si>
    <t>electricity, PV, at 3kWp facade, single-Si, laminated, integrated</t>
  </si>
  <si>
    <t>electricity, PV, at 3kWp facade installation, single-Si, panel, mounted</t>
  </si>
  <si>
    <t>electricity, PV, at 3kWp facade, multi-Si, laminated, integrated</t>
  </si>
  <si>
    <t>electricity, PV, at 3kWp facade installation, multi-Si, panel, mounted</t>
  </si>
  <si>
    <t>electricity, PV, at 3kWp flat roof installation, single-Si</t>
  </si>
  <si>
    <t>electricity, PV, at 3kWp flat roof installation, multi-Si</t>
  </si>
  <si>
    <t>electricity, PV, at 3kWp slanted-roof, single-Si, laminated, integrated</t>
  </si>
  <si>
    <t>electricity, PV, at 3kWp slanted-roof, single-Si, panel, mounted</t>
  </si>
  <si>
    <t>electricity, PV, at 3kWp slanted-roof, multi-Si, laminated, integrated</t>
  </si>
  <si>
    <t>electricity, PV, at 3kWp slanted-roof, multi-Si, panel, mounted</t>
  </si>
  <si>
    <t>electricity, PV, at 3kWp slanted-roof, ribbon-Si, panel, mounted</t>
  </si>
  <si>
    <t>electricity, PV, at 3kWp slanted-roof, ribbon-Si, lam., integrated</t>
  </si>
  <si>
    <t>electricity, PV, at 3kWp slanted-roof, CdTe, laminated, integrated</t>
  </si>
  <si>
    <t>electricity, PV, at 3kWp slanted-roof, CIS, panel, mounted</t>
  </si>
  <si>
    <t>electricity, PV, at 3kWp slanted-roof, a-Si, lam., integrated</t>
  </si>
  <si>
    <t>electricity, PV, at 3kWp slanted-roof, a-Si, panel, mounted</t>
  </si>
  <si>
    <t>electricity, production mix photovoltaic, at plant</t>
  </si>
  <si>
    <t>Energy, solar, converted</t>
  </si>
  <si>
    <t>in air</t>
  </si>
  <si>
    <t>(2,2,1,1,1,3); Energy loss in the system is included</t>
  </si>
  <si>
    <t>(2,2,1,1,1,3)</t>
  </si>
  <si>
    <t>tap water, at user</t>
  </si>
  <si>
    <t>(2,2,1,1,1,3); Estimation 20l/m2 panel</t>
  </si>
  <si>
    <t>treatment, sewage, from residence, to wastewater treatment, class 2</t>
  </si>
  <si>
    <t>560 kWp open ground installation, single-Si, on open ground</t>
  </si>
  <si>
    <t>(3,2,1,1,1,3); average yield, estimation for share of technologies. Basic uncertainty = 1.2</t>
  </si>
  <si>
    <t>(3,2,1,1,1,3)</t>
  </si>
  <si>
    <t>93 kWp slanted-roof installation, single-Si, laminated,  integrated, on roof</t>
  </si>
  <si>
    <t>156 kWp flat-roof installation, multi-Si, on roof</t>
  </si>
  <si>
    <t>280 kWp flat-roof installation, single-Si, on roof</t>
  </si>
  <si>
    <t>1.3 MWp slanted-roof installation, multi-Si, panel, mounted, on roof</t>
  </si>
  <si>
    <t>3kWp facade installation, single-Si, laminated, integrated, at building</t>
  </si>
  <si>
    <t>3kWp facade installation, single-Si, panel, mounted, at building</t>
  </si>
  <si>
    <t>3kWp facade installation, multi-Si, laminated, integrated, at building</t>
  </si>
  <si>
    <t>3kWp facade installation, multi-Si, panel, mounted, at building</t>
  </si>
  <si>
    <t>3kWp flat roof installation, single-Si, on roof</t>
  </si>
  <si>
    <t>3kWp flat roof installation, multi-Si, on roof</t>
  </si>
  <si>
    <t>3kWp slanted-roof installation, single-Si, laminated, integrated, on roof</t>
  </si>
  <si>
    <t>3kWp slanted-roof installation, single-Si, panel, mounted, on roof</t>
  </si>
  <si>
    <t>3kWp slanted-roof installation, multi-Si, laminated, integrated, on roof</t>
  </si>
  <si>
    <t>3kWp slanted-roof installation, multi-Si, panel, mounted, on roof</t>
  </si>
  <si>
    <t>(1,na,na,na,na,na); Calculation</t>
  </si>
  <si>
    <t>(1,na,na,na,na,na)</t>
  </si>
  <si>
    <t xml:space="preserve">Production of the cell matrix, cutting of foils and washing of glass, production of laminate, isolation. Disposal after end of life. Data for direct air and water emissions were not available. It can be expected that small amount of NMVOC will be emitted from the lamination process. </t>
  </si>
  <si>
    <t xml:space="preserve">Production of the cell matrix, cutting of foils and washing of glass, production of laminate, isolation. Aluminium frame of the panel. Disposal after end of life. Data for direct air and water emissions were not available. It can be expected that small amount of NMVOC will be emitted from the lamination process. </t>
  </si>
  <si>
    <t>Cadmium to waste</t>
  </si>
  <si>
    <t>including chemicals, packaging, losses, etc.</t>
  </si>
  <si>
    <t>total weight of used materials</t>
  </si>
  <si>
    <t>including losses</t>
  </si>
  <si>
    <t>Fthenakis, including metal compounds for coating and contacts</t>
  </si>
  <si>
    <t>Estimation for contacts with US data</t>
  </si>
  <si>
    <t>Antec, homepage</t>
  </si>
  <si>
    <t>Literature data  on worldwide CdTe module production.</t>
  </si>
  <si>
    <t>Market share calculation based on literature data .</t>
  </si>
  <si>
    <t>Date of data investigation. Actual weight of materials updated in 2008.</t>
  </si>
  <si>
    <t>total weight</t>
  </si>
  <si>
    <t>GSS Ostthüringen</t>
  </si>
  <si>
    <t>Mittelwert</t>
  </si>
  <si>
    <t>174-015</t>
  </si>
  <si>
    <t>open ground construction, on ground</t>
  </si>
  <si>
    <t>materials</t>
  </si>
  <si>
    <t>auxiliary</t>
  </si>
  <si>
    <t>transport</t>
  </si>
  <si>
    <t>disposal</t>
  </si>
  <si>
    <t>infrastructure</t>
  </si>
  <si>
    <t>pc-Si cell</t>
  </si>
  <si>
    <t>Gewicht</t>
  </si>
  <si>
    <t>Production plants in NO.</t>
  </si>
  <si>
    <t xml:space="preserve">Publication of plant specific data in a European survey.  </t>
  </si>
  <si>
    <t>Literature data.</t>
  </si>
  <si>
    <t>Some data are derived from other or unknown plants.</t>
  </si>
  <si>
    <t>Gate to gate inventory for the casting of EG-Si and off-grade Si.</t>
  </si>
  <si>
    <t>Production of a polycrystalline block with a weight of about 250kg.</t>
  </si>
  <si>
    <t>Estimation for RER.</t>
  </si>
  <si>
    <t>DE data used for Europe.</t>
  </si>
  <si>
    <t>New plant on old industrial site.</t>
  </si>
  <si>
    <t>Production plant in an industrial area.</t>
  </si>
  <si>
    <t>Production technology of thin film CIS cells with thermal vaporization in vacuum.</t>
  </si>
  <si>
    <t>Annual output of grid-connected PV power plants differentiated for roof-top, facade and large power plants. Literature data for optimum installation and not real performance in the country have been corrected with a factor of 92% according to experiences in Switzerland for average production. Large American PV plants are considered with measured plant-specific yields. Mix of PV-plants based on world wide average, national statistics and own assumptions. A lifetime of 30 years is taken into account for the PV installation.</t>
  </si>
  <si>
    <t>Use of PV technology data investigated for other countries (Switzerland). Correction of average yield with Swiss data.</t>
  </si>
  <si>
    <t xml:space="preserve">Electricity and heat use, materials, transport of materials, disposal of  wastes and the product. Data for direct air and water emissions were not available. It can be expected that small amount of NMVOC will be emitted from the lamination process. </t>
  </si>
  <si>
    <t>estimated share for European market</t>
  </si>
  <si>
    <t>All electric installations for a photovoltaic system with a capacity of 3kWp. Including cables, counter, etc.</t>
  </si>
  <si>
    <t>Alsema</t>
  </si>
  <si>
    <t>Frankl</t>
  </si>
  <si>
    <t>Solar-Fabrik</t>
  </si>
  <si>
    <t>literature and own assumptions, basic uncertainty = 2</t>
  </si>
  <si>
    <t>The inventory is modelled for the largest European production plant. For the second plant in IT data were not available.</t>
  </si>
  <si>
    <t>kWp/m2</t>
  </si>
  <si>
    <t>information</t>
  </si>
  <si>
    <t>total weight, materials</t>
  </si>
  <si>
    <t>total weight, structure</t>
  </si>
  <si>
    <t>minimum weight, construction</t>
  </si>
  <si>
    <t>maximum, construction</t>
  </si>
  <si>
    <t>Assumption for electricity production of photovoltaic plants with good performance. Average performance is lower while optimum performance would be higher.  Dataset can be used for comparison of energy technologies in Switzerland, but not for assessment of average production patterns. Yield data must be corrected for the installations used in other countries.</t>
  </si>
  <si>
    <r>
      <t>Electricity production with grid-connected photovoltaic power plants integrated in buildings facade. 620 kWh/kW</t>
    </r>
    <r>
      <rPr>
        <vertAlign val="subscript"/>
        <sz val="9"/>
        <rFont val="Helvetica"/>
        <family val="2"/>
      </rPr>
      <t xml:space="preserve">p </t>
    </r>
    <r>
      <rPr>
        <sz val="9"/>
        <rFont val="Helvetica"/>
        <family val="2"/>
      </rPr>
      <t>annual electricity output, 1117 kWh/m</t>
    </r>
    <r>
      <rPr>
        <vertAlign val="superscript"/>
        <sz val="9"/>
        <rFont val="Helvetica"/>
        <family val="2"/>
      </rPr>
      <t>2</t>
    </r>
    <r>
      <rPr>
        <sz val="9"/>
        <rFont val="Helvetica"/>
        <family val="2"/>
      </rPr>
      <t xml:space="preserve"> irradiation, 0.75 performance ratio, 10.9% module efficiency.</t>
    </r>
  </si>
  <si>
    <t>Electricity production with grid-connected photovoltaic power plants mounted on buildings facade. 620 kWh/kWp annual electricity output, 1117 kWh/m2 irradiation, 0.75 performance ratio, 14.0% module efficiency.</t>
  </si>
  <si>
    <t>Electricity production with grid-connected photovoltaic power plants integrated in buildings facade. 620 kWh/kWp annual electricity output, 1117 kWh/m2 irradiation, 0.75 performance ratio, 13.2% module efficiency.</t>
  </si>
  <si>
    <t>Electricity production with grid-connected photovoltaic power plants mounted on buildings facade. 620 kWh/kWp annual electricity output, 1117 kWh/m2 irradiation, 0.75 performance ratio, 13.2% module efficiency.</t>
  </si>
  <si>
    <t>Electricity production with grid-connected photovoltaic power plants mounted on buildings flat roof. 922 kWh/kWp annual electricity output, 1117 kWh/m2 irradiation, 0.75 performance ratio, 14.0% module efficiency.</t>
  </si>
  <si>
    <t>Electricity production with grid-connected photovoltaic power plants mounted on buildings flat roof. 922 kWh/kWp annual electricity output, 1117 kWh/m2 irradiation, 0.75 performance ratio, 13.2% module efficiency.</t>
  </si>
  <si>
    <t>Electricity production with grid-connected photovoltaic power plants integrated in buildings slanted roof. 922 kWh/kWp annual electricity output, 1117 kWh/m2 irradiation, 0.75 performance ratio, 14.0% module efficiency.</t>
  </si>
  <si>
    <t>Electricity production with grid-connected photovoltaic power plants mounted on buildings slanted roof. 922 kWh/kWp annual electricity output, 1117 kWh/m2 irradiation, 0.75 performance ratio, 14.0% module efficiency.</t>
  </si>
  <si>
    <t>4.8.2005 (RS) - Added referencing for categories and subcategories also for Processes (Excel2Ecospold-Tool (V1.8) supports this extension already - Ecospold2Excel, however does not)</t>
  </si>
  <si>
    <t>12.9.2005 (RS) - Added validation fields (ProofReadingDetails) in X-Process, which are supported since EcoSpold 1.9</t>
  </si>
  <si>
    <t>12.9.2005 (RS) - Improved the intro documentation somewhat</t>
  </si>
  <si>
    <t>12.2.2006 (nj) - Changed colours for better results in print outs</t>
  </si>
  <si>
    <t>Manual</t>
  </si>
  <si>
    <t>Start</t>
  </si>
  <si>
    <t>1) At the menu "Edit -&gt; Links" (dt.: "Bearbeiten -&gt; Verknüpfungen") you have to link the correct nameslist to this file. Please open always the names list while working with this file, otherwise you will experience a very slow performance (see also 2)</t>
  </si>
  <si>
    <t xml:space="preserve">2) Set the calculation to manual at the menu "Extra -&gt; Options -&gt; Calculations" (dt.: "Extras -&gt; Optionen -&gt; Berechnung". Use F9 to recalculate cells. On older computers recalculation can last a couple of seconds (or minutes if the names-list is not open </t>
  </si>
  <si>
    <t>About the Sheets</t>
  </si>
  <si>
    <t>Data for coating materials derived from own assumptions.</t>
  </si>
  <si>
    <t>cell, sc-Si</t>
  </si>
  <si>
    <t>photovoltaic cell, sc-Si, at plant</t>
  </si>
  <si>
    <t>Modern technology, waste heat is partly recovered and used for electricity generation and/or district heating.</t>
  </si>
  <si>
    <t>Worldwide module production in 2005, 1500MWp (60%mc-Si, 40% sc-Si).</t>
  </si>
  <si>
    <t>Life time in this study</t>
  </si>
  <si>
    <t>this study</t>
  </si>
  <si>
    <t>Production of HSiCl3 with HCl, cleaning, vacuum distillation and production of the three products.</t>
  </si>
  <si>
    <t>IT</t>
  </si>
  <si>
    <t>water</t>
  </si>
  <si>
    <t>river</t>
  </si>
  <si>
    <t>COD, Chemical Oxygen Demand</t>
  </si>
  <si>
    <t>TOC, Total Organic Carbon</t>
  </si>
  <si>
    <t>number, examples</t>
  </si>
  <si>
    <t>standard deviation</t>
  </si>
  <si>
    <t>correction factor</t>
  </si>
  <si>
    <t>Länge 724</t>
  </si>
  <si>
    <t xml:space="preserve">Publication of plant specific (partly aggregated) data and literature information. </t>
  </si>
  <si>
    <t>Solon AG</t>
  </si>
  <si>
    <t>Bühler</t>
  </si>
  <si>
    <t>Brühler</t>
  </si>
  <si>
    <t>Briem</t>
  </si>
  <si>
    <t>Literature and own estimations, recycled PE</t>
  </si>
  <si>
    <t>Aluminium and steel input from one large power plant installed in 2007 in Switzerland.</t>
  </si>
  <si>
    <t>In 2008 there were 3'875 PV-plants with an annual production of 33'400 MWh</t>
  </si>
  <si>
    <t>DS wird nicht verwendet und kann allenfalls gelöscht werden</t>
  </si>
  <si>
    <t>Names list of the ecoinvent project</t>
  </si>
  <si>
    <r>
      <t>Authors:</t>
    </r>
    <r>
      <rPr>
        <sz val="10"/>
        <rFont val="Trebuchet MS"/>
        <family val="2"/>
      </rPr>
      <t xml:space="preserve"> Roland Steiner, Niels Jungbluth</t>
    </r>
  </si>
  <si>
    <r>
      <t xml:space="preserve">1) Only enter or make changes to the </t>
    </r>
    <r>
      <rPr>
        <b/>
        <sz val="10"/>
        <color indexed="63"/>
        <rFont val="Trebuchet MS"/>
        <family val="2"/>
      </rPr>
      <t>green cells</t>
    </r>
    <r>
      <rPr>
        <sz val="10"/>
        <color indexed="63"/>
        <rFont val="Trebuchet MS"/>
        <family val="2"/>
      </rPr>
      <t>, except you know the standard deviation of your data. Then you can skip the Pedigree Matrix, but you need to make changes in columns M, N and O instead.</t>
    </r>
  </si>
  <si>
    <r>
      <t>2)</t>
    </r>
    <r>
      <rPr>
        <b/>
        <sz val="10"/>
        <color indexed="63"/>
        <rFont val="Trebuchet MS"/>
        <family val="2"/>
      </rPr>
      <t xml:space="preserve"> If you need more rows:</t>
    </r>
    <r>
      <rPr>
        <sz val="10"/>
        <color indexed="63"/>
        <rFont val="Trebuchet MS"/>
        <family val="2"/>
      </rPr>
      <t xml:space="preserve"> insert one (or several) new line at the place you want to add additional processes. Then COPY/PASTE an existing line (the whole line) and change the values in the green cells accordingly</t>
    </r>
  </si>
  <si>
    <r>
      <t xml:space="preserve">2) Be sure to </t>
    </r>
    <r>
      <rPr>
        <b/>
        <sz val="10"/>
        <color indexed="63"/>
        <rFont val="Trebuchet MS"/>
        <family val="2"/>
      </rPr>
      <t>have the names list open</t>
    </r>
    <r>
      <rPr>
        <sz val="10"/>
        <color indexed="63"/>
        <rFont val="Trebuchet MS"/>
        <family val="2"/>
      </rPr>
      <t xml:space="preserve"> to have the cells updated automatically or after </t>
    </r>
    <r>
      <rPr>
        <b/>
        <sz val="10"/>
        <color indexed="63"/>
        <rFont val="Trebuchet MS"/>
        <family val="2"/>
      </rPr>
      <t>pressing F9</t>
    </r>
    <r>
      <rPr>
        <sz val="10"/>
        <color indexed="63"/>
        <rFont val="Trebuchet MS"/>
        <family val="2"/>
      </rPr>
      <t>, when the calculating option is set to manual ("Extras"-&gt;"Options"-&gt;"Calculation")</t>
    </r>
  </si>
  <si>
    <t>OtherPeriodText</t>
  </si>
  <si>
    <t>Text</t>
  </si>
  <si>
    <t>Representativeness</t>
  </si>
  <si>
    <t>Percent</t>
  </si>
  <si>
    <t>ProductionVolume</t>
  </si>
  <si>
    <t>SamplingProcedure</t>
  </si>
  <si>
    <t>Extrapolations</t>
  </si>
  <si>
    <t>UncertaintyAdjustments</t>
  </si>
  <si>
    <t>none</t>
  </si>
  <si>
    <t>DataPublishedIn</t>
  </si>
  <si>
    <t>ReferenceToPublishedSource</t>
  </si>
  <si>
    <t>Copyright</t>
  </si>
  <si>
    <t>AccessRestrictedTo</t>
  </si>
  <si>
    <t>CompanyCode</t>
  </si>
  <si>
    <t>CountryCode</t>
  </si>
  <si>
    <t>PageNumbers</t>
  </si>
  <si>
    <t>Rel</t>
  </si>
  <si>
    <t>Comp</t>
  </si>
  <si>
    <t>Temp</t>
  </si>
  <si>
    <t>Geo</t>
  </si>
  <si>
    <t>Tech</t>
  </si>
  <si>
    <t>Samp</t>
  </si>
  <si>
    <t>Code</t>
  </si>
  <si>
    <t>basic SDG^2</t>
  </si>
  <si>
    <t>Pedigree</t>
  </si>
  <si>
    <t>Fthenakis, literature</t>
  </si>
  <si>
    <t>Fthenakis, literature, sum up of several chemicals</t>
  </si>
  <si>
    <t>amount of flat glass tempered</t>
  </si>
  <si>
    <t>Fthenakis, literature, sum up of several materials</t>
  </si>
  <si>
    <t>Not used</t>
  </si>
  <si>
    <t>uncertainty code pedigree</t>
  </si>
  <si>
    <t>Remarks</t>
  </si>
  <si>
    <t>UncertaintyType</t>
  </si>
  <si>
    <t>StandardDeviation95%</t>
  </si>
  <si>
    <t>SDG^2</t>
  </si>
  <si>
    <t>DE</t>
  </si>
  <si>
    <t>nA: not applicable: CV=1</t>
  </si>
  <si>
    <t>Environmental report</t>
  </si>
  <si>
    <t>na</t>
  </si>
  <si>
    <t>emission air, high population density</t>
  </si>
  <si>
    <t>resource</t>
  </si>
  <si>
    <t>Field name</t>
  </si>
  <si>
    <t>Sources</t>
  </si>
  <si>
    <t>Number</t>
  </si>
  <si>
    <t>SourceType</t>
  </si>
  <si>
    <t>FirstAuthor</t>
  </si>
  <si>
    <t>AdditionalAuthors</t>
  </si>
  <si>
    <t>Year</t>
  </si>
  <si>
    <t>Title</t>
  </si>
  <si>
    <t>NameOfEditors</t>
  </si>
  <si>
    <t>TitleOfAnthology</t>
  </si>
  <si>
    <t>PlaceOfPublication</t>
  </si>
  <si>
    <t>Publisher</t>
  </si>
  <si>
    <t>Journal</t>
  </si>
  <si>
    <t>VolumeNo</t>
  </si>
  <si>
    <t>IssueNo</t>
  </si>
  <si>
    <t>Persons</t>
  </si>
  <si>
    <t>kg/kWp</t>
  </si>
  <si>
    <t>Niels Jungbluth</t>
  </si>
  <si>
    <t>Address</t>
  </si>
  <si>
    <t>Kanzleistrasse 4, 8610 Uster</t>
  </si>
  <si>
    <t>Telephone</t>
  </si>
  <si>
    <t>Telefax</t>
  </si>
  <si>
    <t>Email</t>
  </si>
  <si>
    <t>jungbluth@esu-services.ch</t>
  </si>
  <si>
    <t xml:space="preserve">CompanyCode </t>
  </si>
  <si>
    <t>ESU</t>
  </si>
  <si>
    <t>photovoltaic cell factory</t>
  </si>
  <si>
    <t>Production plant of DuPont in the United States.</t>
  </si>
  <si>
    <t>Fluoropolymer chemistry.</t>
  </si>
  <si>
    <t>Not known</t>
  </si>
  <si>
    <t>Publication of cumulative data.</t>
  </si>
  <si>
    <t>laminate materials</t>
  </si>
  <si>
    <t>Waste disposal from factory approximated with data for crystalline modules. The quantity of several small material uses (about 700 items) has been summarized for some main materials.</t>
  </si>
  <si>
    <t>Calculation, water use</t>
  </si>
  <si>
    <t>Calculation, electricity use</t>
  </si>
  <si>
    <t>Date of data investigation. Some older data from 2001.</t>
  </si>
  <si>
    <t>Production plants in Western Europe.</t>
  </si>
  <si>
    <t>Environmental reports, direct contacts with factory representatives and publication of plant data.</t>
  </si>
  <si>
    <t xml:space="preserve">Assumption for laminate production with data for panels. Materials for frames neglected. </t>
  </si>
  <si>
    <t>Rough assumption for the use of heat in the process.</t>
  </si>
  <si>
    <t>Different producers world wide</t>
  </si>
  <si>
    <t>Date of literature publications</t>
  </si>
  <si>
    <t>Siemer 2007</t>
  </si>
  <si>
    <t>kg/m2</t>
  </si>
  <si>
    <t>mean, construction, 2003</t>
  </si>
  <si>
    <t>mean, construction, 2007</t>
  </si>
  <si>
    <t>1500 MWP in 2005</t>
  </si>
  <si>
    <t>Environmental report and literature.</t>
  </si>
  <si>
    <t>operation</t>
  </si>
  <si>
    <t>panel area</t>
  </si>
  <si>
    <t>Heat, waste</t>
  </si>
  <si>
    <t>air</t>
  </si>
  <si>
    <t>estimated shares</t>
  </si>
  <si>
    <t>own calculation</t>
  </si>
  <si>
    <t>MG-silicon, to purification</t>
  </si>
  <si>
    <t>products</t>
  </si>
  <si>
    <t>de Wild 2007, 210 Wp</t>
  </si>
  <si>
    <t>AOX, Adsorbable Organic Halogen as Cl</t>
  </si>
  <si>
    <t>Copper, ion</t>
  </si>
  <si>
    <t>Nitrogen</t>
  </si>
  <si>
    <t>Phosphate</t>
  </si>
  <si>
    <t>Sodium, ion</t>
  </si>
  <si>
    <t>Comment</t>
  </si>
  <si>
    <t>Time of data collection. Data refer to 2005.</t>
  </si>
  <si>
    <t>Calculated with use</t>
  </si>
  <si>
    <t>Disposal of plastics parts at end of life</t>
  </si>
  <si>
    <t>Rough assumption for electricity use.</t>
  </si>
  <si>
    <t>All components for the installation of a 3kWp photovoltaic plant, energy use for the mounting, transport of materials and persons to the construction place. Disposal of components after end of life.</t>
  </si>
  <si>
    <t>Current technology for mounting of panels or laminates, electric installations and other components.</t>
  </si>
  <si>
    <t>Total installed capacity in 2000: 12.7MWp in CH. GLO installed PV-power 711MWp</t>
  </si>
  <si>
    <t>Publication for efficiency, mounting systems and own estimations for other components.</t>
  </si>
  <si>
    <t>Infrastructure for 3kWp PV-plant. Water use for cleaning. Amount of solar energy transformed to electricity. Waste heat emission due to losses of electricity in the system.</t>
  </si>
  <si>
    <t>Pre-products, energy use, infrastructure, some air emissions and transports. No full information on all air and water emissions available.</t>
  </si>
  <si>
    <t>Own assumptions for desaggregation of published cumulative data on energy use.</t>
  </si>
  <si>
    <t>Desaggregation of published cumulative results for global warming potential and cumulative energy demand.</t>
  </si>
  <si>
    <t>Zinc, ion</t>
  </si>
  <si>
    <t>Iron, ion</t>
  </si>
  <si>
    <t>price</t>
  </si>
  <si>
    <t>revenue</t>
  </si>
  <si>
    <t>0041 44 940 61 32</t>
  </si>
  <si>
    <t>0041 44 940 61 94</t>
  </si>
  <si>
    <t>16000 tonnes in 2005.</t>
  </si>
  <si>
    <t>Time of investigation</t>
  </si>
  <si>
    <t>Average of data from one company and estimated data from another company based on literature data</t>
  </si>
  <si>
    <t>Average from 3 specific processes of which one in pilot phase.</t>
  </si>
  <si>
    <t>Europe, Western + North America</t>
  </si>
  <si>
    <t>Si solar cell</t>
  </si>
  <si>
    <t>basic silicon</t>
  </si>
  <si>
    <t>crystalline silicon</t>
  </si>
  <si>
    <t>panel production</t>
  </si>
  <si>
    <t>thin-film</t>
  </si>
  <si>
    <t>BOS</t>
  </si>
  <si>
    <t>3 kWp plants</t>
  </si>
  <si>
    <t xml:space="preserve">Data collection by factory representatives. Environmental report and LCA studies. </t>
  </si>
  <si>
    <t>2.6E6 m2 in 2005</t>
  </si>
  <si>
    <t>7.5E5 m2 in 2005</t>
  </si>
  <si>
    <t>174-047</t>
  </si>
  <si>
    <t>Electricity use, materials, transport of materials, treatment of production wastes. Disposal after end of life. Process emissions not known (except Cd).</t>
  </si>
  <si>
    <t>Brunschweiler 1993</t>
  </si>
  <si>
    <t>Schwarz et al. 1992</t>
  </si>
  <si>
    <t>wastes</t>
  </si>
  <si>
    <t>3.6E4 m2 in 2005</t>
  </si>
  <si>
    <t>Two plants in DE and literature data.</t>
  </si>
  <si>
    <t>Wafer manufacturing plant for electronic and photovoltaics industry.</t>
  </si>
  <si>
    <t>cell, pc-Si</t>
  </si>
  <si>
    <t>Springerville</t>
  </si>
  <si>
    <t>Mason et al. In de Wild-Scholten 2006</t>
  </si>
  <si>
    <t>Calculation, including disposal of the panel after life time</t>
  </si>
  <si>
    <t>Alsema (personal communication) 2007, production waste</t>
  </si>
  <si>
    <t>mean</t>
  </si>
  <si>
    <t>aluminium</t>
  </si>
  <si>
    <t>steel</t>
  </si>
  <si>
    <t>HDPE</t>
  </si>
  <si>
    <t>polyurethane</t>
  </si>
  <si>
    <t>rubber</t>
  </si>
  <si>
    <t>gavel</t>
  </si>
  <si>
    <t>Total</t>
  </si>
  <si>
    <t>Technology</t>
  </si>
  <si>
    <t>Geography</t>
  </si>
  <si>
    <t>CH</t>
  </si>
  <si>
    <t>Unit</t>
  </si>
  <si>
    <t>kg</t>
  </si>
  <si>
    <t>m2</t>
  </si>
  <si>
    <t>tkm</t>
  </si>
  <si>
    <t>Index</t>
  </si>
  <si>
    <t>emission water, river</t>
  </si>
  <si>
    <t>Estimation</t>
  </si>
  <si>
    <t>Calculation</t>
  </si>
  <si>
    <t>-</t>
  </si>
  <si>
    <t>%</t>
  </si>
  <si>
    <t>Standard distance 600km</t>
  </si>
  <si>
    <t>Standard distance 50km</t>
  </si>
  <si>
    <t>resource, in air</t>
  </si>
  <si>
    <t>DataGenerator</t>
  </si>
  <si>
    <t>AndPublication</t>
  </si>
  <si>
    <t>m3</t>
  </si>
  <si>
    <t>Emissions to water are estimated with figures investigated for MG-silicon purification to EG-silicon with a similar type of process.</t>
  </si>
  <si>
    <t>Gate to gate inventory for the production of high purity polycrystalline silicon from MG-silicon in actual processes. Only energy use, chemicals and yield are known. Emissions to water are roughly estimated.</t>
  </si>
  <si>
    <t>Production mix for the purified silicon feedstock used for sc- and mc-Si cell in photovoltaics. The global production mix is represented partly as it was not possible to include all existing production routes and all production locations in the assessment.</t>
  </si>
  <si>
    <t>Gate to gate inventory for the Czochralski process. Crushing of Si, etching with HNO3, HF and acetic acid. Melting in a silica pot and crystallisation to produce a monocrystalline material. Water emissions roughly estimated. Process emissions to air are not known.</t>
  </si>
  <si>
    <t>Gate to gate inventory for an improved Czochralski process. Crushing of Si, etching with HNO3, HF and acetic acid. Melting in a silica pot and crystallisation to produce a monocrystalline material. Water emissions roughly estimated. Process emissions to air are not known.</t>
  </si>
  <si>
    <t>Process for silicon used in photovoltaic industry. Purity &gt;98% sufficient for use in photovoltaic industry.</t>
  </si>
  <si>
    <t>Czochralski process for production of monocrystalline silicon blocks. Than edges are sliced and blocks are sawn.</t>
  </si>
  <si>
    <t>Extrapolation with cumulative data including wafer sawing for electricity use.</t>
  </si>
  <si>
    <t>Sawing and cleaning of wafers. The process data include electricity use, water and working material consumption (e.g. stainless steel for saw-blades, argon gas, hydrofluoric and hydrochloric acid). Production wastes to be treated and process-specific NOx- and waterborne pollutants are considered. No data on other process specific air emissions.</t>
  </si>
  <si>
    <t>Christian Bauer</t>
  </si>
  <si>
    <t>0041 56 310 2391</t>
  </si>
  <si>
    <t>psi@ecoinvent.org</t>
  </si>
  <si>
    <t>Production of paste used in production of photovoltaic cells.</t>
  </si>
  <si>
    <t>Chemical composition of typical pastes taken from Material Safety Data Sheets.</t>
  </si>
  <si>
    <t>Data investigated in 2006.</t>
  </si>
  <si>
    <t>not known</t>
  </si>
  <si>
    <t>Time of publications</t>
  </si>
  <si>
    <t>Crystal Clear 2006</t>
  </si>
  <si>
    <t>module production, 210 Wp</t>
  </si>
  <si>
    <t>GSS Ostthüringen, 160 Wp</t>
  </si>
  <si>
    <t>v1.0</t>
  </si>
  <si>
    <t>Chemical composition of typical pastes taken from Material Safety Data Sheets. Energy use and infrastructure estimated with data for solder production.</t>
  </si>
  <si>
    <t>174-051</t>
  </si>
  <si>
    <t>slanted-roof construction, mounted, on roof, Stade de Suisse</t>
  </si>
  <si>
    <t xml:space="preserve">Date of data investigation. </t>
  </si>
  <si>
    <t>Daten?</t>
  </si>
  <si>
    <t>Assumption that production technology is similar as for solders.</t>
  </si>
  <si>
    <t>Most data are published in 2006. Some older data published in 1992.</t>
  </si>
  <si>
    <t>Average production technology of photovoltaic cells from wafers.</t>
  </si>
  <si>
    <t>Data for the worldwide consumption.</t>
  </si>
  <si>
    <t>Market mix of different technologies.</t>
  </si>
  <si>
    <t>Literature.</t>
  </si>
  <si>
    <t>Mariska J. de Wild-Scholten</t>
  </si>
  <si>
    <t>0031 224 564736</t>
  </si>
  <si>
    <t>0031 224 568214</t>
  </si>
  <si>
    <t>m.dewild@ecn.nl</t>
  </si>
  <si>
    <t>ECN</t>
  </si>
  <si>
    <t>NL</t>
  </si>
  <si>
    <t>Energy research Centre of the Netherlands ECN, Unit Solar Energy, Westerduinweg 3, P.O. Box 1, NL-1755 ZG Petten</t>
  </si>
  <si>
    <t>e.a.alsema@chem.uu.nl</t>
  </si>
  <si>
    <t>UU</t>
  </si>
  <si>
    <t>IKP/Würth</t>
  </si>
  <si>
    <t>Fthenakis</t>
  </si>
  <si>
    <t>Anteil</t>
  </si>
  <si>
    <t>Global horizontal irradiation</t>
  </si>
  <si>
    <t>kWh/m2</t>
  </si>
  <si>
    <t>kWh/kWp</t>
  </si>
  <si>
    <t>Annual output, Roof-Top</t>
  </si>
  <si>
    <t>Annual output, Facade</t>
  </si>
  <si>
    <t>Effizienz</t>
  </si>
  <si>
    <t>15000 t in 2005</t>
  </si>
  <si>
    <t>cells</t>
  </si>
  <si>
    <t>Calculation of amount of panels used based on efficiency data for 2005. Other data are adopted.</t>
  </si>
  <si>
    <t>Raugei</t>
  </si>
  <si>
    <t>Raugei 2006</t>
  </si>
  <si>
    <t>US</t>
  </si>
  <si>
    <t>CdTe Module, First Solar</t>
  </si>
  <si>
    <t>Bohland 2000</t>
  </si>
  <si>
    <t>Antec solar, BOS module</t>
  </si>
  <si>
    <t>Tellurium</t>
  </si>
  <si>
    <t>CdTe Module, Electrochemical deposition</t>
  </si>
  <si>
    <t>CdTe Module, vapour deposition</t>
  </si>
  <si>
    <t>Fthenakis 2004</t>
  </si>
  <si>
    <t>Fthenakis 2005</t>
  </si>
  <si>
    <t>Raugei, literature</t>
  </si>
  <si>
    <t>Assumption</t>
  </si>
  <si>
    <t>coating</t>
  </si>
  <si>
    <t>Pacca 2006</t>
  </si>
  <si>
    <t>8.1 MW in 2005</t>
  </si>
  <si>
    <t>Data for disposal derived from own assumptions.</t>
  </si>
  <si>
    <t>Data refer to 2005. Some are extrapolated from older information.</t>
  </si>
  <si>
    <t>CdTe, cell, Antec Solar, vapour deposition</t>
  </si>
  <si>
    <t>0031 30 253 7618</t>
  </si>
  <si>
    <t>0031 30 253 7601</t>
  </si>
  <si>
    <t>Literature data and own assumption for share of different inputs</t>
  </si>
  <si>
    <t>Literature data based on producer information.</t>
  </si>
  <si>
    <t>Fthenakis &amp; Kim, literature</t>
  </si>
  <si>
    <t>manufacturing</t>
  </si>
  <si>
    <t>yield at good installation, average is lower while optimum would be higher, basic uncertainty = 1.2</t>
  </si>
  <si>
    <t>Data refer to 2007. Production in 2006 was ramped up.</t>
  </si>
  <si>
    <t>AU</t>
  </si>
  <si>
    <t>AT</t>
  </si>
  <si>
    <t>CA</t>
  </si>
  <si>
    <t>DK</t>
  </si>
  <si>
    <t>ES</t>
  </si>
  <si>
    <t>FR</t>
  </si>
  <si>
    <t>JP</t>
  </si>
  <si>
    <t>KR</t>
  </si>
  <si>
    <t>SE</t>
  </si>
  <si>
    <t>174-028</t>
  </si>
  <si>
    <t>174-029</t>
  </si>
  <si>
    <t>174-030</t>
  </si>
  <si>
    <t>174-031</t>
  </si>
  <si>
    <t>174-032</t>
  </si>
  <si>
    <t>synthetic rubber, at plant</t>
  </si>
  <si>
    <t>Krueger 2009, personal communication</t>
  </si>
  <si>
    <t>Steinberger 1997</t>
  </si>
  <si>
    <t>materials on substrate</t>
  </si>
  <si>
    <t>14.8 MW planned for 2007</t>
  </si>
  <si>
    <t>Packaging estimated with data for crystalline modules.</t>
  </si>
  <si>
    <t>IndexNumber</t>
  </si>
  <si>
    <t>ID</t>
  </si>
  <si>
    <t>Erik Alsema</t>
  </si>
  <si>
    <t>Utrecht University, Heidelberglaan 2, NL-3584 CS Utrecht, The Netherlands</t>
  </si>
  <si>
    <t>InputGroup</t>
  </si>
  <si>
    <t>OutputGroup</t>
  </si>
  <si>
    <t>Name</t>
  </si>
  <si>
    <t>Location</t>
  </si>
  <si>
    <t>Category</t>
  </si>
  <si>
    <t>SubCategory</t>
  </si>
  <si>
    <t>InfrastructureProcess</t>
  </si>
  <si>
    <t>RER</t>
  </si>
  <si>
    <t>unit</t>
  </si>
  <si>
    <t>product</t>
  </si>
  <si>
    <t>technosphere</t>
  </si>
  <si>
    <t/>
  </si>
  <si>
    <t>5</t>
  </si>
  <si>
    <t>4</t>
  </si>
  <si>
    <t>a</t>
  </si>
  <si>
    <t>Type</t>
  </si>
  <si>
    <t>Field name, IndexNumber</t>
  </si>
  <si>
    <t>ReferenceFunction</t>
  </si>
  <si>
    <t xml:space="preserve">InfrastructureProcess </t>
  </si>
  <si>
    <t>DataSetInformation</t>
  </si>
  <si>
    <t>Version</t>
  </si>
  <si>
    <t>energyValues</t>
  </si>
  <si>
    <t>LanguageCode</t>
  </si>
  <si>
    <t>en</t>
  </si>
  <si>
    <t>LocalLanguageCode</t>
  </si>
  <si>
    <t>de</t>
  </si>
  <si>
    <t>DataEntryBy</t>
  </si>
  <si>
    <t>Person</t>
  </si>
  <si>
    <t>QualityNetwork</t>
  </si>
  <si>
    <t>DataSetRelatesToProduct</t>
  </si>
  <si>
    <t>IncludedProcesses</t>
  </si>
  <si>
    <t>Amount</t>
  </si>
  <si>
    <t>LocalName</t>
  </si>
  <si>
    <t>Synonyms</t>
  </si>
  <si>
    <t>GeneralComment</t>
  </si>
  <si>
    <t xml:space="preserve">InfrastructureIncluded </t>
  </si>
  <si>
    <t>LocalCategory</t>
  </si>
  <si>
    <t>LocalSubCategory</t>
  </si>
  <si>
    <t>Formula</t>
  </si>
  <si>
    <t>StatisticalClassification</t>
  </si>
  <si>
    <t>CASNumber</t>
  </si>
  <si>
    <t>TimePeriod</t>
  </si>
  <si>
    <t>StartDate</t>
  </si>
  <si>
    <t>EndDate</t>
  </si>
  <si>
    <t>DataValidForEntirePeriod</t>
  </si>
  <si>
    <t>Template for EcoSpold files</t>
  </si>
  <si>
    <t>Ecospold Example with Explanations</t>
  </si>
  <si>
    <t>Liability Statement</t>
  </si>
  <si>
    <t>ecoinvent data and the excerpts made with this Excel-tool are subject to the ecoinvent terms of use, in particular paragraphs 4 and 8. The ecoinvent terms of use (conditions.pdf) can be downloaded via the Internet (www.ecoinvent.ch, Publications).</t>
  </si>
  <si>
    <t>PT</t>
  </si>
  <si>
    <t>Property Rights</t>
  </si>
  <si>
    <t>It is not permitted to distribute or copy this worksheet or parts of it to third parties or persons.</t>
  </si>
  <si>
    <t>Copyright Information</t>
  </si>
  <si>
    <t>© ecoinvent Centre</t>
  </si>
  <si>
    <t>Support</t>
  </si>
  <si>
    <t>ESU-services</t>
  </si>
  <si>
    <t>Kanzleistrasse 4</t>
  </si>
  <si>
    <t>CH- 8610 Uster</t>
  </si>
  <si>
    <t>Phone 0041 44 940 67 94</t>
  </si>
  <si>
    <t>Fax 0041 44 940 61 94</t>
  </si>
  <si>
    <t>stucki@esu-services.ch</t>
  </si>
  <si>
    <t>www.ecoinvent.ch</t>
  </si>
  <si>
    <t>Revisions</t>
  </si>
  <si>
    <t>wafer</t>
  </si>
  <si>
    <t>NO</t>
  </si>
  <si>
    <t>emission air, low population density</t>
  </si>
  <si>
    <t>Materials and packaging for the production of cabling, lightning protection and fuse box. Inverter ist not included. Estimation for metal processing. Disposal of the product after use.</t>
  </si>
  <si>
    <t>One open ground system installed in 1992 in Switzerland</t>
  </si>
  <si>
    <t>There are two examples of ecospold processes in this file. One is a single output process (the ABS pipe) and the other is an example of a multioutput process (Silicon production). Normally you need the single output example as the template. To export it y</t>
  </si>
  <si>
    <t>Tips for filling in the Ecospold-Spreadsheet</t>
  </si>
  <si>
    <t>3)  If the update of the cells still seems not to work, try: "Edit"-&gt;"Link"-&gt; choose the names list in source file -&gt; "Change Link" and browse for the names-list file you are using</t>
  </si>
  <si>
    <t>4) If the update of the cells still seems not to work, try: close all the excel files, then open "ecospold" file first, then under "File"-&gt;"Open" open the nemes-list file and then proceed with point 3. (contributed by Manuele Margni)</t>
  </si>
  <si>
    <t>Typical Workflow (using Pedigree Matrix)</t>
  </si>
  <si>
    <t>1) Search for the desired process in the names list ("Names" or "NamesElementary) and copy the index nr. to column A</t>
  </si>
  <si>
    <t>2) Change the Input/OutputGroup if necessery (column D and E)</t>
  </si>
  <si>
    <t>3) Enter the needed amount of process in column L, except for the reference flow in row 7 which is always 1</t>
  </si>
  <si>
    <t>4) Add a short comment, like the data source, calculation procedure,...  in column P</t>
  </si>
  <si>
    <t>5) Fill in the Pedigree Matrix</t>
  </si>
  <si>
    <t>6) (Press F9, if calculation in Excel is set to manual) Verify the entries and then restart with 1) for adding the next process</t>
  </si>
  <si>
    <t>Tips for exporting the Excel-Sheets to EcoSpold</t>
  </si>
  <si>
    <t xml:space="preserve">1) Only the process in X-Exchange will be exported to the EcoSpold file. </t>
  </si>
  <si>
    <t xml:space="preserve">2) Be sure there is not a single cell above the first Empty Line (delimiting the dataset) that contains cell or calculation errors, e.g. #NV, DIV/0,.... </t>
  </si>
  <si>
    <t>3) Common errors are a) cell A7 and L1 don't contain the same number (process), b) the process is lacking its description in X-Process, c) a formula in one or several cells has been deleted (copy from above or  below to correct)</t>
  </si>
  <si>
    <r>
      <t>Annual output of grid-connected PV power plants differentiated for roof-top, facade and large power plants. Literature data for optimum 3kW</t>
    </r>
    <r>
      <rPr>
        <vertAlign val="subscript"/>
        <sz val="9"/>
        <rFont val="Helvetica"/>
        <family val="2"/>
      </rPr>
      <t>p</t>
    </r>
    <r>
      <rPr>
        <sz val="9"/>
        <rFont val="Helvetica"/>
        <family val="2"/>
      </rPr>
      <t xml:space="preserve"> installation and not real performance in the country have been corrected with a factor of 92% according to experiences in Switzerland for average production. Large PV plants are considered with measured plant-specific yields. Mix of PV-plants based on world wide average, national statistics and own assumptions. A lifetime of 30 years is taken into account for the PV installation.</t>
    </r>
  </si>
  <si>
    <t>Annual output of grid-connected PV power plants differentiated for roof-top, facade and large power plants. Literature data for optimum installation and not real performance in the country have been corrected with a factor of 92% according to experiences in Switzerland for average production. Large German PV plants are considered with measured plant-specific yields. Mix of PV-plants based on world wide average, national statistics and own assumptions. A lifetime of 30 years is taken into account for the PV installation.</t>
  </si>
  <si>
    <t>Annual output of grid-connected PV power plants differentiated for roof-top, facade and large power plants. Literature data for optimum installation and not real performance in the country have been corrected with a factor of 92% according to experiences in Switzerland for average production. Large Spanish PV plants are considered with measured plant-specific yields. Mix of PV-plants based on world wide average, national statistics and own assumptions. A lifetime of 30 years is taken into account for the PV installation.</t>
  </si>
  <si>
    <t>Annual output of grid-connected PV power plants differentiated for roof-top, facade and large power plants. Literature data for optimum installation and not real performance in the country have been corrected with a factor of 92% according to experiences in Switzerland for average production. Mix of PV-plants based on world wide average, national statistics and own assumptions. A lifetime of 30 years is taken into account for the PV installation.</t>
  </si>
  <si>
    <t>Electricity production with grid-connected photovoltaic power plants.</t>
  </si>
  <si>
    <t>Statistical data and model calculations</t>
  </si>
  <si>
    <t>In 2008 there were grid connected PV-plants with a capacity of 52.0 MWp.</t>
  </si>
  <si>
    <t>In 2008 there were grid connected  PV-plants with a capacity of 132 kWp.</t>
  </si>
  <si>
    <t>In 2008 there were grid connected  PV-plants with a capacity of 31.2 MWp.</t>
  </si>
  <si>
    <t>In 2008 there were grid connected  PV-plants with a capacity of 65.0 MWp.</t>
  </si>
  <si>
    <t>In 2008 there were grid connected  PV-plants with a capacity of 3.1 MWp.</t>
  </si>
  <si>
    <t>In 2008 there were grid connected  PV-plants with a capacity of 351.6 MWp.</t>
  </si>
  <si>
    <t>In 2008 there were grid connected  PV-plants with a capacity of 798.5 MWp.</t>
  </si>
  <si>
    <t>In 2008 there were  grid connected PV-plants with a capacity of 29.0 MWp.</t>
  </si>
  <si>
    <t>In 2008 there were  grid connected PV-plants with a capacity of 250 kWp.</t>
  </si>
  <si>
    <t>In 2008 there were  grid connected PV-plants with a capacity of 5.2 MWp.</t>
  </si>
  <si>
    <t>In 2008 there were  PV-plants with a capacity of 5.3 GWp.</t>
  </si>
  <si>
    <t>In 2008 there were  grid connected PV-plants with a capacity of 2.8 MWp.</t>
  </si>
  <si>
    <t>In 2008 there were  grid connected PV-plants with a capacity of 3.3 GWp.</t>
  </si>
  <si>
    <t>In 2009 there were grid connected  PV-plants with a capacity of 656.8 MWp.</t>
  </si>
  <si>
    <t>In 2008 there were grid connected  PV-plants with a capacity of 2.1 GWp.</t>
  </si>
  <si>
    <t>In 2008 there were grid connected  PV-plants with a capacity of 156.8 MWp.</t>
  </si>
  <si>
    <t>In 2008 there were grid connected  PV-plants with a capacity of 20.9 MWp.</t>
  </si>
  <si>
    <t>steel, low-alloyed, at plant</t>
  </si>
  <si>
    <t>1.6*.8 m2</t>
  </si>
  <si>
    <t xml:space="preserve">Production of different components of the electric installation of a 3kWp photovoltaic plant. </t>
  </si>
  <si>
    <t>Collection of data in 2005. Use of data from an environmental report of a production plant (ca. 3 million wafers per year) and some data from older publications.</t>
  </si>
  <si>
    <t>Use of data from an environmental report of a production plant (ca. 3 million wafers per year) and some data from older publications.</t>
  </si>
  <si>
    <t>Calculation of yield based on production with a state of the art plant.</t>
  </si>
  <si>
    <t xml:space="preserve">Main producers are China, South Africa and Mexico. Some data of calcium fluoride produced in Germany. </t>
  </si>
  <si>
    <t>Data of a plant in DE and estimation for RER.</t>
  </si>
  <si>
    <t>Data of production in Europe.</t>
  </si>
  <si>
    <t>Estimation for Europe. Emissions data of a NL plant.</t>
  </si>
  <si>
    <t>Data from European companies.</t>
  </si>
  <si>
    <t>Data from different types of processes in Europe and North America.</t>
  </si>
  <si>
    <t>Data of RER.</t>
  </si>
  <si>
    <t>Dat of production in Europe.</t>
  </si>
  <si>
    <t>Data from United Solar in the United States.</t>
  </si>
  <si>
    <t>Data from Würth Solar in Germany.</t>
  </si>
  <si>
    <t>Average technology data of 4 companies.</t>
  </si>
  <si>
    <t>Materials and packaging for the production and estimation for metal processing. Disposal of the product after use. Energy use for the construction process must be included in data of the PV-plant.</t>
  </si>
  <si>
    <t>Gate to gate inventory for production of silicon carbide from silica sand. Including materials and electricity use. Some emissions to air from the process.</t>
  </si>
  <si>
    <t xml:space="preserve">Production with Siemens process either from SiHCl3 or SiH4. Partly with standard Siemens process and partly with modified Siemens ("solar grade") at reduced electricity consumption. Mix of electricity supply in accordance with actual conditions at considered production locations. </t>
  </si>
  <si>
    <t>Production mix of different feedstock for silicon used in photovoltaic industry. Purity &gt;98% sufficient for use in photovoltaic industry</t>
  </si>
  <si>
    <t>Explanations</t>
  </si>
  <si>
    <t>Input-Group</t>
  </si>
  <si>
    <t>Output-Group</t>
  </si>
  <si>
    <t>Sub-Category</t>
  </si>
  <si>
    <t>Infrastructure-Process</t>
  </si>
  <si>
    <t>uncertaintyType</t>
  </si>
  <si>
    <t>The simple inventory for the production process is based on the raw material inputs. It recycles used sawing slurry from the wafer cutting process, to recover SiC and PEG (poly ethylene glycol). This re-cycling is usually done off-site by the slurry supplier and therefore modelled separately. Silicon is generally not recycled. Allocation among the products is based on the weight of all outputs.</t>
  </si>
  <si>
    <t>Electricity production with grid-connected photovoltaic power plants mounted on buildings slanted roof. 922 kWh/kWp annual electricity output, 1117 kWh/m2 irradiation, 0.75 performance ratio, 13.2% module efficiency.</t>
  </si>
  <si>
    <t>Electricity production with grid-connected photovoltaic power plants mounted on buildings slanted roof. 922 kWh/kWp annual electricity output, 1117 kWh/m2 irradiation, 0.75 performance ratio, 12.0% module efficiency.</t>
  </si>
  <si>
    <t>Electricity production with grid-connected photovoltaic power plants integrated in buildings slanted roof. 922 kWh/kWp annual electricity output, 1117 kWh/m2 irradiation, 0.75 performance ratio, 12.0% module efficiency.</t>
  </si>
  <si>
    <t>Electricity production with grid-connected photovoltaic power plants mounted on buildings slanted roof. 922 kWh/kWp annual electricity output, 1117 kWh/m2 irradiation, 0.75 performance ratio, 10.9% module efficiency.</t>
  </si>
  <si>
    <t>Electricity production with grid-connected photovoltaic power plants mounted on buildings slanted roof. 922 kWh/kWp annual electricity output, 1117 kWh/m2 irradiation, 0.75 performance ratio, 10.7% module efficiency.</t>
  </si>
  <si>
    <t>Electricity production with grid-connected photovoltaic power plants mounted on buildings slanted roof. 922 kWh/kWp annual electricity output, 1117 kWh/m2 irradiation, 0.75 performance ratio, 6.5% module efficiency.</t>
  </si>
  <si>
    <t>Modern production plant.</t>
  </si>
  <si>
    <t>Capacity of 10'000 modules per year. Life time assumed to be 25 years.</t>
  </si>
  <si>
    <t>0.15l fuel oil</t>
  </si>
  <si>
    <t>Average distance 600km, Fthenakis</t>
  </si>
  <si>
    <t>modules</t>
  </si>
  <si>
    <t>processing</t>
  </si>
  <si>
    <t>literature, assumption</t>
  </si>
  <si>
    <t>facade construction, mounted, on roof</t>
  </si>
  <si>
    <t>facade construction, integrated, on roof</t>
  </si>
  <si>
    <t>flat roof construction, on roof</t>
  </si>
  <si>
    <t>slanted-roof construction, mounted, on roof</t>
  </si>
  <si>
    <t>slanted-roof construction, integrated, on roof</t>
  </si>
  <si>
    <t>AluStand</t>
  </si>
  <si>
    <t>TectoSun</t>
  </si>
  <si>
    <t>SOLRIF</t>
  </si>
  <si>
    <t>Schletter</t>
  </si>
  <si>
    <t>Literature and own estimations</t>
  </si>
  <si>
    <t>Production of the additional components necessary for the mounting of 1 m2 PV panel or laminate.</t>
  </si>
  <si>
    <t>Construction parts for a photovoltaic system.</t>
  </si>
  <si>
    <t>From one product to the whole market. Correction factor applied to correct for today average weight per m2.</t>
  </si>
  <si>
    <t>not accounted</t>
  </si>
  <si>
    <t>Detailed analysis of materials for one product in a diploma thesis.</t>
  </si>
  <si>
    <t>x</t>
  </si>
  <si>
    <t>MJ</t>
  </si>
  <si>
    <t>kWh</t>
  </si>
  <si>
    <t>Siemer 2003</t>
  </si>
  <si>
    <t>Sum from the inventory</t>
  </si>
  <si>
    <t>Standard distances 200km, 600km</t>
  </si>
  <si>
    <t>Calculated for this study</t>
  </si>
  <si>
    <t>BOD5, Biological Oxygen Demand</t>
  </si>
  <si>
    <t>DOC, Dissolved Organic Carbon</t>
  </si>
  <si>
    <t>high population density</t>
  </si>
  <si>
    <t>unspecified</t>
  </si>
  <si>
    <t>Antec solar, ATF 50</t>
  </si>
  <si>
    <t>Antec homepage minus fuel oil use</t>
  </si>
  <si>
    <t>www.antec-solar.de 2006</t>
  </si>
  <si>
    <t>Fthenakis, packaging material</t>
  </si>
  <si>
    <t>Import of modules from the US 6300km</t>
  </si>
  <si>
    <t>emission air</t>
  </si>
  <si>
    <t>Production mix for use in Europe. Transport of modules from overseas.</t>
  </si>
  <si>
    <t>Air emissions of different pollutants are extrapolated from environmental reports.</t>
  </si>
  <si>
    <t>MG-silicon with a purity of 99%. Used for the production of aluminium compounds, silicones and semiconductors. For the use in semiconductors further purification is necessary.</t>
  </si>
  <si>
    <t>Production technology of thin film cells. Sublimation of the powders and condensation of the vapours on a glass substrate by vapour transport deposition (VTD).</t>
  </si>
  <si>
    <t>kg/m</t>
  </si>
  <si>
    <t>Production technology of thin film a-Si cells. The modules contain triple junction cells, which are made in a continuous roll-to-roll deposition on stainless steel. The cell is deposited using a vapour-deposition process at low temperatures.</t>
  </si>
  <si>
    <t>Basic inventory based on cumulative data.</t>
  </si>
  <si>
    <t>Data from manufacturers</t>
  </si>
  <si>
    <t xml:space="preserve">From several products to the whole market. </t>
  </si>
  <si>
    <t>174-049</t>
  </si>
  <si>
    <t>The multi-output-process "MG-silicon, to purification" delivers the co-products "silicon, electronic grade", "silicon, electronic grade, off-grade", "silicon tetrachloride". The allocation is based on mass balance and economic criteria. World production of EG-Si was 18'000t in 2000, 2'000t were sold as off-grade Si to the photovoltaic industry. Wacker produced 3'000t EG-Si. Total production SiCl4 1.6 million tonnes from different processes.</t>
  </si>
  <si>
    <t>Plants of Wacker, DE in Wasserburg and Freiberg. Capacity of 1 million wafers per year. Life time assumed to be 25 years.</t>
  </si>
  <si>
    <t>New plant of Shell Solar in Gelsenkirchen. Capacity of 10 million solar cells per year. Life time assumed to be 25 years.</t>
  </si>
  <si>
    <t>1 million wafers per year in the factories. 25 years life time.</t>
  </si>
  <si>
    <t>resource, in water</t>
  </si>
  <si>
    <t>Standard distance 100km, cells 500km</t>
  </si>
  <si>
    <t>100km to construction place</t>
  </si>
  <si>
    <t>Wp</t>
  </si>
  <si>
    <t>Fläche</t>
  </si>
  <si>
    <t>auxiliaries</t>
  </si>
  <si>
    <t>Life cycle inventory for the production process based on raw material inputs and data for energy use and emissions.</t>
  </si>
  <si>
    <t>Emission data extrapolated with total CO2 emissions.</t>
  </si>
  <si>
    <t>Fthenakis, literature, incl. Part of Cd compound powder</t>
  </si>
  <si>
    <t>Energy loss in the system is included</t>
  </si>
  <si>
    <t>Matthias Stucki</t>
  </si>
  <si>
    <t>0041 44 940 67 94</t>
  </si>
  <si>
    <t>esu-services@ecoinvent.org</t>
  </si>
  <si>
    <t>Rough assumption for the decrease in material weights for mounting structures.</t>
  </si>
  <si>
    <t>174-026</t>
  </si>
  <si>
    <t>174-027</t>
  </si>
  <si>
    <t>174-024</t>
  </si>
  <si>
    <t>174-025</t>
  </si>
  <si>
    <t>own estimation with data for PV wafer</t>
  </si>
  <si>
    <t>energy</t>
  </si>
  <si>
    <t>waste</t>
  </si>
  <si>
    <t>Average technology.</t>
  </si>
  <si>
    <t>Literature and internet. Average data from 4 companies.</t>
  </si>
  <si>
    <t>worldwide data</t>
  </si>
  <si>
    <t xml:space="preserve">Purification of MG-silicon including materials, energy use, wastes and air emissions. </t>
  </si>
  <si>
    <t>Gate to gate inventory for production of MG-silicon from silica sand including materials, energy use, wastes and air emissions. Emissions to water are not available.</t>
  </si>
  <si>
    <t>ProofReading</t>
  </si>
  <si>
    <t>Validator</t>
  </si>
  <si>
    <t>Details</t>
  </si>
  <si>
    <t>OtherDetails</t>
  </si>
  <si>
    <t>Gate to gate inventory for recycling of slurry produced during wire sawing of silicon (Spec. Weight of input 1.75kg/l). Includes transport to recycling facility, electricity use and waste treatment.</t>
  </si>
  <si>
    <t>Time of publication and data investigation.</t>
  </si>
  <si>
    <t>Literature and internet. Average data from 3 companies.</t>
  </si>
  <si>
    <t>mc- or pc-Si cell</t>
  </si>
  <si>
    <t>photovoltaic cell, pc-Si , at plant</t>
  </si>
  <si>
    <t>Ökoinventare</t>
  </si>
  <si>
    <t>Phalk 500, Mont Soleil, Switzerland</t>
  </si>
  <si>
    <t>Other data investigated with information from solder production.</t>
  </si>
  <si>
    <t>Data collected from 5 specific processes and companies (4 multi-Si + 1 single-Si processing company).</t>
  </si>
  <si>
    <t>10 million cells/a in the factory. Total worldwide production ca 170 million</t>
  </si>
  <si>
    <t>Data 2005 calculated from data 2004 by multiplying amounts of materials by solar cell area factor of 156*156/(125*125) = 1.56; energy scaled linearly with cell side length.</t>
  </si>
  <si>
    <t>Data investigated in 2004 and recalculated for the cell size in 2005.</t>
  </si>
  <si>
    <t>'[ecoinvent-v2.0-names.xlsx]</t>
  </si>
  <si>
    <t>Electricity production with grid-connected photovoltaic power plants integrated in buildings slanted roof. 987 kWh/kWp annual electricity output, 1117 kWh/m2 irradiation, 0.75 performance ratio, 13.2% module efficiency.</t>
  </si>
  <si>
    <t>407-101</t>
  </si>
  <si>
    <t>407-102</t>
  </si>
  <si>
    <t>407-103</t>
  </si>
  <si>
    <t>407-106</t>
  </si>
  <si>
    <t>407-105</t>
  </si>
  <si>
    <t>407-104</t>
  </si>
  <si>
    <t>407-107</t>
  </si>
  <si>
    <t>407-108</t>
  </si>
  <si>
    <t>407-109</t>
  </si>
  <si>
    <t>407-110</t>
  </si>
  <si>
    <t>407-111</t>
  </si>
  <si>
    <t>407-112</t>
  </si>
  <si>
    <t>407-113</t>
  </si>
  <si>
    <t>metal grade silicon</t>
  </si>
  <si>
    <t>Si</t>
  </si>
  <si>
    <t>OK</t>
  </si>
  <si>
    <t>SoG-Silicon//polycrystaline</t>
  </si>
  <si>
    <t>Czochralski process</t>
  </si>
  <si>
    <t>monocrystalline//single crystalline//silicon</t>
  </si>
  <si>
    <t>polycrystalline//multi-crystalline//silicon</t>
  </si>
  <si>
    <t>Solarmodul//PV-module//monocrystalline//silicon</t>
  </si>
  <si>
    <t>Solarmodul//PV-module//polycrystalline//multi-crystalline//silicon</t>
  </si>
  <si>
    <t>407-114</t>
  </si>
  <si>
    <t>401-026-004</t>
  </si>
  <si>
    <t>Personal communication with First Solar</t>
  </si>
  <si>
    <t>CDP 2011 Investor CDP 2011 Information Request First Solar Inc</t>
  </si>
  <si>
    <t>Production in 2010</t>
  </si>
  <si>
    <t xml:space="preserve">DE </t>
  </si>
  <si>
    <t>US+DE+MY</t>
  </si>
  <si>
    <t>407-119</t>
  </si>
  <si>
    <t>407-120</t>
  </si>
  <si>
    <t>407-115</t>
  </si>
  <si>
    <t>407-116</t>
  </si>
  <si>
    <t>407-117</t>
  </si>
  <si>
    <t>407-118</t>
  </si>
  <si>
    <t>Estimation for share of products on European market.</t>
  </si>
  <si>
    <t>Literature data  on worldwide module production.</t>
  </si>
  <si>
    <t>Consumption mix for use in Europe. Transport of modules from overseas.</t>
  </si>
  <si>
    <t>MY</t>
  </si>
  <si>
    <t>air, high. pop.</t>
  </si>
  <si>
    <t>water, unspecified</t>
  </si>
  <si>
    <t>Outputs</t>
  </si>
  <si>
    <t>photovoltaic laminate, CdTe, at plant</t>
  </si>
  <si>
    <t>Waste</t>
  </si>
  <si>
    <t>Electricity including overhead operations and office use, materials, transport of materials, infrastructure. Module processing includes film deposition, etching, cleaning and module assembly. Process emissions not known (except Cd).</t>
  </si>
  <si>
    <t>Production of photovoltaic thin film modules by vapour deposition.  The modules produced at First Solar have a size of 1.2m by 0.6 m. The weight is 16.7kg/m2. The average efficiency in 2011 is 11.7%. The rated nominal power is about 84Wp per module.</t>
  </si>
  <si>
    <t>Data refer to production in 2010</t>
  </si>
  <si>
    <t>Data from First Solar US.</t>
  </si>
  <si>
    <t>1'963'079 m2 in 2010</t>
  </si>
  <si>
    <t>Producer information</t>
  </si>
  <si>
    <t>Data from First Solar Malaysia.</t>
  </si>
  <si>
    <t>Data from First Solar Germany.</t>
  </si>
  <si>
    <t>2'304'505 m2 in 2010</t>
  </si>
  <si>
    <t>9'027'360 m2 in 2010</t>
  </si>
  <si>
    <t>Estimation for photovoltaic thin film modules used in Europe based on 22% German production, 65% Malaysian production and  12% US production. Average efficiency is 11.7%.</t>
  </si>
  <si>
    <t>Data refer to 2010.</t>
  </si>
  <si>
    <t>Production sites in DE, MY, and US. Estimation for share of products on European market.</t>
  </si>
  <si>
    <t>10'264'296 m2 in 2010</t>
  </si>
  <si>
    <t>407-123</t>
  </si>
  <si>
    <t>407-124</t>
  </si>
  <si>
    <t>407-121</t>
  </si>
  <si>
    <t>407-122</t>
  </si>
  <si>
    <t>407-129</t>
  </si>
  <si>
    <t>407-130</t>
  </si>
  <si>
    <t>407-131</t>
  </si>
  <si>
    <t>407-132</t>
  </si>
  <si>
    <t>407-133</t>
  </si>
  <si>
    <t>407-134</t>
  </si>
  <si>
    <t>407-135</t>
  </si>
  <si>
    <t>407-136</t>
  </si>
  <si>
    <t>Production plants in CN.</t>
  </si>
  <si>
    <t>1'000'000t world wide production in 2000.</t>
  </si>
  <si>
    <t>Air emissions of different pollutants are extrapolated from environmental reports. Extrapolation of European LCI inventory data by changing the consumed electricity mix to the Chinese electricity mix.</t>
  </si>
  <si>
    <t>14400 t worldwide in 2005</t>
  </si>
  <si>
    <t>1'000'000t worldwide in 2000. Most of European plants are located in NO.</t>
  </si>
  <si>
    <t>World production of EG-Si was 18'000t in 2005.</t>
  </si>
  <si>
    <t>Some data are derived from other or unknown plants. Extrapolation of European LCI inventory data by changing the consumed electricity mix to the Chinese electricity mix.</t>
  </si>
  <si>
    <t>The inventory is modelled for the largest European production plant and extrapolated to Chinese conditions. For the second plant in IT data were not available.</t>
  </si>
  <si>
    <t>Data of RER, extrapolated to Chinese production.</t>
  </si>
  <si>
    <t>Emissions to water are estimated with figures investigated for MG-silicon purification to EG-silicon with a similar type of process. Extrapolation of European LCI inventory data by changing the consumed electricity mix to the Chinese electricity mix.</t>
  </si>
  <si>
    <t>Extrapolation of European LCI inventory data by changing the consumed electricity mix to the Chinese electricity mix.</t>
  </si>
  <si>
    <t>Production of a monocrystalline block with a diameter of 130mm and a length of 150cm. The losses due to block cutting are not considered as the material can be remelted and reused .</t>
  </si>
  <si>
    <t xml:space="preserve">Purified silicon is melted in cast in a graphite box. </t>
  </si>
  <si>
    <t>Purified silicon is melted in cast in a graphite box.</t>
  </si>
  <si>
    <t>Extrapolation with cumulative data including wafer sawing for electricity use.  Extrapolation of European LCI inventory data by changing the consumed electricity mix to the Chinese electricity mix.</t>
  </si>
  <si>
    <t>The reference flow for the life cycle inventory is 1 square metre of wafer surface. The sc-Silicon columns are sawn into square wafers with a size 156x156 mm2 (0.0243 m2) and a thickness of 190 um. The weight is 442.7 g/m2. The sawing losses are 442.7g/m2.</t>
  </si>
  <si>
    <t>Europe, Western + North America, extrapolated to China</t>
  </si>
  <si>
    <t>Rough assumption for electricity use.  Extrapolation of European LCI inventory data by changing the consumed electricity mix to the Chinese electricity mix.</t>
  </si>
  <si>
    <t>The reference flow for the life cycle inventory is 1 square metre of wafer surface. The sc-Silicon columns are sawn into square wafers with a size 156x156 mm2 (0.0243 m2) and a thickness of 190 um. The weight is 443 g/m2. The sawing losses are 443g/m2.</t>
  </si>
  <si>
    <t>The reference flow for the life cycle inventory is 1 square metre of wafer surface. The mc-Silicon columns are sawn into square wafers with a size 156x156 mm2 (0.0243 m2) and a thickness 200 um. The weight is 466 g/m2. The sawing losses are 466g/m2.</t>
  </si>
  <si>
    <t>Total worldwide production 1727MW in 2000.</t>
  </si>
  <si>
    <t>Production of photovoltaic cells (156*156 mm2). Some inputs and emissions aggregated to protect sensitive data. Wafer thickness 190 um. with an efficiency of 15.3% and 3.7Wp</t>
  </si>
  <si>
    <t>Production of photovoltaic cells (156*156 mm2). Some inputs and emissions aggregated to protect sensitive data. Wafer thickness 200 um. With an efficiency of 14.9% and 3.6Wp.</t>
  </si>
  <si>
    <t>Data of production in Europe, extrapolated to Chinese production.</t>
  </si>
  <si>
    <t>Data 2005 calculated from data 2004 by multiplying amounts of materials by solar cell area factor of 156*156/(125*125) = 1.56; energy scaled linearly with cell side length. Extrapolation of European LCI inventory data by changing the consumed electricity mix to the Chinese electricity mix.</t>
  </si>
  <si>
    <t>Production plants in Western Europe, extrapolated to Chinese production.</t>
  </si>
  <si>
    <t>Assumption for laminate production with data for panels. Materials for frames neglected. Extrapolation of European LCI inventory data by changing the consumed electricity mix to the Chinese electricity mix.</t>
  </si>
  <si>
    <t>Rough assumption for the use of heat in the process. Extrapolation of European LCI inventory data by changing the consumed electricity mix to the Chinese electricity mix.</t>
  </si>
  <si>
    <t>Unit process raw data for 1 m2 of PV panel. Investigated for the production of solar panels and laminates with 60 solar cells a 156*156mm2 (=1.6m2 panel) with a capacity of 224 Wp and a panel efficiency of 14.0%. Cell size and amount and capacity might differ between different producers.</t>
  </si>
  <si>
    <t>Unit process raw data for 1 m2 of PV panel. Investigated for the production of solar panels and laminates with 60 solar cells a 156*156mm2  (=1.6m2 panel) with a capacity of 217Wp and a panel efficiency of 13.6%. Cell size and amount and capacity might differ between different producers.</t>
  </si>
  <si>
    <t>Unit process raw data for 1 m2 of PV panel. Investigated for the production of solar panels and laminates with 60 solar cells a 156*156mm2 (=1.6m2 panel) with a capacity of 224 Wp and a laminate efficiency of 14.0%. Cell size and amount and capacity might differ between different producers.</t>
  </si>
  <si>
    <t>Unit process raw data for 1 m2 of PV panel. Investigated for the production of solar panels and laminates with 60 solar cells a 156*156mm2 (=1.6m2 panel) with a capacity of 217Wp and a laminate efficiency of 13.6%. Cell size and amount and capacity might differ between different producers.</t>
  </si>
  <si>
    <t>Production of photovoltaic cells (156*156 mm2). Some inputs and emissions aggregated to protect sensitive data. with an efficiency of 13.7%. Wafer thickness 250um.</t>
  </si>
  <si>
    <t>Unit process raw data for 1 m2 of PV panel. Investigated for the production of solar panels and laminates with 60 solar cells a 156*156mm2 (=1.6m2) with a capacity of 200Wp and a laminate efficiency of 12.7%.  Cell size and amount and capacity might differ between different producers.</t>
  </si>
  <si>
    <r>
      <t>The reference flow for the life cycle inventory is 1 square metre of wafer surface. The ribbon silicon wafers have a wafer thickness of 250 um. The wafer area is 243cm2, thickness 250 um. The weight is 583 g/m</t>
    </r>
    <r>
      <rPr>
        <vertAlign val="superscript"/>
        <sz val="11"/>
        <rFont val="Times New Roman"/>
        <family val="1"/>
      </rPr>
      <t>2</t>
    </r>
  </si>
  <si>
    <t>Production of photovoltaic thin film laminates. Deposition of nine thin-film layers on the triple-junction cell. The laminates ASR128 produced at United Solar have a size of 2.3 m2. The weight is 2.7 kg per m2. The rated nominal power is about 148Wp per laminate. The efficiency is estimated here for newer products with 6.5% at the beginning of the life time. Degradation has to be taken into account with achieved yields.</t>
  </si>
  <si>
    <t>Production of photovoltaic thin film modules. Deposition of nine thin-film layers on the triple-junction cell. The modules produced at United Solar have a size of 2.3 m2. The weight is 8.2 kg per m2. The efficiency is 6.5% at the beginning of the life time. Degradation has to be taken into account with achieved yields. The rated nominal power is about 148Wp per module.</t>
  </si>
  <si>
    <t>Production of photovoltaic thin film laminates by thermal vaporization in vacuum. The modules produced at Würth Solar have a size of 1.2m by 0.6m. The weight is 12.6kg. The efficiency is 10.8%. The rated nominal power is about 78Wp per module.</t>
  </si>
  <si>
    <t>Production of photovoltaic thin film modules by thermal vaporization in vacuum. The modules produced at Würth Solar have a size of 1.2m by 0.6m. The weight is 12.6kg. The efficiency is 10.8%. The rated nominal power is about 78Wp per module.</t>
  </si>
  <si>
    <t>Unit process raw data for 1 m2 of PV panel. Investigated for the production of solar panels and laminates with 60 solar cells a 156*156mm2 (=1.6m2 panel) with a capacity of 217Wp and a panel efficiency of 13.6%. Cell size and amount and capacity might differ between different producers.</t>
  </si>
  <si>
    <t>CZ single crystalline silicon, photovoltaics, at plant</t>
  </si>
  <si>
    <t>silicon, multi-Si, casted, at plant</t>
  </si>
  <si>
    <t>silicon, production mix, photovoltaics, at plant</t>
  </si>
  <si>
    <t>174-301</t>
  </si>
  <si>
    <t>174-302</t>
  </si>
  <si>
    <t>401-050-004</t>
  </si>
  <si>
    <t>401-040-004</t>
  </si>
  <si>
    <t>174-303</t>
  </si>
  <si>
    <t>174-304</t>
  </si>
  <si>
    <t>174-305</t>
  </si>
  <si>
    <t>174-306</t>
  </si>
  <si>
    <t>174-307</t>
  </si>
  <si>
    <t>174-308</t>
  </si>
  <si>
    <t>174-309</t>
  </si>
  <si>
    <t>174-310</t>
  </si>
  <si>
    <t>174-312</t>
  </si>
  <si>
    <t>174-311</t>
  </si>
  <si>
    <t>174-313</t>
  </si>
  <si>
    <t>174-314</t>
  </si>
  <si>
    <t>401-023-004</t>
  </si>
  <si>
    <t>174-315</t>
  </si>
  <si>
    <t>174-316</t>
  </si>
  <si>
    <t>174-317</t>
  </si>
  <si>
    <t>174-318</t>
  </si>
  <si>
    <t>174-319</t>
  </si>
  <si>
    <t>174-320</t>
  </si>
  <si>
    <t>174-321</t>
  </si>
  <si>
    <t>174-322</t>
  </si>
  <si>
    <t>174-323</t>
  </si>
  <si>
    <t>174-324</t>
  </si>
  <si>
    <t>174-325</t>
  </si>
  <si>
    <t>174-326</t>
  </si>
  <si>
    <t>174-327</t>
  </si>
  <si>
    <t>174-328</t>
  </si>
  <si>
    <t>174-329</t>
  </si>
  <si>
    <t>174-330</t>
  </si>
  <si>
    <t>174-331</t>
  </si>
  <si>
    <t>174-332</t>
  </si>
  <si>
    <t>174-333</t>
  </si>
  <si>
    <t>174-334</t>
  </si>
  <si>
    <t>Production plants in US.</t>
  </si>
  <si>
    <t>Production plants in APAC.</t>
  </si>
  <si>
    <t>Air emissions of different pollutants are extrapolated from environmental reports. Extrapolation of European LCI inventory data by changing the consumed electricity mix to the US electricity mix.</t>
  </si>
  <si>
    <t>The inventory is modelled for the largest European production plant and extrapolated to US conditions. For the second plant in IT data were not available.</t>
  </si>
  <si>
    <t>The inventory is modelled for the largest European production plant and extrapolated to Asia and Pacific (APAC) conditions. For the second plant in IT data were not available.</t>
  </si>
  <si>
    <t>Some data are derived from other or unknown plants. Extrapolation of European LCI inventory data by changing the consumed electricity mix to the US electricity mix.</t>
  </si>
  <si>
    <t>Some data are derived from other or unknown plants. Extrapolation of European LCI inventory data by changing the consumed electricity mix to the South Korean electricity mix.</t>
  </si>
  <si>
    <t>Air emissions of different pollutants are extrapolated from environmental reports. Extrapolation of European LCI inventory data by changing the consumed electricity mix to the South Korean electricity mix.</t>
  </si>
  <si>
    <t>Emissions to water are estimated with figures investigated for MG-silicon purification to EG-silicon with a similar type of process. Extrapolation of European LCI inventory data by changing the consumed electricity mix to the US electricity mix.</t>
  </si>
  <si>
    <t>Emissions to water are estimated with figures investigated for MG-silicon purification to EG-silicon with a similar type of process. Extrapolation of European LCI inventory data by changing the consumed electricity mix to the South Korean electricity mix.</t>
  </si>
  <si>
    <t>Data of RER, extrapolated to US production.</t>
  </si>
  <si>
    <t>Data of RER, extrapolated to Asia and Pacific production.</t>
  </si>
  <si>
    <t>Extrapolation of European LCI inventory data by changing the consumed electricity mix to the US electricity mix.</t>
  </si>
  <si>
    <t>Extrapolation of European LCI inventory data by changing the consumed electricity mix to the South Korean electricity mix.</t>
  </si>
  <si>
    <t>Extrapolation with cumulative data including wafer sawing for electricity use.  Extrapolation of European LCI inventory data by changing the consumed electricity mix to the US electricity mix.</t>
  </si>
  <si>
    <t>Extrapolation with cumulative data including wafer sawing for electricity use.  Extrapolation of European LCI inventory data by changing the consumed electricity mix to the South Korean electricity mix.</t>
  </si>
  <si>
    <t>Estimation for China.</t>
  </si>
  <si>
    <t>Estimation for US.</t>
  </si>
  <si>
    <t>Estimation for Asia and Pacific</t>
  </si>
  <si>
    <t>Europe, Western + North America, extrapolated to US</t>
  </si>
  <si>
    <t>Europe, Western + North America, extrapolated to Asia and Pacific</t>
  </si>
  <si>
    <t>Rough assumption for electricity use.  Extrapolation of European LCI inventory data by changing the consumed electricity mix to the US electricity mix.</t>
  </si>
  <si>
    <t>Rough assumption for electricity use.  Extrapolation of European LCI inventory data by changing the consumed electricity mix to the Japanese electricity mix.</t>
  </si>
  <si>
    <t>Data of production in Europe, extrapolated to US production.</t>
  </si>
  <si>
    <t>Data of production in Europe, extrapolated to production in Asia and Pacific.</t>
  </si>
  <si>
    <t>Data 2005 calculated from data 2004 by multiplying amounts of materials by solar cell area factor of 156*156/(125*125) = 1.56; energy scaled linearly with cell side length. Extrapolation of European LCI inventory data by changing the consumed electricity mix to the US electricity mix.</t>
  </si>
  <si>
    <t>Data 2005 calculated from data 2004 by multiplying amounts of materials by solar cell area factor of 156*156/(125*125) = 1.56; energy scaled linearly with cell side length. Extrapolation of European LCI inventory data by changing the consumed electricity mix to the Japanese electricity mix.</t>
  </si>
  <si>
    <t>Data of production in Europe, extrapolated to production in Asia Pacific.</t>
  </si>
  <si>
    <t>Production plants in Western Europe, extrapolated to Chinese US.</t>
  </si>
  <si>
    <t>Production plants in Western Europe, extrapolated to production in Asia and Pacific.</t>
  </si>
  <si>
    <t>Assumption for laminate production with data for panels. Materials for frames neglected. Extrapolation of European LCI inventory data by changing the consumed electricity mix to the US electricity mix.</t>
  </si>
  <si>
    <t>Assumption for laminate production with data for panels. Materials for frames neglected. Extrapolation of European LCI inventory data by changing the consumed electricity mix to the Japanese electricity mix.</t>
  </si>
  <si>
    <t>Production plants in Western Europe, extrapolated to US production.</t>
  </si>
  <si>
    <t>Rough assumption for the use of heat in the process. Extrapolation of European LCI inventory data by changing the consumed electricity mix to the US electricity mix.</t>
  </si>
  <si>
    <t>Rough assumption for the use of heat in the process. Extrapolation of European LCI inventory data by changing the consumed electricity mix to the Japanese electricity mix.</t>
  </si>
  <si>
    <t>René Itten</t>
  </si>
  <si>
    <t>0041 44 940 61 93</t>
  </si>
  <si>
    <t>treeze</t>
  </si>
  <si>
    <t>itten@treeze.ch</t>
  </si>
  <si>
    <t>Rolf Frischknecht</t>
  </si>
  <si>
    <t>0041 44 940 61 91</t>
  </si>
  <si>
    <t>frischknecht@treeze.ch</t>
  </si>
  <si>
    <t>Frischknecht R.,</t>
  </si>
  <si>
    <t>Itten R.,</t>
  </si>
  <si>
    <t>LCI of global PV supply chain</t>
  </si>
  <si>
    <t>treeze Ltd.</t>
  </si>
  <si>
    <t>Report</t>
  </si>
  <si>
    <t>Project report</t>
  </si>
  <si>
    <t>Uster, CH</t>
  </si>
  <si>
    <t>www.esu-services.ch</t>
  </si>
  <si>
    <t>Jungbluth, N.</t>
  </si>
  <si>
    <t>Stucki M., Fluri K., Frischknecht R., Buesser S.</t>
  </si>
  <si>
    <t>Life Cycle Inventories of Photovoltaics</t>
  </si>
  <si>
    <t>Bauer C.</t>
  </si>
  <si>
    <t>ESU-services ltd.</t>
  </si>
  <si>
    <t>APAC</t>
  </si>
  <si>
    <t>174-335</t>
  </si>
  <si>
    <t>174-336</t>
  </si>
  <si>
    <t>401-029-004</t>
  </si>
  <si>
    <t>Shares of production in US (34%) and import from China (66%).</t>
  </si>
  <si>
    <t>Shares of production in RER (89%) and import from China (11%).</t>
  </si>
  <si>
    <t>Shares of production in APAC (73%) and import from China (27%).</t>
  </si>
  <si>
    <t>Consumption mix for use in Europe. Transport of wafers from overseas.</t>
  </si>
  <si>
    <t>Consumption mix for use in US. Transport of wafers from overseas.</t>
  </si>
  <si>
    <t>Consumption mix for use in APAC. Transport of wafers from overseas.</t>
  </si>
  <si>
    <t>2-Propanol</t>
  </si>
  <si>
    <t>Acetaldehyde</t>
  </si>
  <si>
    <t>Aluminium</t>
  </si>
  <si>
    <t>Ammonia</t>
  </si>
  <si>
    <t>Antimony</t>
  </si>
  <si>
    <t>Arsenic</t>
  </si>
  <si>
    <t>Boron</t>
  </si>
  <si>
    <t>Cadmium</t>
  </si>
  <si>
    <t>Cadmium, ion</t>
  </si>
  <si>
    <t>Calcium</t>
  </si>
  <si>
    <t>Carbon dioxide, biogenic</t>
  </si>
  <si>
    <t>Carbon dioxide, fossil</t>
  </si>
  <si>
    <t>Carbon monoxide, biogenic</t>
  </si>
  <si>
    <t>Carbon monoxide, fossil</t>
  </si>
  <si>
    <t>Chlorine</t>
  </si>
  <si>
    <t>Chromium</t>
  </si>
  <si>
    <t>Chromium, ion</t>
  </si>
  <si>
    <t>Cyanide</t>
  </si>
  <si>
    <t>Ethane, 1,1,1,2-tetrafluoro-, HFC-134a</t>
  </si>
  <si>
    <t>Ethane, hexafluoro-, HFC-116</t>
  </si>
  <si>
    <t>Fluorine</t>
  </si>
  <si>
    <t>Hydrogen</t>
  </si>
  <si>
    <t>Hydrogen chloride</t>
  </si>
  <si>
    <t>Hydrogen fluoride</t>
  </si>
  <si>
    <t>Hydrogen sulfide</t>
  </si>
  <si>
    <t>Iron</t>
  </si>
  <si>
    <t>Lead</t>
  </si>
  <si>
    <t>Mercury</t>
  </si>
  <si>
    <t>Nickel, ion</t>
  </si>
  <si>
    <t>Nitric acid</t>
  </si>
  <si>
    <t>Nitrogen oxides</t>
  </si>
  <si>
    <t>NMVOC, non-methane volatile organic compounds, unspecified origin</t>
  </si>
  <si>
    <t>Particulates, &lt; 2.5 um</t>
  </si>
  <si>
    <t>Particulates, &gt; 10 um</t>
  </si>
  <si>
    <t>Potassium</t>
  </si>
  <si>
    <t>Potassium, ion</t>
  </si>
  <si>
    <t>Silicon</t>
  </si>
  <si>
    <t>Silicon dioxide</t>
  </si>
  <si>
    <t>Silver</t>
  </si>
  <si>
    <t>Sodium</t>
  </si>
  <si>
    <t>Sulfur dioxide</t>
  </si>
  <si>
    <t>Tin</t>
  </si>
  <si>
    <t>Water</t>
  </si>
  <si>
    <t>Water, river</t>
  </si>
  <si>
    <t>174-337</t>
  </si>
  <si>
    <t>174-338</t>
  </si>
  <si>
    <t>174-339</t>
  </si>
  <si>
    <t>174-340</t>
  </si>
  <si>
    <t>174-341</t>
  </si>
  <si>
    <t>174-357</t>
  </si>
  <si>
    <t>174-358</t>
  </si>
  <si>
    <t>174-359</t>
  </si>
  <si>
    <t>174-360</t>
  </si>
  <si>
    <t>174-361</t>
  </si>
  <si>
    <t>174-342</t>
  </si>
  <si>
    <t>174-343</t>
  </si>
  <si>
    <t>174-344</t>
  </si>
  <si>
    <t>174-345</t>
  </si>
  <si>
    <t>174-346</t>
  </si>
  <si>
    <t>174-347</t>
  </si>
  <si>
    <t>174-348</t>
  </si>
  <si>
    <t>174-349</t>
  </si>
  <si>
    <t>174-350</t>
  </si>
  <si>
    <t>174-351</t>
  </si>
  <si>
    <t>174-352</t>
  </si>
  <si>
    <t>174-353</t>
  </si>
  <si>
    <t>174-354</t>
  </si>
  <si>
    <t>174-355</t>
  </si>
  <si>
    <t>174-356</t>
  </si>
  <si>
    <t>174-362</t>
  </si>
  <si>
    <t>174-363</t>
  </si>
  <si>
    <t>174-364</t>
  </si>
  <si>
    <t>174-365</t>
  </si>
  <si>
    <t>174-366</t>
  </si>
  <si>
    <t>174-367</t>
  </si>
  <si>
    <t>174-368</t>
  </si>
  <si>
    <t>174-369</t>
  </si>
  <si>
    <t>174-370</t>
  </si>
  <si>
    <t>174-371</t>
  </si>
  <si>
    <t>174-372</t>
  </si>
  <si>
    <t>174-373</t>
  </si>
  <si>
    <t>174-374</t>
  </si>
  <si>
    <t>174-375</t>
  </si>
  <si>
    <t>174-376</t>
  </si>
  <si>
    <t>401-101-008</t>
  </si>
  <si>
    <t>401-050-005</t>
  </si>
  <si>
    <t>401-023-005</t>
  </si>
  <si>
    <t>401-009-005</t>
  </si>
  <si>
    <t>Photovoltaic installation with a capacity of 3kWp and a life time of 30 years installed in RER.</t>
  </si>
  <si>
    <t>Installation in Europe</t>
  </si>
  <si>
    <t>Installation in US / North America</t>
  </si>
  <si>
    <t>Installation in Asia &amp; Pacific</t>
  </si>
  <si>
    <t>Installation in China</t>
  </si>
  <si>
    <t>174-377</t>
  </si>
  <si>
    <t>174-378</t>
  </si>
  <si>
    <t>174-379</t>
  </si>
  <si>
    <t>174-380</t>
  </si>
  <si>
    <t>Consumption mix for use in US. Transport of modules from overseas.</t>
  </si>
  <si>
    <t>Shares of production in US (44%) and import from China (56%).</t>
  </si>
  <si>
    <t>Shares of production in Europe (15%) and import from APAC (6%) and China (79%).</t>
  </si>
  <si>
    <t>Data refer to 2011.</t>
  </si>
  <si>
    <t>Estimation for share of products on US market.</t>
  </si>
  <si>
    <t>Estimation for share of products on APAC market.</t>
  </si>
  <si>
    <t>Data refer to 2011</t>
  </si>
  <si>
    <t>(4,5,na,na,na,na); Import of modules from CN-EU: 19994 km, CN-US: 20755 km, CN-APAC: 4584 km</t>
  </si>
  <si>
    <t>(4,5,na,na,na,na); Standard distance 200km</t>
  </si>
  <si>
    <t>174-381</t>
  </si>
  <si>
    <t>174-382</t>
  </si>
  <si>
    <t>174-383</t>
  </si>
  <si>
    <t>174-384</t>
  </si>
  <si>
    <t>Gate to gate inventory for the production of high purity polycrystalline silicon from MG-silicon in FBR. Emissions and ressource uses are only roughly estimated.</t>
  </si>
  <si>
    <t>Process for FBR is based on the Siemens process with an adjusted electricity demand (30% of Siemens Process) according to de Wild-Scholten &amp; Alsema 2005</t>
  </si>
  <si>
    <t>No actual data for FBR technology available, estimation based on the Siemens process with reduced electricity demand</t>
  </si>
  <si>
    <t>401-101-007</t>
  </si>
  <si>
    <t>174-385</t>
  </si>
  <si>
    <t>silver, at regional storage</t>
  </si>
  <si>
    <t>lead, at regional storage</t>
  </si>
  <si>
    <t>silica sand, at plant</t>
  </si>
  <si>
    <t>aluminium alloy, AlMg3, at plant</t>
  </si>
  <si>
    <t>copper, at regional storage</t>
  </si>
  <si>
    <t>solar glass, low-iron, at regional storage</t>
  </si>
  <si>
    <t>flat glass, uncoated, at plant</t>
  </si>
  <si>
    <t>cadmium telluride, semiconductor-grade, at plant</t>
  </si>
  <si>
    <t>cadmium sulphide, semiconductor-grade, at plant</t>
  </si>
  <si>
    <t>nickel, 99.5%, at plant</t>
  </si>
  <si>
    <t>brazing solder, cadmium free, at plant</t>
  </si>
  <si>
    <t>ethylvinylacetate, foil, at plant</t>
  </si>
  <si>
    <t>polyvinylfluoride film, at plant</t>
  </si>
  <si>
    <t>polyethylene terephthalate, granulate, amorphous, at plant</t>
  </si>
  <si>
    <t>silicone product, at plant</t>
  </si>
  <si>
    <t>molybdenum, at regional storage</t>
  </si>
  <si>
    <t>indium, at regional storage</t>
  </si>
  <si>
    <t>gallium, semiconductor-grade, at regional storage</t>
  </si>
  <si>
    <t>selenium, at plant</t>
  </si>
  <si>
    <t>zinc, primary, at regional storage</t>
  </si>
  <si>
    <t>tin, at regional storage</t>
  </si>
  <si>
    <t>soft solder, Sn97Cu3, at plant</t>
  </si>
  <si>
    <t>packaging film, LDPE, at plant</t>
  </si>
  <si>
    <t>silicon tetrahydride, at plant</t>
  </si>
  <si>
    <t>CN</t>
  </si>
  <si>
    <t>wire drawing, copper</t>
  </si>
  <si>
    <t>water, deionised, at plant</t>
  </si>
  <si>
    <t>nitrogen, liquid, at plant</t>
  </si>
  <si>
    <t>hydrogen, liquid, at plant</t>
  </si>
  <si>
    <t>argon, liquid, at plant</t>
  </si>
  <si>
    <t>diborane, at plant</t>
  </si>
  <si>
    <t>oxygen, liquid, at plant</t>
  </si>
  <si>
    <t>chemicals organic, at plant</t>
  </si>
  <si>
    <t>disposal, solvents mixture, 16.5% water, to hazardous waste incineration</t>
  </si>
  <si>
    <t>disposal, glass, 0% water, to municipal incineration</t>
  </si>
  <si>
    <t>disposal, rubber, unspecified, 0% water, to municipal incineration</t>
  </si>
  <si>
    <t>in water</t>
  </si>
  <si>
    <t>NA</t>
  </si>
  <si>
    <t>single-Si wafer, photovoltaics, at plant</t>
  </si>
  <si>
    <t>multi-Si wafer, at plant</t>
  </si>
  <si>
    <t>photovoltaic cell, single-Si, at plant</t>
  </si>
  <si>
    <t>photovoltaic cell, multi-Si, at plant</t>
  </si>
  <si>
    <t>photovoltaic panel, multi-Si, at plant</t>
  </si>
  <si>
    <t>de Wild-Scholten (2014) Life Cycle Assessment of Photovoltaics Status 2011, Part 1 Data Collection (Table 37)</t>
  </si>
  <si>
    <t>174-001</t>
  </si>
  <si>
    <t>XXX</t>
  </si>
  <si>
    <t>Internal recycling from single Si wafer cutting loss</t>
  </si>
  <si>
    <t>Phosphoryl chloride</t>
  </si>
  <si>
    <t>Silicon nitride</t>
  </si>
  <si>
    <t>terpineol alpha</t>
  </si>
  <si>
    <t>NO2</t>
  </si>
  <si>
    <t>MG-silicon, at plant</t>
  </si>
  <si>
    <t>electricity, medium voltage, at grid</t>
  </si>
  <si>
    <t>(2,2,2,1,1,3); Literature, lower range to account for heat recovery</t>
  </si>
  <si>
    <t>wood chips, mixed, u=120%, at forest</t>
  </si>
  <si>
    <t>(2,2,2,1,1,3); Literature, 1.35 kg</t>
  </si>
  <si>
    <t>hard coal coke, at plant</t>
  </si>
  <si>
    <t>(2,2,2,1,1,3); Literature, coal</t>
  </si>
  <si>
    <t>graphite, at plant</t>
  </si>
  <si>
    <t>(2,2,2,1,1,3); Literature, graphite electrodes</t>
  </si>
  <si>
    <t>charcoal, at plant</t>
  </si>
  <si>
    <t>(2,2,2,1,1,3); Literature</t>
  </si>
  <si>
    <t>petroleum coke, at refinery</t>
  </si>
  <si>
    <t>(3,4,3,3,1,5); Literature</t>
  </si>
  <si>
    <t>(3,4,3,3,1,5)</t>
  </si>
  <si>
    <t>disposal, slag from MG silicon production, 0% water, to inert material landfill</t>
  </si>
  <si>
    <t>silicone plant</t>
  </si>
  <si>
    <t>(1,2,2,1,3,3); Estimation</t>
  </si>
  <si>
    <t>(4,5,na,na,na,na); Charcoal from Asia 15000km</t>
  </si>
  <si>
    <t>(4,5,na,na,na,na); Standard distance 50km, 20km for sand</t>
  </si>
  <si>
    <t>(4,5,na,na,na,na); Standard distance 100km</t>
  </si>
  <si>
    <t>(2,2,2,1,1,3); Calculation based on fuel and electricity use minus 25 MJ/kg</t>
  </si>
  <si>
    <t>(3,4,3,3,1,5); Literature, in dust</t>
  </si>
  <si>
    <t>low population density</t>
  </si>
  <si>
    <t>(2,2,2,1,1,3); Calculation, biogenic fuels</t>
  </si>
  <si>
    <t>(2,2,2,1,1,3); Calculation, fossil fuels</t>
  </si>
  <si>
    <t>(3,4,3,3,1,5); Estimation</t>
  </si>
  <si>
    <t>(3,2,2,1,1,3); Calculation based on environmental report</t>
  </si>
  <si>
    <t>(3,4,3,3,1,5); Literature, SiO2 in dust</t>
  </si>
  <si>
    <t>silicon, electronic grade, at plant</t>
  </si>
  <si>
    <t>silicon, electronic grade, off-grade, at plant</t>
  </si>
  <si>
    <t>silicon tetrachloride, at plant</t>
  </si>
  <si>
    <t>Water, cooling, unspecified natural origin</t>
  </si>
  <si>
    <t>(4,4,3,3,1,5); Literature 1997</t>
  </si>
  <si>
    <t>(3,1,3,1,1,5); Literature 1997</t>
  </si>
  <si>
    <t>(3,1,3,1,1,5); Literature 1998</t>
  </si>
  <si>
    <t>(4,4,4,3,4,5); Literature, Hagedorn, different plastics</t>
  </si>
  <si>
    <t>hydrochloric acid, 30% in H2O, at plant</t>
  </si>
  <si>
    <t>(3,na,1,1,1,na); Estimation, produced on site</t>
  </si>
  <si>
    <t>(4,4,3,3,1,5); Literature 1997, produced on site</t>
  </si>
  <si>
    <t>tetrafluoroethylene, at plant</t>
  </si>
  <si>
    <t>(4,4,4,3,4,5); Hagedorn 1992, fittings</t>
  </si>
  <si>
    <t>sodium hydroxide, 50% in H2O, production mix, at plant</t>
  </si>
  <si>
    <t>(4,4,3,3,1,5); Literature 1997, neutralization of wastes</t>
  </si>
  <si>
    <t>(4,4,4,3,4,5); Hagedorn 1992, graphite</t>
  </si>
  <si>
    <t>(4,5,na,na,na,na); Standard distances 100km, MG-Si 2000km</t>
  </si>
  <si>
    <t>(4,5,na,na,na,na); Standard distances 200km</t>
  </si>
  <si>
    <t>water, completely softened, at plant</t>
  </si>
  <si>
    <t>(2,2,1,1,3,3); Environmental report 2002</t>
  </si>
  <si>
    <t>heat, at cogen 1MWe lean burn, allocation exergy</t>
  </si>
  <si>
    <t>(3,1,3,1,1,5); Literature 1997, basic uncertainty = 1.5</t>
  </si>
  <si>
    <t>electricity, at cogen 1MWe lean burn, allocation exergy</t>
  </si>
  <si>
    <t>electricity, hydropower, at run-of-river power plant</t>
  </si>
  <si>
    <t>disposal, plastics, mixture, 15.3% water, to municipal incineration</t>
  </si>
  <si>
    <t>(4,4,4,3,4,5); Hagedorn 1992</t>
  </si>
  <si>
    <t>(1,1,1,1,3,3); Estimation</t>
  </si>
  <si>
    <t>(1,2,1,1,3,3); Calculation with electricity use minus 180 MJ per kg produced silicon</t>
  </si>
  <si>
    <t>(1,2,1,1,3,3); Environmental report 2002, average Si product</t>
  </si>
  <si>
    <t>silicon, solar grade, modified Siemens process, at plant</t>
  </si>
  <si>
    <t>(2,3,1,2,1,3); Literature</t>
  </si>
  <si>
    <t>(3,3,1,2,1,3); de Wild 2007, share of NaOH, HCl and H2 estimated with EG-Si data</t>
  </si>
  <si>
    <t>(4,5,na,na,na,na); Distance 2000km plus 100 km for chemicals</t>
  </si>
  <si>
    <t>(4,5,na,na,na,na); 600km for chemicals including solvent</t>
  </si>
  <si>
    <t>(2,3,2,2,3,2); Transport of REC silicon from US to European market</t>
  </si>
  <si>
    <t>(2,3,1,2,1,3); on-site plant of Wacker in Germany</t>
  </si>
  <si>
    <t>(2,3,1,2,1,3); production of REC and of Wacker's hydropower plant</t>
  </si>
  <si>
    <t>(2,3,1,2,1,3); production of Elkem in Norway</t>
  </si>
  <si>
    <t>(2,3,1,2,1,3); production in China</t>
  </si>
  <si>
    <t>(2,3,1,2,1,3); production in US</t>
  </si>
  <si>
    <t>(2,3,1,2,1,3); production in Asia and Pacific</t>
  </si>
  <si>
    <t>(2,3,1,2,1,3); literature, for process heat</t>
  </si>
  <si>
    <t>(1,3,1,2,3,3); Estimation</t>
  </si>
  <si>
    <t>(2,3,1,2,1,3); Calculation</t>
  </si>
  <si>
    <t>silicon, solar grade, fluidised bed reactor (FBR), at plant</t>
  </si>
  <si>
    <t>(3,1,1,1,1,1); Literature</t>
  </si>
  <si>
    <t>(4,5,na,na,na,na); (4,5,na,na,na,na); Import of modules from CN-EU: 19994 km, CN-US: 20755 km, CN-APAC: 4584 km</t>
  </si>
  <si>
    <t>(4,5,na,na,na,na); (4,5,na,na,na,na); Standard distance 200km</t>
  </si>
  <si>
    <t>(4,5,na,na,na,na); (4,5,na,na,na,na); Standard distance 50km</t>
  </si>
  <si>
    <t>(1,4,1,2,1,5); de Wild-Scholten (2014) Life Cycle Assessment of Photovoltaics Status 2011, Part 1 Data Collection (table 9)</t>
  </si>
  <si>
    <t>electricity, medium voltage, production ENTSO, at grid</t>
  </si>
  <si>
    <t>ENTSO</t>
  </si>
  <si>
    <t>natural gas, burned in industrial furnace low-NOx &gt;100kW</t>
  </si>
  <si>
    <t>hydrogen fluoride, at plant</t>
  </si>
  <si>
    <t>(3,4,3,3,3,5); de Wild-Scholten (2014) Life Cycle Assessment of Photovoltaics Status 2011, Part 1 Data Collection (table 9)</t>
  </si>
  <si>
    <t>nitric acid, 50% in H2O, at plant</t>
  </si>
  <si>
    <t>acetic acid, 98% in H2O, at plant</t>
  </si>
  <si>
    <t>acetone, liquid, at plant</t>
  </si>
  <si>
    <t>ceramic tiles, at regional storage</t>
  </si>
  <si>
    <t>lime, hydrated, packed, at plant</t>
  </si>
  <si>
    <t>(3,4,3,3,3,5); waste water treatment, Hagedorn 1992</t>
  </si>
  <si>
    <t>(4,5,na,na,na,na); Standard distance 100km, sand 50km, silicon 1000km</t>
  </si>
  <si>
    <t>(4,5,na,na,na,na); de Wild-Scholten (2014) Life Cycle Assessment of Photovoltaics Status 2011, Part 1 Data Collection (table 9)</t>
  </si>
  <si>
    <t>(1,2,1,1,3,3); Estimation</t>
  </si>
  <si>
    <t>disposal, waste, Si waferprod., inorg, 9.4% water, to residual material landfill</t>
  </si>
  <si>
    <t>(3,3,2,3,1,5); de Wild-Scholten (2014) Life Cycle Assessment of Photovoltaics Status 2011, Part 1 Data Collection (table 9)</t>
  </si>
  <si>
    <t>(3,4,3,3,1,5); de Wild-Scholten (2014) Life Cycle Assessment of Photovoltaics Status 2011, Part 1 Data Collection (table 9)</t>
  </si>
  <si>
    <t>(5,na,1,1,1,na); Extrapolation for sum parameter</t>
  </si>
  <si>
    <t>(3,4,3,3,1,5); Environmental report Wacker 2006, 50% of total emissions</t>
  </si>
  <si>
    <t>(3,4,2,3,1,5); de Wild-Scholten (2014) Life Cycle Assessment of Photovoltaics Status 2011, Part 1 Data Collection (table 12)</t>
  </si>
  <si>
    <t>(3,3,2,3,1,5); de Wild-Scholten (2014) Life Cycle Assessment of Photovoltaics Status 2011, Part 1 Data Collection (table 12)</t>
  </si>
  <si>
    <t>(1,2,1,1,1,3); de Wild-Scholten (2014) Life Cycle Assessment of Photovoltaics Status 2011, Part 1 Data Collection (table 12)</t>
  </si>
  <si>
    <t>helium, at plant</t>
  </si>
  <si>
    <t>(4,5,na,na,na,na); Standard distances 50km, silicon 1000km</t>
  </si>
  <si>
    <t>(4,5,na,na,na,na); Standard distances 100km</t>
  </si>
  <si>
    <t>(3,3,2,3,1,5); Calculation</t>
  </si>
  <si>
    <t>multi-Si wafer, ribbon, at plant</t>
  </si>
  <si>
    <t>single-Si wafer, electronics, at plant</t>
  </si>
  <si>
    <t>(3,4,1,3,1,5); de Wild-Scholten (2014) Life Cycle Assessment of Photovoltaics Status 2011, Part 1 Data Collection (Table 19,25)</t>
  </si>
  <si>
    <t>(1,2,1,1,1,3); de Wild-Scholten (2014) Life Cycle Assessment of Photovoltaics Status 2011, Part 1 Data Collection (Table 19,25)</t>
  </si>
  <si>
    <t>(3,4,2,3,1,5); de Wild-Scholten (2014) Life Cycle Assessment of Photovoltaics Status 2011, Part 1 Data Collection (Table 19,25)</t>
  </si>
  <si>
    <t>silicon carbide, at plant</t>
  </si>
  <si>
    <t>silicon carbide, recycling, at plant</t>
  </si>
  <si>
    <t>(5,4,1,3,1,5); de Wild-Scholten (2014) Life Cycle Assessment of Photovoltaics Status 2011, Part 1 Data Collection (Table 19,25)</t>
  </si>
  <si>
    <t>triethylene glycol, at plant</t>
  </si>
  <si>
    <t>triethylene glycol, recycling, at plant</t>
  </si>
  <si>
    <t>dipropylene glycol monomethyl ether, at plant</t>
  </si>
  <si>
    <t>alkylbenzene sulfonate, linear, petrochemical, at plant</t>
  </si>
  <si>
    <t>acrylic binder, 34% in H2O, at plant</t>
  </si>
  <si>
    <t>glass wool mat, at plant</t>
  </si>
  <si>
    <t>(2,2,1,1,1,na); de Wild-Scholten (2014) Life Cycle Assessment of Photovoltaics Status 2011, Part 1 Data Collection (Table 19,25)</t>
  </si>
  <si>
    <t>paper, woodfree, coated, at integrated mill</t>
  </si>
  <si>
    <t>(3,4,3,3,1,5); de Wild-Scholten (2014) Life Cycle Assessment of Photovoltaics Status 2011, Part 1 Data Collection (Table 19,25)</t>
  </si>
  <si>
    <t>(4,4,3,3,1,5); de Wild-Scholten (2014) Life Cycle Assessment of Photovoltaics Status 2011, Part 1 Data Collection (Table 19,25)</t>
  </si>
  <si>
    <t>brass, at plant</t>
  </si>
  <si>
    <t>disposal, waste, silicon wafer production, 0% water, to underground deposit</t>
  </si>
  <si>
    <t>disposal, municipal solid waste, 22.9% water, to sanitary landfill</t>
  </si>
  <si>
    <t>(2,4,1,3,1,5); de Wild-Scholten (2014) Life Cycle Assessment of Photovoltaics Status 2011, Part 1 Data Collection (Table 19,25)</t>
  </si>
  <si>
    <t>(4,5,na,na,na,na); de Wild-Scholten (2014) Life Cycle Assessment of Photovoltaics Status 2011, Part 1 Data Collection (Table 19,25)</t>
  </si>
  <si>
    <t>wafer factory</t>
  </si>
  <si>
    <t>(2,4,2,3,1,5); de Wild-Scholten (2014) Life Cycle Assessment of Photovoltaics Status 2011, Part 1 Data Collection (Table 19,25)</t>
  </si>
  <si>
    <t>isopropanol, at plant</t>
  </si>
  <si>
    <t>lactic acid , at plant</t>
  </si>
  <si>
    <t>lubricating oil, at plant</t>
  </si>
  <si>
    <t>multi-Si wafer, at regional storage</t>
  </si>
  <si>
    <t>single-Si wafer, photovoltaics, at regional storage</t>
  </si>
  <si>
    <t>(5,1,1,1,1,5); Market shares European wafers</t>
  </si>
  <si>
    <t>(5,1,1,1,1,5); Market shares Chinese wafers</t>
  </si>
  <si>
    <t>(5,1,1,1,1,5); Market shares US wafers</t>
  </si>
  <si>
    <t>(5,1,1,1,1,5); Market shares APAC wafers</t>
  </si>
  <si>
    <t>photovoltaic cell, ribbon-Si, at plant</t>
  </si>
  <si>
    <t>(1,2,1,1,1,3); de Wild-Scholten (2014) Life Cycle Assessment of Photovoltaics Status 2011, Part 1 Data Collection (Table 30,31)</t>
  </si>
  <si>
    <t>light fuel oil, burned in industrial furnace 1MW, non-modulating</t>
  </si>
  <si>
    <t>metallization paste, front side, at plant</t>
  </si>
  <si>
    <t>metallization paste, back side, at plant</t>
  </si>
  <si>
    <t>metallization paste, back side, aluminium, at plant</t>
  </si>
  <si>
    <t>ammonia, liquid, at regional storehouse</t>
  </si>
  <si>
    <t>phosphoric acid, fertiliser grade, 70% in H2O, at plant</t>
  </si>
  <si>
    <t>phosphoryl chloride, at plant</t>
  </si>
  <si>
    <t>titanium dioxide, production mix, at plant</t>
  </si>
  <si>
    <t>ethanol from ethylene, at plant</t>
  </si>
  <si>
    <t>solvents, organic, unspecified, at plant</t>
  </si>
  <si>
    <t>sodium silicate, spray powder 80%, at plant</t>
  </si>
  <si>
    <t>calcium chloride, CaCl2, at regional storage</t>
  </si>
  <si>
    <t>hydrogen peroxide, 50% in H2O, at plant</t>
  </si>
  <si>
    <t>sulphuric acid, liquid, at plant</t>
  </si>
  <si>
    <t>refrigerant R134a, at plant</t>
  </si>
  <si>
    <t>potassium hydroxide, at regional storage</t>
  </si>
  <si>
    <t>ammonium sulphate, as N, at regional storehouse</t>
  </si>
  <si>
    <t>polystyrene, expandable, at plant</t>
  </si>
  <si>
    <t>(4,5,na,na,na,na); de Wild-Scholten (2014) Life Cycle Assessment of Photovoltaics Status 2011, Part 1 Data Collection (Table 30,31)</t>
  </si>
  <si>
    <t>treatment, PV cell production effluent, to wastewater treatment, class 3</t>
  </si>
  <si>
    <t>(3,4,3,3,1,5); de Wild-Scholten (2014) Life Cycle Assessment of Photovoltaics Status 2011, Part 1 Data Collection (Table 30,31)</t>
  </si>
  <si>
    <t>Methane, tetrafluoro-, R-14</t>
  </si>
  <si>
    <t>photovoltaic panel, single-Si, at plant</t>
  </si>
  <si>
    <t>photovoltaic laminate, single-Si, at plant</t>
  </si>
  <si>
    <t>photovoltaic laminate, multi-Si, at plant</t>
  </si>
  <si>
    <t>photovoltaic laminate, ribbon-Si, at plant</t>
  </si>
  <si>
    <t>photovoltaic panel, ribbon-Si, at plant</t>
  </si>
  <si>
    <t>(3,3,1,1,1,3); de Wild-Scholten (2014) Life Cycle Assessment of Photovoltaics Status 2011, Part 1 Data Collection (Table 37)</t>
  </si>
  <si>
    <t>(3,3,1,1,1,3)</t>
  </si>
  <si>
    <t>diesel, burned in building machine</t>
  </si>
  <si>
    <t>(3,4,3,3,1,5); de Wild-Scholten (2014) Life Cycle Assessment of Photovoltaics Status 2011, Part 1 Data Collection (Table 37)</t>
  </si>
  <si>
    <t>photovoltaic panel factory</t>
  </si>
  <si>
    <t>(1,4,1,3,1,3); de Wild-Scholten (2014) Life Cycle Assessment of Photovoltaics Status 2011, Part 1 Data Collection (Table 37)</t>
  </si>
  <si>
    <t>(1,4,1,3,1,3)</t>
  </si>
  <si>
    <t>tempering, flat glass</t>
  </si>
  <si>
    <t>diode, unspecified, at plant</t>
  </si>
  <si>
    <t>(1,4,1,3,3,3); de Wild-Scholten (2014) Life Cycle Assessment of Photovoltaics Status 2011, Part 1 Data Collection (Table 37)</t>
  </si>
  <si>
    <t>(1,4,1,3,3,3)</t>
  </si>
  <si>
    <t>glass fibre reinforced plastic, polyamide, injection moulding, at plant</t>
  </si>
  <si>
    <t>methanol, at regional storage</t>
  </si>
  <si>
    <t>vinyl acetate, at plant</t>
  </si>
  <si>
    <t>1-propanol, at plant</t>
  </si>
  <si>
    <t>EUR-flat pallet</t>
  </si>
  <si>
    <t>soap, at plant</t>
  </si>
  <si>
    <t>(4,5,na,na,na,na); Standard distance 100km, cells 500km</t>
  </si>
  <si>
    <t>(4,5,na,na,na,na); Standard distance 600km</t>
  </si>
  <si>
    <t>disposal, municipal solid waste, 22.9% water, to municipal incineration</t>
  </si>
  <si>
    <t>(1,4,1,3,1,3); Alsema (personal communication) 2007, production waste</t>
  </si>
  <si>
    <t>disposal, polyvinylfluoride, 0.2% water, to municipal incineration</t>
  </si>
  <si>
    <t>(1,4,1,3,1,3); Calculation, including disposal of the panel after life time</t>
  </si>
  <si>
    <t>disposal, used mineral oil, 10% water, to hazardous waste incineration</t>
  </si>
  <si>
    <t>(1,4,1,3,1,3); Calculation, water use</t>
  </si>
  <si>
    <t>(3,4,3,3,1,5); Calculation, electricity use</t>
  </si>
  <si>
    <t>transport, aircraft, freight</t>
  </si>
  <si>
    <t>photovoltaic laminate, multi-Si, at regional storage</t>
  </si>
  <si>
    <t>photovoltaic laminate, single-Si, at regional storage</t>
  </si>
  <si>
    <t>photovoltaic panel, multi-Si, at regional storage</t>
  </si>
  <si>
    <t>photovoltaic panel, single-Si, at regional storage</t>
  </si>
  <si>
    <t>(5,1,1,1,1,5); modules produced in Europe</t>
  </si>
  <si>
    <t>(5,1,1,1,1,5); module import from US</t>
  </si>
  <si>
    <t>(5,1,1,1,1,5); module import from China</t>
  </si>
  <si>
    <t>(5,1,1,1,1,5); module import from APAC</t>
  </si>
  <si>
    <t>(4,5,na,na,na,na); Import of modules from China: 19994 km and Malaysia: 15549 km</t>
  </si>
  <si>
    <t>(4,5,na,na,na,na); Import of modules from China: 20755.364 km</t>
  </si>
  <si>
    <t>(3,4,3,3,1,5); Calculation</t>
  </si>
  <si>
    <t>photovoltaic laminate, CIS, at plant</t>
  </si>
  <si>
    <t>photovoltaic panel, CIS, at plant</t>
  </si>
  <si>
    <t>(1,1,1,1,1,3); company information, coating, air-conditioning, water purification, etc.</t>
  </si>
  <si>
    <t>natural gas, burned in boiler condensing modulating &gt;100kW</t>
  </si>
  <si>
    <t>(1,1,1,1,1,3); de Wild-Scholten (2014) Life Cycle Assessment of Photovoltaics Status 2011, Part 1 Data Collection (Table 46)</t>
  </si>
  <si>
    <t>(1,1,1,1,1,3); Raugei, literature</t>
  </si>
  <si>
    <t>(1,4,1,3,1,3); Assumption</t>
  </si>
  <si>
    <t>(1,1,1,1,1,3); company information</t>
  </si>
  <si>
    <t>(1,1,1,1,1,3); Assumption</t>
  </si>
  <si>
    <t>aluminium, production mix, at plant</t>
  </si>
  <si>
    <t>(3,2,2,1,1,3); company information and assumption for share of metals</t>
  </si>
  <si>
    <t>flux, wave soldering, at plant</t>
  </si>
  <si>
    <t>zinc oxide, at plant</t>
  </si>
  <si>
    <t>polyvinylbutyral foil, at plant</t>
  </si>
  <si>
    <t>polyphenylene sulfide, at plant</t>
  </si>
  <si>
    <t>(3,1,3,1,1,3); Cleaning agent, Ampenberg 1998</t>
  </si>
  <si>
    <t>(1,1,1,1,1,3); protection gas, company information</t>
  </si>
  <si>
    <t>butyl acrylate, at plant</t>
  </si>
  <si>
    <t>hydrogen sulphide, H2S, at plant</t>
  </si>
  <si>
    <t>(1,1,1,1,1,3); dip coating for CdS, company information</t>
  </si>
  <si>
    <t>urea, as N, at regional storehouse</t>
  </si>
  <si>
    <t>(3,1,3,1,1,3); dip coating for CdS, Ampenberg 1998</t>
  </si>
  <si>
    <t>(3,1,1,1,3,3); company information, amount of deposited waste, own estimation for type</t>
  </si>
  <si>
    <t>(1,1,1,1,1,3); Calculation for plastic parts burned after recycling</t>
  </si>
  <si>
    <t>disposal, inert waste, 5% water, to inert material landfill</t>
  </si>
  <si>
    <t>treatment, glass production effluent, to wastewater treatment, class 2</t>
  </si>
  <si>
    <t>treatment, sewage, unpolluted, to wastewater treatment, class 3</t>
  </si>
  <si>
    <t>(1,1,1,1,1,3); Calculation</t>
  </si>
  <si>
    <t>(3,4,3,3,1,5); Rough estimation</t>
  </si>
  <si>
    <t>photovoltaic laminate, a-Si, at plant</t>
  </si>
  <si>
    <t>photovoltaic panel, a-Si, at plant</t>
  </si>
  <si>
    <t>(3,3,2,1,1,na); Pacca 2006</t>
  </si>
  <si>
    <t>(4,3,2,1,1,na); Assumption</t>
  </si>
  <si>
    <t>(3,3,2,1,1,na); Busbar and wire</t>
  </si>
  <si>
    <t>(3,3,2,1,1,na); Solder lead</t>
  </si>
  <si>
    <t>(3,3,2,1,1,na); Solder tin</t>
  </si>
  <si>
    <t>(3,3,2,1,1,na); Madico, window film</t>
  </si>
  <si>
    <t>(3,3,2,1,1,na); Duraseal, coating of cables and rubber wire insulation</t>
  </si>
  <si>
    <t>(3,4,2,1,3,na); Indium tin oxide, amount less than 0.05%</t>
  </si>
  <si>
    <t>(3,4,2,1,3,na); Cadmium stannate (Cd2SnO4), amount less than 0.05%</t>
  </si>
  <si>
    <t>(3,3,2,1,1,na); Phosphine (H3P)</t>
  </si>
  <si>
    <t>polyethylene, LDPE, granulate, at plant</t>
  </si>
  <si>
    <t>(4,5,na,na,na,na); Standard distance 15km disposal</t>
  </si>
  <si>
    <t>(3,3,2,1,1,na); Pacca 2006, specific investigation of supplies</t>
  </si>
  <si>
    <t>(4,3,2,1,1,na); Calculation for end of life disposal</t>
  </si>
  <si>
    <t>(4,3,2,1,1,na); Calculation with water use</t>
  </si>
  <si>
    <t>(1,1,1,1,1,3,BU:1.05); 2010 data for First Solar in Germany</t>
  </si>
  <si>
    <t xml:space="preserve">(1,1,1,1,1,3,BU:1.05); </t>
  </si>
  <si>
    <t>(1,1,1,1,1,3,BU:1.05); 2010 data for First Solar in Malaysia</t>
  </si>
  <si>
    <t>(1,1,1,1,1,3,BU:1.05); 2011 data for First Solar in US</t>
  </si>
  <si>
    <t>natural gas, burned in boiler modulating &gt;100kW</t>
  </si>
  <si>
    <t>(1,1,1,1,1,3,BU:1.05); 2010 data for First Solar in US</t>
  </si>
  <si>
    <t>(3,4,3,1,1,3,BU:3); Assumption</t>
  </si>
  <si>
    <t>(1,2,2,3,1,3,BU:1.05); Fthenakis, literature</t>
  </si>
  <si>
    <t>(1,4,3,3,1,3,BU:1.05); Fthenakis, literature, sum up of several materials</t>
  </si>
  <si>
    <t>(1,4,3,3,1,3,BU:1.05); Fthenakis, literature, incl. Part of Cd compound powder</t>
  </si>
  <si>
    <t>(1,4,3,3,1,3,BU:1.05); Fthenakis, literature</t>
  </si>
  <si>
    <t>sodium chloride, powder, at plant</t>
  </si>
  <si>
    <t>chemicals inorganic, at plant</t>
  </si>
  <si>
    <t>(1,4,3,3,1,3,BU:1.05); Fthenakis, literature, sum up of several chemicals</t>
  </si>
  <si>
    <t>(1,1,1,1,1,3,BU:2); 2010 data for First Solar in Germany</t>
  </si>
  <si>
    <t>(1,1,1,1,1,3,BU:2); 2010 data for First Solar in Malaysia</t>
  </si>
  <si>
    <t>(1,1,1,1,1,3,BU:2); 2010 data for First Solar in US</t>
  </si>
  <si>
    <t xml:space="preserve">(1,1,1,1,1,3,BU:2); </t>
  </si>
  <si>
    <t>(1,4,3,3,1,3,BU:1.05); Alsema (personal communication) 2007, production waste</t>
  </si>
  <si>
    <t>(1,4,3,3,1,3,BU:1.05); Calculation</t>
  </si>
  <si>
    <t>(3,4,3,3,1,5,BU:1.05); Calculation</t>
  </si>
  <si>
    <t>(1,1,1,1,1,3,BU:5); 2010 data for First Solar in Germany</t>
  </si>
  <si>
    <t>(1,1,1,1,1,3,BU:5); 2010 data for First Solar in Malaysia</t>
  </si>
  <si>
    <t>(1,1,1,1,1,3,BU:5); 2010 data for First Solar in US</t>
  </si>
  <si>
    <t>(1,1,1,1,1,3,BU:3); 2010 data for First Solar in Germany</t>
  </si>
  <si>
    <t>(1,1,1,1,1,3,BU:3); 2010 data for First Solar in Malaysia</t>
  </si>
  <si>
    <t>(1,1,1,1,1,3,BU:3); 2010 data for First Solar in US</t>
  </si>
  <si>
    <t>photovoltaic laminate, CdTe, production US, at regional storage</t>
  </si>
  <si>
    <t>(3,4,1,1,1,3); CdTe module import from US</t>
  </si>
  <si>
    <t>(3,4,1,1,1,3); CdTe module production in Germany</t>
  </si>
  <si>
    <t>(3,4,1,1,1,3); CdTe module import from Malaysia</t>
  </si>
  <si>
    <t>(4,5,na,na,na,na); Import of modules from the US 6469 km, from Malaysia 14783 km</t>
  </si>
  <si>
    <t>open ground construction, on ground, Mont Soleil</t>
  </si>
  <si>
    <t>CZ single crystalline silicon, electronics, at plant</t>
  </si>
  <si>
    <t>fluorspar, 97%, at plant</t>
  </si>
  <si>
    <t>1,1-difluoroethane, HFC-152a, at plant</t>
  </si>
  <si>
    <t>vinyl fluoride, at plant</t>
  </si>
  <si>
    <t>polyvinylfluoride, at plant</t>
  </si>
  <si>
    <t>polyvinylfluoride, dispersion, at plant</t>
  </si>
  <si>
    <t>3kWp slanted-roof installation, single-Si, European laminate, integrated, on roof</t>
  </si>
  <si>
    <t>3kWp slanted-roof installation, single-Si, European panel, mounted, on roof</t>
  </si>
  <si>
    <t>3kWp slanted-roof installation, multi-Si, European laminate, integrated, on roof</t>
  </si>
  <si>
    <t>3kWp slanted-roof installation, multi-Si, European panel, mounted, on roof</t>
  </si>
  <si>
    <t>3kWp slanted-roof installation, multi-Si, Chinese panel, mounted, on roof</t>
  </si>
  <si>
    <t>3kWp slanted-roof installation, CdTe, German laminate, integrated, on roof</t>
  </si>
  <si>
    <t>electricity, PV, at 3kWp slanted-roof, single-Si, European laminate, integrated</t>
  </si>
  <si>
    <t>electricity, PV, at 3kWp slanted-roof, single-Si, European panel, mounted</t>
  </si>
  <si>
    <t>electricity, PV, at 3kWp slanted-roof, multi-Si, European laminate integrated</t>
  </si>
  <si>
    <t>electricity, PV, at 3kWp slanted-roof, multi-Si, European panel, mounted</t>
  </si>
  <si>
    <t>electricity, PV, at 3kWp slanted-roof, multi-Si, Chinese panel, mounted</t>
  </si>
  <si>
    <t>electricity, PV, at 3kWp slanted-roof, CdTe, German laminate, integrated</t>
  </si>
  <si>
    <t>NZ</t>
  </si>
  <si>
    <t>BE</t>
  </si>
  <si>
    <t>TR</t>
  </si>
  <si>
    <t>CZ</t>
  </si>
  <si>
    <t>FI</t>
  </si>
  <si>
    <t>GB</t>
  </si>
  <si>
    <t>GR</t>
  </si>
  <si>
    <t>HU</t>
  </si>
  <si>
    <t>IE</t>
  </si>
  <si>
    <t>LU</t>
  </si>
  <si>
    <t>Production mix of photovoltaic electricity in the country. Annual output, Roof-Top: 833, Annual output, Facade: 550 kWh/kWp. Amount of solar energy transformed to electricity. Waste heat emission due to losses of electricity in the system.</t>
  </si>
  <si>
    <t>Production mix of photovoltaic electricity in the country. Annual output, Roof-Top: 1080, Annual output, Facade: 701 kWh/kWp. Amount of solar energy transformed to electricity. Waste heat emission due to losses of electricity in the system.</t>
  </si>
  <si>
    <t>Production mix of photovoltaic electricity in the country. Annual output, Roof-Top: 725, Annual output, Facade: 496 kWh/kWp. Amount of solar energy transformed to electricity. Waste heat emission due to losses of electricity in the system.</t>
  </si>
  <si>
    <t>Production mix of photovoltaic electricity in the country. Annual output, Roof-Top: 1287, Annual output, Facade: 772 kWh/kWp. Amount of solar energy transformed to electricity. Waste heat emission due to losses of electricity in the system.</t>
  </si>
  <si>
    <t>Production mix of photovoltaic electricity in the country. Annual output, Roof-Top: 1000, Annual output, Facade: 676 kWh/kWp. Amount of solar energy transformed to electricity. Waste heat emission due to losses of electricity in the system.</t>
  </si>
  <si>
    <t>Production mix of photovoltaic electricity in the country. Annual output, Roof-Top: 752, Annual output, Facade: 504 kWh/kWp. Amount of solar energy transformed to electricity. Waste heat emission due to losses of electricity in the system.</t>
  </si>
  <si>
    <t>Production mix of photovoltaic electricity in the country. Annual output, Roof-Top: 744, Annual output, Facade: 516 kWh/kWp. Amount of solar energy transformed to electricity. Waste heat emission due to losses of electricity in the system.</t>
  </si>
  <si>
    <t>Production mix of photovoltaic electricity in the country. Annual output, Roof-Top: 782, Annual output, Facade: 564 kWh/kWp. Amount of solar energy transformed to electricity. Waste heat emission due to losses of electricity in the system.</t>
  </si>
  <si>
    <t>Production mix of photovoltaic electricity in the country. Annual output, Roof-Top: 1282, Annual output, Facade: 813 kWh/kWp. Amount of solar energy transformed to electricity. Waste heat emission due to losses of electricity in the system.</t>
  </si>
  <si>
    <t>Production mix of photovoltaic electricity in the country. Annual output, Roof-Top: 759, Annual output, Facade: 554 kWh/kWp. Amount of solar energy transformed to electricity. Waste heat emission due to losses of electricity in the system.</t>
  </si>
  <si>
    <t>Production mix of photovoltaic electricity in the country. Annual output, Roof-Top: 905, Annual output, Facade: 581 kWh/kWp. Amount of solar energy transformed to electricity. Waste heat emission due to losses of electricity in the system.</t>
  </si>
  <si>
    <t>Production mix of photovoltaic electricity in the country. Annual output, Roof-Top: 725, Annual output, Facade: 500 kWh/kWp. Amount of solar energy transformed to electricity. Waste heat emission due to losses of electricity in the system.</t>
  </si>
  <si>
    <t>Production mix of photovoltaic electricity in the country. Annual output, Roof-Top: 1175, Annual output, Facade: 712 kWh/kWp. Amount of solar energy transformed to electricity. Waste heat emission due to losses of electricity in the system.</t>
  </si>
  <si>
    <t>Production mix of photovoltaic electricity in the country. Annual output, Roof-Top: 908, Annual output, Facade: 603 kWh/kWp. Amount of solar energy transformed to electricity. Waste heat emission due to losses of electricity in the system.</t>
  </si>
  <si>
    <t>Production mix of photovoltaic electricity in the country. Annual output, Roof-Top: 746, Annual output, Facade: 536 kWh/kWp. Amount of solar energy transformed to electricity. Waste heat emission due to losses of electricity in the system.</t>
  </si>
  <si>
    <t>Production mix of photovoltaic electricity in the country. Annual output, Roof-Top: 949, Annual output, Facade: 622 kWh/kWp. Amount of solar energy transformed to electricity. Waste heat emission due to losses of electricity in the system.</t>
  </si>
  <si>
    <t>Production mix of photovoltaic electricity in the country. Annual output, Roof-Top: 878, Annual output, Facade: 580 kWh/kWp. Amount of solar energy transformed to electricity. Waste heat emission due to losses of electricity in the system.</t>
  </si>
  <si>
    <t>Production mix of photovoltaic electricity in the country. Annual output, Roof-Top: 793, Annual output, Facade: 535 kWh/kWp. Amount of solar energy transformed to electricity. Waste heat emission due to losses of electricity in the system.</t>
  </si>
  <si>
    <t>Production mix of photovoltaic electricity in the country. Annual output, Roof-Top: 815, Annual output, Facade: 562 kWh/kWp. Amount of solar energy transformed to electricity. Waste heat emission due to losses of electricity in the system.</t>
  </si>
  <si>
    <t>Production mix of photovoltaic electricity in the country. Annual output, Roof-Top: 800, Annual output, Facade: 620 kWh/kWp. Amount of solar energy transformed to electricity. Waste heat emission due to losses of electricity in the system.</t>
  </si>
  <si>
    <t>Production mix of photovoltaic electricity in the country. Annual output, Roof-Top: 1209, Annual output, Facade: 663 kWh/kWp. Amount of solar energy transformed to electricity. Waste heat emission due to losses of electricity in the system.</t>
  </si>
  <si>
    <t>Production mix of photovoltaic electricity in the country. Annual output, Roof-Top: 1276, Annual output, Facade: 789 kWh/kWp. Amount of solar energy transformed to electricity. Waste heat emission due to losses of electricity in the system.</t>
  </si>
  <si>
    <t>Production mix of photovoltaic electricity in the country. Annual output, Roof-Top: 791, Annual output, Facade: 588 kWh/kWp. Amount of solar energy transformed to electricity. Waste heat emission due to losses of electricity in the system.</t>
  </si>
  <si>
    <t>Production mix of photovoltaic electricity in the country. Annual output, Roof-Top: 921, Annual output, Facade: 620 kWh/kWp. Amount of solar energy transformed to electricity. Waste heat emission due to losses of electricity in the system.</t>
  </si>
  <si>
    <t>Production mix of photovoltaic electricity in the country. Annual output, Roof-Top: 1390, Annual output, Facade: 839 kWh/kWp. Amount of solar energy transformed to electricity. Waste heat emission due to losses of electricity in the system.</t>
  </si>
  <si>
    <t>MG-Silizium, ab Werk</t>
  </si>
  <si>
    <t>MG-Silizium, in Reinigung</t>
  </si>
  <si>
    <t>Silizium, Halbleiter, ab Werk</t>
  </si>
  <si>
    <t>Silizium, Halbleiter, verunreinigt, ab Werk</t>
  </si>
  <si>
    <t>Silizium, Solaranwendung, modifizierter Siemens Prozess, ab Werk</t>
  </si>
  <si>
    <t>Silizium, Solaranwendung, Wirbelschichtreaktor, ab Werk</t>
  </si>
  <si>
    <t>Silizium, Produktionsmix, Photovoltaik, ab Werk</t>
  </si>
  <si>
    <t>Siliziumkarbid, ab Werk</t>
  </si>
  <si>
    <t>Siliziumkarbid, Recycling, ab Werk</t>
  </si>
  <si>
    <t>CZ single-Silizium, Photovoltaik, ab Werk</t>
  </si>
  <si>
    <t>CZ single-Silizium, Elektronik, ab Werk</t>
  </si>
  <si>
    <t>Silizium, multi-Si, im Block, ab Werk</t>
  </si>
  <si>
    <t>Wafer, single-Si, Photovoltaik, ab Werk</t>
  </si>
  <si>
    <t>Wafer, multi-Si, ab Werk</t>
  </si>
  <si>
    <t>Wafer, single-Si, Elektronik, ab Werk</t>
  </si>
  <si>
    <t>Solarzelle, single-Si, ab Werk</t>
  </si>
  <si>
    <t>Solarzelle, multi-Si, ab Werk</t>
  </si>
  <si>
    <t>Solarlaminat, single-Si, ab Werk</t>
  </si>
  <si>
    <t>Solarlaminat, multi-Si, ab Werk</t>
  </si>
  <si>
    <t>Solarpaneel, single-Si, ab Werk</t>
  </si>
  <si>
    <t>Solarpaneel, multi-Si, ab Werk</t>
  </si>
  <si>
    <t>Solarlaminat, multi-Si, ab Regionallager</t>
  </si>
  <si>
    <t>Solarlaminat, single-Si, ab Regionallager</t>
  </si>
  <si>
    <t>Solarpaneel, multi-Si, ab Regionallager</t>
  </si>
  <si>
    <t>Solarpaneel, single-Si, ab Regionallager</t>
  </si>
  <si>
    <t>Wafer, multi-Si, ab Regionallager</t>
  </si>
  <si>
    <t>Wafer, single-Si, Photovoltaik, ab Regionallager</t>
  </si>
  <si>
    <t>Flussspat, 97%, ab Werk</t>
  </si>
  <si>
    <t>Fluorwasserstoff, ab Werk</t>
  </si>
  <si>
    <t>1,1-Difluorethan, HFC-152a, ab Werk</t>
  </si>
  <si>
    <t>Vinylfluorid, ab Werk</t>
  </si>
  <si>
    <t>Polyvinylfluorid, ab Werk</t>
  </si>
  <si>
    <t>Polyvinylfluorid, Dispersion, ab Werk</t>
  </si>
  <si>
    <t>Polyvinylfluorid-Folie, ab Werk</t>
  </si>
  <si>
    <t>Siliziumtetrachlorid, ab Werk</t>
  </si>
  <si>
    <t>Triethylenglykol, Recycling, ab Werk</t>
  </si>
  <si>
    <t>Waferfabrik</t>
  </si>
  <si>
    <t>PV-Zellenfabrik</t>
  </si>
  <si>
    <t>Photovoltaik-Paneel Fabrik</t>
  </si>
  <si>
    <t>Metallisierungspaste, Vorderseite, ab Werk</t>
  </si>
  <si>
    <t>Metallisierungspaste, Rückseite, ab Werk</t>
  </si>
  <si>
    <t>Metallisierungspaste, Rückseite, Aluminium, ab Werk</t>
  </si>
  <si>
    <t>Wafer, multi-Si, Ribbon, ab Werk</t>
  </si>
  <si>
    <t>Solarzelle, ribbon-Si, ab Werk</t>
  </si>
  <si>
    <t>Solarlaminat, ribbon-Si, ab Werk</t>
  </si>
  <si>
    <t>Solarpaneel, ribbon-Si, ab Werk</t>
  </si>
  <si>
    <t>Solarlaminat, a-Si, ab Werk</t>
  </si>
  <si>
    <t>Solarpaneel, a-Si, ab Werk</t>
  </si>
  <si>
    <t>Solarlaminat, CIS, ab Werk</t>
  </si>
  <si>
    <t>Solarpaneel, CIS, ab Werk</t>
  </si>
  <si>
    <t>Solarlaminat, CdTe, ab Werk</t>
  </si>
  <si>
    <t>Solarlaminat, CdTe, Mix, ab Regionallager</t>
  </si>
  <si>
    <t>Solarlaminat, CdTe, production US, ab Regionallager</t>
  </si>
  <si>
    <t>Elektroinstallationen, Photovoltaikanlage, ab Werk</t>
  </si>
  <si>
    <t>Fassadenkonstruktion, aufgesetzt, an Gebäude</t>
  </si>
  <si>
    <t>Fassadenkonstruktion, integriert, an Gebäude</t>
  </si>
  <si>
    <t>Flachdachkonstruktion, auf Dach</t>
  </si>
  <si>
    <t>Schrägdachkonstruktion, aufgesetzt, auf Dach</t>
  </si>
  <si>
    <t>Schrägdachkonstruktion, aufgesetzt, auf Dach, Stade de Suisse</t>
  </si>
  <si>
    <t>Schrägdachkonstruktion, integriert, auf Dach</t>
  </si>
  <si>
    <t>Freiflächenkonstruktion, am Boden</t>
  </si>
  <si>
    <t>Freiflächenkonstruktion, am Boden, Mont Soleil</t>
  </si>
  <si>
    <t>3kWp Fassadenanlage, single-Si, laminiert, integriert, an Gebäude</t>
  </si>
  <si>
    <t>3kWp Fassadenanlage, single-Si, Paneel, aufgesetzt, an Gebäude</t>
  </si>
  <si>
    <t>3kWp Fassadenanlage, multi-Si, laminiert, integriert, an Gebäude</t>
  </si>
  <si>
    <t>3kWp Fassadenanlage, multi-Si, Paneel, aufgesetzt, an Gebäude</t>
  </si>
  <si>
    <t>3kWp Flachdachanlage, single-Si, auf Dach</t>
  </si>
  <si>
    <t>3kWp Flachdachanlage, multi-Si, auf Dach</t>
  </si>
  <si>
    <t>3kWp Schrägdachanlage, single-Si, laminiert, integriert, auf Dach</t>
  </si>
  <si>
    <t>3kWp Schrägdachanlage, single-Si, Paneel, aufgesetzt, auf Dach</t>
  </si>
  <si>
    <t>3kWp Schrägdachanlage, multi-Si, laminiert, integriert, auf Dach</t>
  </si>
  <si>
    <t>3kWp Schrägdachanlage, multi-Si, Paneel, aufgesetzt, auf Dach</t>
  </si>
  <si>
    <t>3kWp Schrägdachanlage, single-Si, europäisches Laminat, integriert, auf Dach</t>
  </si>
  <si>
    <t>3kWp Schrägdachanlage, single-Si, europäisches Paneel, aufgesetzt, auf Dach</t>
  </si>
  <si>
    <t>3kWp Schrägdachanlage, multi-Si, europäisches Laminat, integriert, auf Dach</t>
  </si>
  <si>
    <t>3kWp Schrägdachanlage, multi-Si, europäisches Paneel, aufgesetzt, auf Dach</t>
  </si>
  <si>
    <t>3kWp Schrägdachanlage, multi-Si, chinesisches Paneel, aufgesetzt, auf Dach</t>
  </si>
  <si>
    <t>3kWp Schrägdachanlage, ribbon-Si, Pan, aufg, auf Dach</t>
  </si>
  <si>
    <t>3kWp Schrägdachanlage, ribbon-Si, laminiert, integriert, auf Dach</t>
  </si>
  <si>
    <t>3kWp Schrägdachanlage, CIS, Pan, aufg, auf Dach</t>
  </si>
  <si>
    <t>3kWp Schrägdachanlage, CdTe, laminiert, integriert, auf Dach</t>
  </si>
  <si>
    <t>3kWp Schrägdachanlage, CdTe, deutsches Laminat, integriert, auf Dach</t>
  </si>
  <si>
    <t>3kWp Schrägdachanlage, a-Si, laminiert, integriert, auf Dach</t>
  </si>
  <si>
    <t>3kWp Schrägdachanlage, a-Si, Pan, aufg, auf Dach</t>
  </si>
  <si>
    <t>Strom, Photovoltaik, ab 3kWp, Fassade, single-Si, laminiert, integriert</t>
  </si>
  <si>
    <t>Strom, Photovoltaik, ab 3kWp, Fassade, single-Si, Paneel, aufgesetzt</t>
  </si>
  <si>
    <t>Strom, Photovoltaik, ab 3kWp, Fassade, multi-Si, laminiert, integriert</t>
  </si>
  <si>
    <t>Strom, Photovoltaik, ab 3kWp, Fassade, multi-Si, Paneel, aufgesetzt</t>
  </si>
  <si>
    <t>Strom, Photovoltaik, ab 3kWp, Flachdach, single-Si</t>
  </si>
  <si>
    <t>Strom, Photovoltaik, ab 3kWp, Flachdach, multi-Si</t>
  </si>
  <si>
    <t>Strom, Photovoltaik, ab 3kWp, Schrägdach, single-Si, europäisches Laminat, integriert</t>
  </si>
  <si>
    <t>Strom, Photovoltaik, ab 3kWp, Schrägdach, single-Si, europäisches Paneel, aufgesetzt</t>
  </si>
  <si>
    <t>Strom, Photovoltaik, ab 3kWp, Schrägdach, multi-Si, europäisches Laminat, integriert</t>
  </si>
  <si>
    <t>Strom, Photovoltaik, ab 3kWp, Schrägdach, multi-Si, europäisches Paneel, aufgesetzt</t>
  </si>
  <si>
    <t>Strom, Photovoltaik, ab 3kWp, Schrägdach, multi-Si, chinesisches Paneel, aufgesetzt</t>
  </si>
  <si>
    <t>Strom, Photovoltaik, ab 3kWp, Schrägdach, single-Si, laminiert, integriert</t>
  </si>
  <si>
    <t>Strom, Photovoltaik, ab 3kWp, Schrägdach, single-Si, Paneel, aufgesetzt</t>
  </si>
  <si>
    <t>Strom, Photovoltaik, ab 3kWp, Schrägdach, multi-Si, laminiert, integriert</t>
  </si>
  <si>
    <t>Strom, Photovoltaik, ab 3kWp, Schrägdach, multi-Si, Paneel, aufgesetzt</t>
  </si>
  <si>
    <t>Strom, Photovoltaik, ab 3kWp, Schrägdach, ribbon-Si, Pan, aufg.</t>
  </si>
  <si>
    <t>Strom, Photovoltaik, ab 3kWp, Schrägdach, ribbon-Si, laminiert, integriert</t>
  </si>
  <si>
    <t>Strom, Photovoltaik, ab 3kWp, Schrägdach, CdTe, laminiert, integriert</t>
  </si>
  <si>
    <t>Strom, Photovoltaik, ab 3kWp, Schrägdach, CdTe, deutsches Laminat, integriert</t>
  </si>
  <si>
    <t>Strom, Photovoltaik, ab 3kWp, Schrägdach, CIS, Pan, aufg.</t>
  </si>
  <si>
    <t>Strom, Photovoltaik, ab 3kWp, Schrägdach, a-Si, laminiert, integriert</t>
  </si>
  <si>
    <t>Strom, Photovoltaik, ab 3kWp, Schrägdach, a-Si, Pan, aufg.</t>
  </si>
  <si>
    <t>Strommix, Photovoltaik, ab Anlage</t>
  </si>
  <si>
    <t>EG-Si</t>
  </si>
  <si>
    <t>silicon monocarbide // carborundum // carbolon</t>
  </si>
  <si>
    <t>polycrystaline</t>
  </si>
  <si>
    <t>Solarmodul//PV-module//cadmium telluride//thin film</t>
  </si>
  <si>
    <t>calcium fluoride</t>
  </si>
  <si>
    <t>Flusssäure</t>
  </si>
  <si>
    <t>R152a//1,1-Difluoroethylene</t>
  </si>
  <si>
    <t xml:space="preserve">Ethylene, fluoro-// Fluoroethene// Fluoroethylene// Monofluoroethylene// Vinyl fluoride// C2H3F// UN 1860// Vinyl fluoride, inhibited// 1-Fluoroethylene </t>
  </si>
  <si>
    <t>Tedlar//Tefzel</t>
  </si>
  <si>
    <t>PEG//polyethylene glycol</t>
  </si>
  <si>
    <t>Solarmodul//PV-module//amorphous silicon</t>
  </si>
  <si>
    <t>copper indium selenide//thin film//CIGS</t>
  </si>
  <si>
    <t>Solarmodul//PV-module//copper indium selenide//thin film//CIGS</t>
  </si>
  <si>
    <t>metals</t>
  </si>
  <si>
    <t>photovoltaic</t>
  </si>
  <si>
    <t>extraction</t>
  </si>
  <si>
    <t>refinement</t>
  </si>
  <si>
    <t>inorganics</t>
  </si>
  <si>
    <t>production of components</t>
  </si>
  <si>
    <t>organics</t>
  </si>
  <si>
    <t>power plants</t>
  </si>
  <si>
    <t>Metalle</t>
  </si>
  <si>
    <t>Chemikalien</t>
  </si>
  <si>
    <t>Photovoltaik</t>
  </si>
  <si>
    <t>Gewinnung</t>
  </si>
  <si>
    <t>Veredelung</t>
  </si>
  <si>
    <t>Anorganika</t>
  </si>
  <si>
    <t>Herstellung Komponenten</t>
  </si>
  <si>
    <t>Organisch</t>
  </si>
  <si>
    <t>Kraftwerke</t>
  </si>
  <si>
    <t>SiC</t>
  </si>
  <si>
    <t>CaF2</t>
  </si>
  <si>
    <t>HF</t>
  </si>
  <si>
    <t>C2H4F2</t>
  </si>
  <si>
    <t>C2H3F</t>
  </si>
  <si>
    <t>C2H6O2</t>
  </si>
  <si>
    <t>7440-21-3</t>
  </si>
  <si>
    <t>409-21-2</t>
  </si>
  <si>
    <t>14542-23-5</t>
  </si>
  <si>
    <t>73602-61-6</t>
  </si>
  <si>
    <t>75-37-6</t>
  </si>
  <si>
    <t>75-02-5</t>
  </si>
  <si>
    <t>24981-14-4</t>
  </si>
  <si>
    <t>10026-04-7</t>
  </si>
  <si>
    <t>112-27-6</t>
  </si>
  <si>
    <t>2000</t>
  </si>
  <si>
    <t>G:\Projekte laufend\174 Photovoltaic, IEA Task 12\2014 LCI PVPS\EcoSpold\Data Ricky\[174-photovoltaics-global-supply-chain-data-Ricky-v2.0.xlsx]X-Process</t>
  </si>
  <si>
    <t>833</t>
  </si>
  <si>
    <t>1080</t>
  </si>
  <si>
    <t>725</t>
  </si>
  <si>
    <t>1287</t>
  </si>
  <si>
    <t>1000</t>
  </si>
  <si>
    <t>752</t>
  </si>
  <si>
    <t>744</t>
  </si>
  <si>
    <t>782</t>
  </si>
  <si>
    <t>1282</t>
  </si>
  <si>
    <t>759</t>
  </si>
  <si>
    <t>905</t>
  </si>
  <si>
    <t>1175</t>
  </si>
  <si>
    <t>908</t>
  </si>
  <si>
    <t>746</t>
  </si>
  <si>
    <t>949</t>
  </si>
  <si>
    <t>878</t>
  </si>
  <si>
    <t>793</t>
  </si>
  <si>
    <t>815</t>
  </si>
  <si>
    <t>800</t>
  </si>
  <si>
    <t>1209</t>
  </si>
  <si>
    <t>1276</t>
  </si>
  <si>
    <t>791</t>
  </si>
  <si>
    <t>921</t>
  </si>
  <si>
    <t>1390</t>
  </si>
  <si>
    <t>550</t>
  </si>
  <si>
    <t>701</t>
  </si>
  <si>
    <t>496</t>
  </si>
  <si>
    <t>772</t>
  </si>
  <si>
    <t>676</t>
  </si>
  <si>
    <t>504</t>
  </si>
  <si>
    <t>516</t>
  </si>
  <si>
    <t>564</t>
  </si>
  <si>
    <t>813</t>
  </si>
  <si>
    <t>554</t>
  </si>
  <si>
    <t>581</t>
  </si>
  <si>
    <t>500</t>
  </si>
  <si>
    <t>712</t>
  </si>
  <si>
    <t>603</t>
  </si>
  <si>
    <t>536</t>
  </si>
  <si>
    <t>622</t>
  </si>
  <si>
    <t>580</t>
  </si>
  <si>
    <t>535</t>
  </si>
  <si>
    <t>562</t>
  </si>
  <si>
    <t>620</t>
  </si>
  <si>
    <t>663</t>
  </si>
  <si>
    <t>789</t>
  </si>
  <si>
    <t>588</t>
  </si>
  <si>
    <t>839</t>
  </si>
  <si>
    <t>electricity, low voltage, production ENTSO, at grid</t>
  </si>
  <si>
    <t xml:space="preserve">(3,4,3,1,1,5); </t>
  </si>
  <si>
    <t>324 kWp flat-roof installation, multi-Si, on roof</t>
  </si>
  <si>
    <t>450 kWp flat-roof installation, single-Si, on roof</t>
  </si>
  <si>
    <t>569 kWp open ground installation, multi-Si, on open ground</t>
  </si>
  <si>
    <t>570 kWp open ground installation, multi-Si, on open ground</t>
  </si>
  <si>
    <t>3.5 MWp open ground installation, multi-Si, on open ground</t>
  </si>
  <si>
    <t xml:space="preserve">(3,2,1,1,1,3); </t>
  </si>
  <si>
    <t>(3,2,1,1,1,3); yield at good installation, average is lower while optimum would be higher, basic uncertainty = 1.2</t>
  </si>
  <si>
    <t>(2,2,1,1,1,3); Calculation with average module efficiency</t>
  </si>
  <si>
    <t>(2,2,1,1,1,3); Calculation with average annual output and share of technologies. Basic uncertainty = 1.2</t>
  </si>
  <si>
    <t>Excluded flows (NA or zero)</t>
  </si>
  <si>
    <t>Excluded (no data or not relevant emissions)</t>
  </si>
  <si>
    <t>Excluded (no ship and aircraft transport during production of panels)</t>
  </si>
  <si>
    <t>4) Add a short comment, like the calculation procedure,...  in column P and the literature as cited in the report in the following column.</t>
  </si>
  <si>
    <t>There are two examples of ecospold processes in this file. One is a single output process (the ABS pipe) and the other is an example of a multioutput process (Silicon production). Normally you need the single output example as the template. To export it you have to copy it to X-Exchange. In X-Process you have to add the description of the process(es). X-Source contains the reference to the documents where your work or data is (will be) published. The persons mentioned in X-Person can be referenced in X-Process by their respective (arbitrary, but unique) number. The export function "Excel2Ecospold" only looks at X-Exchange, X-Process, X-Source and X-Person (other sheets are ignored). They must be present in the file for the export to work. If you want to also validate your process according to the XML-Schemata during export, you can turn on "Always validate Ecospold documents [...]" in the Ecospold options.</t>
  </si>
  <si>
    <t>2) Set the calculation to manual at the menu "Extra -&gt; Options -&gt; Calculations" (dt.: "Extras -&gt; Optionen -&gt; Berechnung". Use F9 to recalculate cells. On older computers recalculation can last a couple of seconds (or minutes if the names-list is not open or not linked correctly). Normally Excel recalculates after every input in a cell.</t>
  </si>
  <si>
    <t>esu-services@ecoinvent.ch</t>
  </si>
  <si>
    <t>Phone 0041 44 940 61 32</t>
  </si>
  <si>
    <t>Roland Steiner</t>
  </si>
  <si>
    <t>Diao &amp; Shi 2011</t>
  </si>
  <si>
    <t>g</t>
  </si>
  <si>
    <t>SO2</t>
  </si>
  <si>
    <t>(1,5,1,1,1,5,BU:1.05); SO2; Diao &amp; Shi 2011</t>
  </si>
  <si>
    <t>NOX</t>
  </si>
  <si>
    <t>(1,5,1,1,1,5,BU:1.5); NOX; Diao &amp; Shi 2011</t>
  </si>
  <si>
    <t>SiO2</t>
  </si>
  <si>
    <t>(1,5,1,1,1,5,BU:5); SiO2; Diao &amp; Shi 2011</t>
  </si>
  <si>
    <t>H2O</t>
  </si>
  <si>
    <t>(1,5,1,1,1,5,BU:1.5); H2O; Diao &amp; Shi 2011</t>
  </si>
  <si>
    <t>Water, CN</t>
  </si>
  <si>
    <t xml:space="preserve"> GB 408-02</t>
  </si>
  <si>
    <t>CO2</t>
  </si>
  <si>
    <t>(1,5,1,1,1,5,BU:1.05); CO2; Diao &amp; Shi 2011</t>
  </si>
  <si>
    <t>emission air, unspecified</t>
  </si>
  <si>
    <t>Wang (2014) Current PV Markets and Energy Pay-Back Study (p. 33), Hao and Zhao (2014) Life Cycle CO2 Emissions of Grid-Connected Electricity for Crystalline Silicon Photovoltaic Systems in China (p. 13)</t>
  </si>
  <si>
    <t>Electricity demand</t>
  </si>
  <si>
    <t>(1,5,1,1,1,5,BU:1.05); Electricity demand; Wang (2014) Current PV Markets and Energy Pay-Back Study (p. 33), Hao and Zhao (2014) Life Cycle CO2 Emissions of Grid-Connected Electricity for Crystalline Silicon Photovoltaic Systems in China (p. 13)</t>
  </si>
  <si>
    <t>(1,5,1,1,1,5,BU:1.05); Water; Diao &amp; Shi 2011</t>
  </si>
  <si>
    <t>Water, unspecified natural origin, CN</t>
  </si>
  <si>
    <t>BB-363</t>
  </si>
  <si>
    <t>Graphit electrode</t>
  </si>
  <si>
    <t>(1,5,1,1,1,5,BU:1.05); Graphit electrode; Diao &amp; Shi 2011</t>
  </si>
  <si>
    <t>Sawdust</t>
  </si>
  <si>
    <t>(1,5,1,1,1,5,BU:1.05); Sawdust; Diao &amp; Shi 2011</t>
  </si>
  <si>
    <t>Petrol coke</t>
  </si>
  <si>
    <t>(1,5,1,1,1,5,BU:1.05); Petrol coke; Diao &amp; Shi 2011</t>
  </si>
  <si>
    <t>Hard coal</t>
  </si>
  <si>
    <t>(1,5,1,1,1,5,BU:1.05); Hard coal; Diao &amp; Shi 2011</t>
  </si>
  <si>
    <t>Silica sand</t>
  </si>
  <si>
    <t>(1,5,1,1,1,5,BU:1.05); Silica sand; Diao &amp; Shi 2011</t>
  </si>
  <si>
    <t>MG-silicon, Chinese data, best technology, at plant</t>
  </si>
  <si>
    <t>174-602</t>
  </si>
  <si>
    <t>MG-silicon, Chinese data, mainstream, at plant</t>
  </si>
  <si>
    <t>174-601</t>
  </si>
  <si>
    <t>Best Technology</t>
  </si>
  <si>
    <t>Mainstream</t>
  </si>
  <si>
    <t>Literature</t>
  </si>
  <si>
    <t>Wang (2014) Current PV Markets and Energy Pay-Back Study (p. 33)</t>
  </si>
  <si>
    <t>Hao and Zhao (2014) Life Cycle CO2 Emissions of Grid-Connected Electricity for Crystalline Silicon Photovoltaic Systems in China (p. 13)</t>
  </si>
  <si>
    <t>LCI Chinese Production, Diao 2011</t>
  </si>
  <si>
    <t>units</t>
  </si>
  <si>
    <t>Institute of Electrical Engineering of Chinese Academy of Sciences (IEE CAS, 2014)</t>
  </si>
  <si>
    <t>Ammonia Nitrogen</t>
  </si>
  <si>
    <t>(1,5,1,1,1,5,BU:1.5); Ammonia Nitrogen; Institute of Electrical Engineering of Chinese Academy of Sciences (IEE CAS, 2014)</t>
  </si>
  <si>
    <t>Suspended solid</t>
  </si>
  <si>
    <t>(1,5,1,1,1,5,BU:1.5); Suspended solid; Institute of Electrical Engineering of Chinese Academy of Sciences (IEE CAS, 2014)</t>
  </si>
  <si>
    <t>Suspended solids, unspecified</t>
  </si>
  <si>
    <t>(1,5,1,1,1,5,BU:1.5); Fluoride; Diao &amp; Shi 2011</t>
  </si>
  <si>
    <t>(1,5,1,1,1,5,BU:3); Chloride; Institute of Electrical Engineering of Chinese Academy of Sciences (IEE CAS, 2014)</t>
  </si>
  <si>
    <t>COD</t>
  </si>
  <si>
    <t>(1,5,1,1,1,5,BU:1.5); COD; Institute of Electrical Engineering of Chinese Academy of Sciences (IEE CAS, 2014)</t>
  </si>
  <si>
    <t>emission water, unspecified</t>
  </si>
  <si>
    <t>Silica material</t>
  </si>
  <si>
    <t>(1,5,1,1,1,5,BU:5); Silica material; Diao &amp; Shi 2011</t>
  </si>
  <si>
    <t>SiCl4</t>
  </si>
  <si>
    <t>(1,5,1,1,1,5,BU:1.5); SiCl4; Diao &amp; Shi 2011</t>
  </si>
  <si>
    <t>Silicon tetrafluoride</t>
  </si>
  <si>
    <t>HCL</t>
  </si>
  <si>
    <t>(1,5,1,1,1,5,BU:1.5); HCL; Diao &amp; Shi 2011</t>
  </si>
  <si>
    <t>Institute of Electrical Engineering of Chinese Academy of Sciences (IEE CAS, 2014), Wang (2014) Current PV Markets and Energy Pay-Back Study (pp. 32-33)</t>
  </si>
  <si>
    <t>(1,5,1,1,1,5,BU:1.05); Electricity demand; Institute of Electrical Engineering of Chinese Academy of Sciences (IEE CAS, 2014), Wang (2014) Current PV Markets and Energy Pay-Back Study (pp. 32-33)</t>
  </si>
  <si>
    <t>Institute of Electrical Engineering of Chinese Academy of Sciences (IEE CAS, 2014), LCI Chinese Production, Diao &amp; Shi 2011</t>
  </si>
  <si>
    <t>Steam</t>
  </si>
  <si>
    <t>(1,5,1,1,1,5,BU:1.05); Steam; Institute of Electrical Engineering of Chinese Academy of Sciences (IEE CAS, 2014), LCI Chinese Production, Diao &amp; Shi 2011</t>
  </si>
  <si>
    <t>steam, for chemical processes, at plant</t>
  </si>
  <si>
    <t>Process water</t>
  </si>
  <si>
    <t>(1,5,1,1,1,5,BU:1.05); Process water; Diao &amp; Shi 2011</t>
  </si>
  <si>
    <t>Cooling water</t>
  </si>
  <si>
    <t>(1,5,1,1,1,5,BU:1.05); Cooling water; Diao &amp; Shi 2011</t>
  </si>
  <si>
    <t>Lime</t>
  </si>
  <si>
    <t>(1,5,1,1,1,5,BU:1.05); Lime; Institute of Electrical Engineering of Chinese Academy of Sciences (IEE CAS, 2014)</t>
  </si>
  <si>
    <t>limestone, milled, packed, at plant</t>
  </si>
  <si>
    <t>NaOH</t>
  </si>
  <si>
    <t>(1,5,1,1,1,5,BU:1.05); NaOH; Institute of Electrical Engineering of Chinese Academy of Sciences (IEE CAS, 2014)</t>
  </si>
  <si>
    <t>Cl2</t>
  </si>
  <si>
    <t>(1,5,1,1,1,5,BU:1.05); Cl2; Institute of Electrical Engineering of Chinese Academy of Sciences (IEE CAS, 2014)</t>
  </si>
  <si>
    <t>chlorine, liquid, production mix, at plant</t>
  </si>
  <si>
    <t>H2</t>
  </si>
  <si>
    <t>(1,5,1,1,1,5,BU:1.05); H2; Institute of Electrical Engineering of Chinese Academy of Sciences (IEE CAS, 2014), LCI Chinese Production, Diao &amp; Shi 2011</t>
  </si>
  <si>
    <t>MG-Si</t>
  </si>
  <si>
    <t>(1,5,1,1,1,5,BU:1.05); MG-Si; Institute of Electrical Engineering of Chinese Academy of Sciences (IEE CAS, 2014)</t>
  </si>
  <si>
    <t>silicon, solar grade, Siemens, Chinese data, best tech., at plant</t>
  </si>
  <si>
    <t>174-604</t>
  </si>
  <si>
    <t>silicon, solar grade, Siemens, Chinese data, mainstream, at plant</t>
  </si>
  <si>
    <t>174-603</t>
  </si>
  <si>
    <t>Wang (2014) Current PV Markets and Energy Pay-Back Study (pp. 32-33)</t>
  </si>
  <si>
    <t>LCI Chinese Production, Diao &amp; Shi 2011</t>
  </si>
  <si>
    <t>Chlorid</t>
  </si>
  <si>
    <t>(1,5,1,1,1,5,BU:3); Chlorid; Diao &amp; Shi 2011</t>
  </si>
  <si>
    <t>Fluorid</t>
  </si>
  <si>
    <t>(1,5,1,1,1,5,BU:1.5); Fluorid; Institute of Electrical Engineering of Chinese Academy of Sciences (IEE CAS, 2014)</t>
  </si>
  <si>
    <t>SIC</t>
  </si>
  <si>
    <t>(1,5,1,1,1,5,BU:5); SIC; Diao &amp; Shi 2011</t>
  </si>
  <si>
    <t>Institute of Electrical Engineering of Chinese Academy of Sciences (IEE CAS, 2014), Multi-Si Ingot and Wafer; Wang (2014) Current PV Markets and Energy Pay-Back Study (pp. 32-33), Diao &amp; Shi 2011</t>
  </si>
  <si>
    <t>Polyethylenegylkol</t>
  </si>
  <si>
    <t>(1,5,1,1,1,5,BU:3); Polyethylenegylkol; Institute of Electrical Engineering of Chinese Academy of Sciences (IEE CAS, 2014), Multi-Si Ingot and Wafer; Wang (2014) Current PV Markets and Energy Pay-Back Study (pp. 32-33), Diao &amp; Shi 2011</t>
  </si>
  <si>
    <t>Triethylene glycol</t>
  </si>
  <si>
    <t>Institute of Electrical Engineering of Chinese Academy of Sciences (IEE CAS, 2014), Multi-Si Ingot and Wafer; Wang (2014) Current PV Markets and Energy Pay-Back Study (pp. 32-33)</t>
  </si>
  <si>
    <t>(1,5,1,1,1,5,BU:1.05); Electricity demand; Institute of Electrical Engineering of Chinese Academy of Sciences (IEE CAS, 2014), Multi-Si Ingot and Wafer; Wang (2014) Current PV Markets and Energy Pay-Back Study (pp. 32-33)</t>
  </si>
  <si>
    <t>quartz crucible</t>
  </si>
  <si>
    <t>(1,5,1,1,1,5,BU:1.05); quartz crucible; Institute of Electrical Engineering of Chinese Academy of Sciences (IEE CAS, 2014)</t>
  </si>
  <si>
    <t>glass</t>
  </si>
  <si>
    <t>(1,5,1,1,1,5,BU:1.05); glass; Institute of Electrical Engineering of Chinese Academy of Sciences (IEE CAS, 2014)</t>
  </si>
  <si>
    <t>acetic acid</t>
  </si>
  <si>
    <t>(1,5,1,1,1,5,BU:1.05); acetic acid; Institute of Electrical Engineering of Chinese Academy of Sciences (IEE CAS, 2014)</t>
  </si>
  <si>
    <t>nitric acid</t>
  </si>
  <si>
    <t>(1,5,1,1,1,5,BU:1.05); nitric acid; Institute of Electrical Engineering of Chinese Academy of Sciences (IEE CAS, 2014)</t>
  </si>
  <si>
    <t>Dipropylene Glycol Monomethyl Ether</t>
  </si>
  <si>
    <t>(1,5,1,1,1,5,BU:1.05); Dipropylene Glycol Monomethyl Ether; Institute of Electrical Engineering of Chinese Academy of Sciences (IEE CAS, 2014)</t>
  </si>
  <si>
    <t>acrylic acid</t>
  </si>
  <si>
    <t>(1,5,1,1,1,5,BU:1.05); acrylic acid; Institute of Electrical Engineering of Chinese Academy of Sciences (IEE CAS, 2014)</t>
  </si>
  <si>
    <t>acrylic acid, at plant</t>
  </si>
  <si>
    <t>Steel wire</t>
  </si>
  <si>
    <t>(1,5,1,1,1,5,BU:1.05); Steel wire; Institute of Electrical Engineering of Chinese Academy of Sciences (IEE CAS, 2014)</t>
  </si>
  <si>
    <t>steel, converter, unalloyed, at plant</t>
  </si>
  <si>
    <t>KOH</t>
  </si>
  <si>
    <t>(1,5,1,1,1,5,BU:1.05); KOH; Diao &amp; Shi 2011</t>
  </si>
  <si>
    <t>(1,5,1,1,1,5,BU:1.05); Nitrate; Diao &amp; Shi 2011</t>
  </si>
  <si>
    <t>potassium nitrate, as N, at regional storehouse</t>
  </si>
  <si>
    <t>Nitrogen (liquid)</t>
  </si>
  <si>
    <t>(1,5,1,1,1,5,BU:1.05); Nitrogen (liquid); Diao &amp; Shi 2011</t>
  </si>
  <si>
    <t>Sulphuric acid</t>
  </si>
  <si>
    <t>(1,5,1,1,1,5,BU:1.05); Sulphuric acid; Diao &amp; Shi 2011</t>
  </si>
  <si>
    <t>HCl</t>
  </si>
  <si>
    <t>(1,5,1,1,1,5,BU:1.05); HCl; Institute of Electrical Engineering of Chinese Academy of Sciences (IEE CAS, 2014)</t>
  </si>
  <si>
    <t>(1,5,1,1,1,5,BU:1.05); HF; Institute of Electrical Engineering of Chinese Academy of Sciences (IEE CAS, 2014)</t>
  </si>
  <si>
    <t>(1,5,1,1,1,5,BU:1.05); SIC; Institute of Electrical Engineering of Chinese Academy of Sciences (IEE CAS, 2014)</t>
  </si>
  <si>
    <t>(1,5,1,1,1,5,BU:1.05); Polyethylenegylkol; Diao &amp; Shi 2011</t>
  </si>
  <si>
    <t>Argon</t>
  </si>
  <si>
    <t>(1,5,1,1,1,5,BU:1.05); Argon; Institute of Electrical Engineering of Chinese Academy of Sciences (IEE CAS, 2014)</t>
  </si>
  <si>
    <t>SoG-Si</t>
  </si>
  <si>
    <t>(1,5,1,1,1,5,BU:1.05); SoG-Si; Diao &amp; Shi 2011</t>
  </si>
  <si>
    <t>(1,5,1,1,1,5,BU:1.05); SoG-Si; Institute of Electrical Engineering of Chinese Academy of Sciences (IEE CAS, 2014)</t>
  </si>
  <si>
    <t>silicon ingot, sliced (wafer), Chinese data, best technology, at plant</t>
  </si>
  <si>
    <t>174-606</t>
  </si>
  <si>
    <t>silicon ingot, sliced (wafer), Chinese data, mainstream, at plant</t>
  </si>
  <si>
    <t>174-605</t>
  </si>
  <si>
    <t>Multi-Si Ingot and Wafer; Hao and Zhao (2014) Life Cycle CO2 Emissions of Grid-Connected Electricity for Crystalline Silicon Photovoltaic Systems in China (p. 13, 31)</t>
  </si>
  <si>
    <t>Multi-Si Ingot and Wafer; Wang (2014) Current PV Markets and Energy Pay-Back Study (pp. 32-33)</t>
  </si>
  <si>
    <t>Single-Si Ingot and Wafer; Wang (2014) Current PV Markets and Energy Pay-Back Study (pp. 32-33)</t>
  </si>
  <si>
    <t>(1,5,1,1,1,5,BU:1.5); Fluorid; Diao &amp; Shi 2011</t>
  </si>
  <si>
    <t>Evaporting solvent</t>
  </si>
  <si>
    <t>(1,5,1,1,1,5,BU:1.5); Evaporting solvent; Diao &amp; Shi 2011</t>
  </si>
  <si>
    <t>Ethanol</t>
  </si>
  <si>
    <t>Single-Si Ingot and Wafer; Wang (2014) Current PV Markets and Energy Pay-Back Study (pp. 32-34), Multi-Si Ingot and Wafer; Hao and Zhao (2014) Life Cycle CO2 Emissions of Grid-Connected Electricity for Crystalline Silicon Photovoltaic Systems in China (p. 13, 31)</t>
  </si>
  <si>
    <t>(1,5,1,1,1,5,BU:1.05); Electricity demand; Single-Si Ingot and Wafer; Wang (2014) Current PV Markets and Energy Pay-Back Study (pp. 32-34), Multi-Si Ingot and Wafer; Hao and Zhao (2014) Life Cycle CO2 Emissions of Grid-Connected Electricity for Crystalline Silicon Photovoltaic Systems in China (p. 13, 31)</t>
  </si>
  <si>
    <t>Aluminium paste</t>
  </si>
  <si>
    <t>(1,5,1,1,1,5,BU:1.05); Aluminium paste; Diao &amp; Shi 2011</t>
  </si>
  <si>
    <t>(1,5,1,1,1,5,BU:1.05); Silver; Diao &amp; Shi 2011</t>
  </si>
  <si>
    <t>HNO3</t>
  </si>
  <si>
    <t>(1,5,1,1,1,5,BU:1.05); HNO3; Diao &amp; Shi 2011</t>
  </si>
  <si>
    <t>N2</t>
  </si>
  <si>
    <t>(1,5,1,1,1,5,BU:1.05); N2; Diao &amp; Shi 2011</t>
  </si>
  <si>
    <t>O2</t>
  </si>
  <si>
    <t>(1,5,1,1,1,5,BU:1.05); O2; Diao &amp; Shi 2011</t>
  </si>
  <si>
    <t>(1,5,1,1,1,5,BU:1.05); HF; Diao &amp; Shi 2011</t>
  </si>
  <si>
    <t>POCL3</t>
  </si>
  <si>
    <t>(1,5,1,1,1,5,BU:1.05); POCL3; Diao &amp; Shi 2011</t>
  </si>
  <si>
    <t>H2SO4</t>
  </si>
  <si>
    <t>(1,5,1,1,1,5,BU:1.05); H2SO4; Diao &amp; Shi 2011</t>
  </si>
  <si>
    <t>(1,5,1,1,1,5,BU:1.05); HCl; Diao &amp; Shi 2011</t>
  </si>
  <si>
    <t>NH3</t>
  </si>
  <si>
    <t>(1,5,1,1,1,5,BU:1.05); NH3; Diao &amp; Shi 2011</t>
  </si>
  <si>
    <t>SiH4</t>
  </si>
  <si>
    <t>(1,5,1,1,1,5,BU:1.05); SiH4; Diao &amp; Shi 2011</t>
  </si>
  <si>
    <t>p</t>
  </si>
  <si>
    <t>wafer / ingot</t>
  </si>
  <si>
    <t>(1,5,1,1,1,5,BU:1.05); wafer / ingot; Diao &amp; Shi 2011</t>
  </si>
  <si>
    <t>photovoltaic cell, Chinese data, best technology, at plant</t>
  </si>
  <si>
    <t>174-608</t>
  </si>
  <si>
    <t>photovoltaic cell, Chinese data, mainstream, at plant</t>
  </si>
  <si>
    <t>174-607</t>
  </si>
  <si>
    <t>Single-Si Ingot and Wafer; Wang (2014) Current PV Markets and Energy Pay-Back Study (pp. 32-34)</t>
  </si>
  <si>
    <t>(1,5,1,1,1,5,BU:5); Silicon; Diao &amp; Shi 2011</t>
  </si>
  <si>
    <t>EVA</t>
  </si>
  <si>
    <t>(1,5,1,1,1,5,BU:1.05); EVA; Diao &amp; Shi 2011</t>
  </si>
  <si>
    <t>Aluminium frame</t>
  </si>
  <si>
    <t>(1,5,1,1,1,5,BU:1.05); Aluminium frame; Diao &amp; Shi 2011</t>
  </si>
  <si>
    <t>Silicone</t>
  </si>
  <si>
    <t>(1,5,1,1,1,5,BU:1.05); Silicone; Diao &amp; Shi 2011</t>
  </si>
  <si>
    <t>PET back</t>
  </si>
  <si>
    <t>(1,5,1,1,1,5,BU:1.05); PET back; Diao &amp; Shi 2011</t>
  </si>
  <si>
    <t>Back film</t>
  </si>
  <si>
    <t>(1,5,1,1,1,5,BU:1.05); Back film; Diao &amp; Shi 2011</t>
  </si>
  <si>
    <t>Glass</t>
  </si>
  <si>
    <t>(1,5,1,1,1,5,BU:1.05); Glass; Diao &amp; Shi 2011</t>
  </si>
  <si>
    <t>Copper</t>
  </si>
  <si>
    <t>(1,5,1,1,1,5,BU:1.05); Copper; Diao &amp; Shi 2011</t>
  </si>
  <si>
    <t>(1,5,1,1,1,5,BU:1.05); cells; Diao &amp; Shi 2011</t>
  </si>
  <si>
    <t>photovoltaic panel, Chinese data, best technology, at plant</t>
  </si>
  <si>
    <t>174-610</t>
  </si>
  <si>
    <t>photovoltaic panel, Chinese data, mainstream, at plant</t>
  </si>
  <si>
    <t>174-609</t>
  </si>
  <si>
    <t>Jungbluth 2012 / Diao &amp; Shi 2011</t>
  </si>
  <si>
    <t>calculated with electricity use</t>
  </si>
  <si>
    <t>(3,4,3,1,1,5,BU:1.05); calculated with electricity use; Jungbluth 2012 / Diao &amp; Shi 2011</t>
  </si>
  <si>
    <t>19994 km for import of panels and laminates to Europe</t>
  </si>
  <si>
    <t>(3,4,3,1,1,5,BU:2); 19994 km for import of panels and laminates to Europe; Jungbluth 2012 / Diao &amp; Shi 2011</t>
  </si>
  <si>
    <t>500km for import of panels and laminates to Europe</t>
  </si>
  <si>
    <t>(3,4,3,1,1,5,BU:2); 500km for import of panels and laminates to Europe; Jungbluth 2012 / Diao &amp; Shi 2011</t>
  </si>
  <si>
    <t>electric parts and panel 100km to construction place</t>
  </si>
  <si>
    <t>(3,4,3,1,1,5,BU:2); electric parts and panel 100km to construction place; Jungbluth 2012 / Diao &amp; Shi 2011</t>
  </si>
  <si>
    <t>Calculation, 2% of modules repaired in the life time, 1% rejects</t>
  </si>
  <si>
    <t>(3,4,3,1,1,5,BU:1.05); Calculation, 2% of modules repaired in the life time, 1% rejects; Jungbluth 2012 / Diao &amp; Shi 2011</t>
  </si>
  <si>
    <t>(3,4,3,1,1,5,BU:3); Literature; Jungbluth 2012 / Diao &amp; Shi 2011</t>
  </si>
  <si>
    <t>Literature, 1 repair in the life time</t>
  </si>
  <si>
    <t>(2,4,1,1,1,na,BU:3); Literature, 1 repair in the life time; Jungbluth 2012 / Diao &amp; Shi 2011</t>
  </si>
  <si>
    <t>Energy use for erection of 3kWp plant</t>
  </si>
  <si>
    <t>(3,4,3,1,1,5,BU:1.05); Energy use for erection of 3kWp plant; Jungbluth 2012 / Diao &amp; Shi 2011</t>
  </si>
  <si>
    <t>3kWp slanted-roof installation, Chinese multi-Si best techn., panel, mounted, on roof</t>
  </si>
  <si>
    <t>174-612</t>
  </si>
  <si>
    <t>3kWp slanted-roof installation, Chinese multi-Si mainstream, panel, mounted, on roof</t>
  </si>
  <si>
    <t>174-611</t>
  </si>
  <si>
    <t>(1,na,na,na,na,na,BU:1.05); Calculation; Jungbluth 2012 / Diao &amp; Shi 2011</t>
  </si>
  <si>
    <t>(3,2,1,1,1,3,BU:3); ; Jungbluth 2012 / Diao &amp; Shi 2011</t>
  </si>
  <si>
    <t>(2,2,1,1,1,3,BU:1.05); Estimation 20l/m2 panel; Jungbluth 2012 / Diao &amp; Shi 2011</t>
  </si>
  <si>
    <t>(2,2,1,1,1,3,BU:1.05); Energy loss in the system is included; Jungbluth 2012 / Diao &amp; Shi 2011</t>
  </si>
  <si>
    <t>electricity, PV, at 3kWp slanted-roof, Chinese multi-Si best techn., panel, mounted</t>
  </si>
  <si>
    <t>174-618</t>
  </si>
  <si>
    <t>electricity, PV, at 3kWp slanted-roof, Chinese multi-Si mainstream, panel, mounted</t>
  </si>
  <si>
    <t>174-617</t>
  </si>
  <si>
    <t>174-616</t>
  </si>
  <si>
    <t>174-615</t>
  </si>
  <si>
    <t>174-614</t>
  </si>
  <si>
    <t>174-613</t>
  </si>
  <si>
    <t>Area of 3kWp power plant</t>
  </si>
  <si>
    <t>DataGeneratorAndPublication</t>
  </si>
  <si>
    <t>unknown</t>
  </si>
  <si>
    <t>Electricity production with grid-connected photovoltaic power plants mounted on buildings slanted roof. 1394 kWh/kWp annual electricity output, 0.75 performance ratio, 14.4% module efficiency.</t>
  </si>
  <si>
    <t>Electricity production with grid-connected photovoltaic power plants mounted on buildings slanted roof. 1394 kWh/kWp annual electricity output, 0.75 performance ratio, 12.4% module efficiency.</t>
  </si>
  <si>
    <t>Electricity production with grid-connected photovoltaic power plants mounted on buildings slanted roof. 809 kWh/kWp annual electricity output, 0.75 performance ratio, 14.4% module efficiency.</t>
  </si>
  <si>
    <t>Electricity production with grid-connected photovoltaic power plants mounted on buildings slanted roof. 809 kWh/kWp annual electricity output, 0.75 performance ratio, 12.4% module efficiency.</t>
  </si>
  <si>
    <t>Electricity production with grid-connected photovoltaic power plants mounted on buildings slanted roof. 922 kWh/kWp annual electricity output, 0.75 performance ratio, 14.4% module efficiency.</t>
  </si>
  <si>
    <t>Electricity production with grid-connected photovoltaic power plants mounted on buildings slanted roof. 922 kWh/kWp annual electricity output, 0.75 performance ratio, 12.4% module efficiency.</t>
  </si>
  <si>
    <t>Best technology</t>
  </si>
  <si>
    <t>Mainstream technology</t>
  </si>
  <si>
    <t>Use in ES.</t>
  </si>
  <si>
    <t>Use in DE.</t>
  </si>
  <si>
    <t>Data from China.</t>
  </si>
  <si>
    <t xml:space="preserve">Assumption for electricity production of photovoltaic plants with good performance. Average performance is lower while optimum performance would be higher. </t>
  </si>
  <si>
    <t>Photovoltaic installation with a capacity of 3kWp and a life time of 25 years installed in RER.</t>
  </si>
  <si>
    <t>Unit process raw data for one PV panel. Investigated for the production of solar panels and laminates with 72 solar cells a 156*156mm2 (=1.94m2 panel). Best Chinese technology</t>
  </si>
  <si>
    <t>Unit process raw data for one PV panel. Investigated for the production of solar panels with 72 solar cells a 156*156mm2 (1.94m2). Mainstream Chinese technology</t>
  </si>
  <si>
    <t>Production of photovoltaic cells (156*156 mm2). Some inputs and emissions aggregated to protect sensitive data. Wafer thickness 200 um. Best Chinese technology</t>
  </si>
  <si>
    <t>Production of photovoltaic cells (156*156 mm2). Some inputs and emissions aggregated to protect sensitive data. Wafer thickness 200 um. Mainstream Chinese technology</t>
  </si>
  <si>
    <t>The reference flow for the life cycle inventory is 1 wafer. The mc-Silicon columns are sawn into square wafers with a size 156x156 mm2 (0.0243 m2) and a thickness 200 um. The weight is 13 g/piece. The sawing losses are 13g/piece. Best Chinese technology</t>
  </si>
  <si>
    <t>The reference flow for the life cycle inventory is 1 wafer. The mc-Silicon columns are sawn into square wafers with a size 156x156 mm2 (0.0243 m2) and a thickness 200 um. The weight is 13 g/piece. The sawing losses are 26g/piece. Best Chinese technology</t>
  </si>
  <si>
    <t>Process for silicon used in photovoltaic industry. Purity &gt;98% sufficient for use in photovoltaic industry. Best Chinese technology</t>
  </si>
  <si>
    <t>Process for silicon used in photovoltaic industry. Purity &gt;98% sufficient for use in photovoltaic industry. Mainstream Chinese technology</t>
  </si>
  <si>
    <t>MG-silicon with a purity of 99%. Used for the production of aluminium compounds, silicones and semiconductors. For the use in semiconductors further purification is necessary. Best Chinese technology</t>
  </si>
  <si>
    <t>MG-silicon with a purity of 99%. Used for the production of aluminium compounds, silicones and semiconductors. For the use in semiconductors further purification is necessary. Mainstream Chinese technology</t>
  </si>
  <si>
    <t>Gate to gate inventory for production of MG-silicon from silica sand including materials, energy use, wastes and air emissions.</t>
  </si>
  <si>
    <t>Projektnummer</t>
  </si>
  <si>
    <t>084</t>
  </si>
  <si>
    <t>Bitte gemäss Projektbericht anpassen</t>
  </si>
  <si>
    <t>Life cycle inventory database on demand: EcoSpold LCI database of ESU-services.</t>
  </si>
  <si>
    <t>LCI of Chinese PV Panels</t>
  </si>
  <si>
    <t>Büsser S., Frischknecht R., Stucki M., Itten R., Flury K.</t>
  </si>
  <si>
    <t>Frischknecht R.</t>
  </si>
  <si>
    <t>Jungbluth N.</t>
  </si>
  <si>
    <t>Itten R.</t>
  </si>
  <si>
    <t>TREEZE</t>
  </si>
  <si>
    <t>wyss@treeze.ch</t>
  </si>
  <si>
    <t>buesser@treeze.ch</t>
  </si>
  <si>
    <t>0041 44 544 57 94</t>
  </si>
  <si>
    <t>0041 44 940 61 90</t>
  </si>
  <si>
    <t>0041 44 940 61 38</t>
  </si>
  <si>
    <t>0041 44 940 61 35</t>
  </si>
  <si>
    <t>Franziska Wyss</t>
  </si>
  <si>
    <t>Sybille Büsser</t>
  </si>
  <si>
    <t>T</t>
  </si>
  <si>
    <t>mean, construction, 2003, ecoinvent v1.0</t>
  </si>
  <si>
    <t>mean, construction, 2007, ecoinvent v2.0</t>
  </si>
  <si>
    <t>Siemer 2008</t>
  </si>
  <si>
    <t>mean, construction, 2008, weighted with the installed capacity</t>
  </si>
  <si>
    <t>(3,3,2,3,3,5); Assumed life time: 30 a</t>
  </si>
  <si>
    <t>m2a</t>
  </si>
  <si>
    <t>land</t>
  </si>
  <si>
    <t>Occupation, industrial area, vegetation</t>
  </si>
  <si>
    <t>Occupation, industrial area, built up</t>
  </si>
  <si>
    <t>(3,3,2,3,3,5); Literature and own estimations</t>
  </si>
  <si>
    <t>Transformation, to industrial area, vegetation</t>
  </si>
  <si>
    <t>(1,3,2,3,3,5); Literature and own estimations</t>
  </si>
  <si>
    <t>Transformation, to industrial area, built up</t>
  </si>
  <si>
    <t>(3,4,3,1,3,5); Tucson Electric Power</t>
  </si>
  <si>
    <t>Transformation, from pasture and meadow</t>
  </si>
  <si>
    <t>(3,4,3,1,3,5); Disposal of plastics parts at end of life</t>
  </si>
  <si>
    <t>disposal, building, polystyrene isolation, flame-retardant, to final disposal</t>
  </si>
  <si>
    <t>disposal, building, polyethylene/polypropylene products, to final disposal</t>
  </si>
  <si>
    <t>(3,4,3,1,3,5); Calculated with use</t>
  </si>
  <si>
    <t>disposal, packaging cardboard, 19.6% water, to municipal incineration</t>
  </si>
  <si>
    <t>(3,4,3,1,3,5); 100km to construction place</t>
  </si>
  <si>
    <t>(4,5,na,na,na,na); Standard distances 200km, 600km</t>
  </si>
  <si>
    <t>(3,4,3,1,3,5); Fence</t>
  </si>
  <si>
    <t>zinc coating, coils</t>
  </si>
  <si>
    <t>(3,4,3,1,3,5); Estimation</t>
  </si>
  <si>
    <t>zinc coating, pieces</t>
  </si>
  <si>
    <t>(3,4,3,1,3,5); Mesh wire fence</t>
  </si>
  <si>
    <t>(3,4,3,1,3,5); Brunschweiler 1993</t>
  </si>
  <si>
    <t>section bar rolling, steel</t>
  </si>
  <si>
    <t>section bar extrusion, aluminium</t>
  </si>
  <si>
    <t>(3,4,3,1,3,5); Fence foundation</t>
  </si>
  <si>
    <t>concrete, normal, at plant</t>
  </si>
  <si>
    <t>(2,3,1,1,1,5); Literature and own estimations</t>
  </si>
  <si>
    <t>reinforcing steel, at plant</t>
  </si>
  <si>
    <t>(3,4,3,1,3,5); not accounted</t>
  </si>
  <si>
    <t>gravel, unspecified, at mine</t>
  </si>
  <si>
    <t>chromium steel 18/8, at plant</t>
  </si>
  <si>
    <t>(1,2,1,1,1,na); Literature and own estimations</t>
  </si>
  <si>
    <t>polyurethane, flexible foam, at plant</t>
  </si>
  <si>
    <t>(3,4,3,1,3,5); Schwarz et al. 1992</t>
  </si>
  <si>
    <t>(1,2,1,1,1,na); Literature and own estimations, recycled PE</t>
  </si>
  <si>
    <t>aluminium, production mix, wrought alloy, at plant</t>
  </si>
  <si>
    <t>Japan</t>
  </si>
  <si>
    <t>Supply Mix</t>
  </si>
  <si>
    <t>Fossil fuels</t>
  </si>
  <si>
    <t>Lignite</t>
  </si>
  <si>
    <t>Peat</t>
  </si>
  <si>
    <t>Industrial Gases</t>
  </si>
  <si>
    <t>Coke gases</t>
  </si>
  <si>
    <t>Blast furnace gases</t>
  </si>
  <si>
    <t>Petroleum products</t>
  </si>
  <si>
    <t>Fuel oil</t>
  </si>
  <si>
    <t>Diesel</t>
  </si>
  <si>
    <t>other petroleum products</t>
  </si>
  <si>
    <t>Natural Gas</t>
  </si>
  <si>
    <t>Other fossil</t>
  </si>
  <si>
    <t>Hydro</t>
  </si>
  <si>
    <t>Reservoir power plants</t>
  </si>
  <si>
    <t>Run-of-river power plants</t>
  </si>
  <si>
    <t>Pumped storage power plants</t>
  </si>
  <si>
    <t>Nuclear</t>
  </si>
  <si>
    <t>Pressurised-water reactor (PWR)</t>
  </si>
  <si>
    <t>Boiling-water reactor (BWR)</t>
  </si>
  <si>
    <t>Renewables</t>
  </si>
  <si>
    <t>Geothermal</t>
  </si>
  <si>
    <t>Solar</t>
  </si>
  <si>
    <t>Photovoltaic</t>
  </si>
  <si>
    <t>Solar thermal</t>
  </si>
  <si>
    <t>Wave and tidal energy</t>
  </si>
  <si>
    <t>Wind</t>
  </si>
  <si>
    <t>Wood</t>
  </si>
  <si>
    <t>Biogas</t>
  </si>
  <si>
    <t>Municipal waste</t>
  </si>
  <si>
    <t>Industrial waste</t>
  </si>
  <si>
    <t>Sewage sludge and landfill gases</t>
  </si>
  <si>
    <t>Other</t>
  </si>
  <si>
    <t>Total domestic</t>
  </si>
  <si>
    <t>Imports</t>
  </si>
  <si>
    <t>Canada</t>
  </si>
  <si>
    <t>Mexico</t>
  </si>
  <si>
    <t>Import3</t>
  </si>
  <si>
    <t>Import4</t>
  </si>
  <si>
    <t>Import5</t>
  </si>
  <si>
    <t>Import6</t>
  </si>
  <si>
    <t>Import7</t>
  </si>
  <si>
    <t>Import8</t>
  </si>
  <si>
    <t>Import9</t>
  </si>
  <si>
    <t>Import10</t>
  </si>
  <si>
    <t>red marked: Data is not available by IEA-statistics</t>
  </si>
  <si>
    <t>Source:</t>
  </si>
  <si>
    <t>IEA 2011</t>
  </si>
  <si>
    <t>IEA (2011) OECD - Electricity and heat generation. International Energy Agency (IEA) Electricity information statistics (database), retrieved from: http://www.oecd-ilibrary.org/energy/.</t>
  </si>
  <si>
    <t>Malaysia</t>
  </si>
  <si>
    <t>Import1</t>
  </si>
  <si>
    <t>Import2</t>
  </si>
  <si>
    <t>IEA 2010</t>
  </si>
  <si>
    <t>IEA (2010) Energy Statistics for different countries. Electricity/Heat Data. Retrieved June 2011 retrieved from: http://www.iea.org/stats/prodresult.asp?PRODUCT=Electricity/Heat.</t>
  </si>
  <si>
    <t>South Korea</t>
  </si>
  <si>
    <t>Taiwan</t>
  </si>
  <si>
    <t>China</t>
  </si>
  <si>
    <t>Chinese Taipeh</t>
  </si>
  <si>
    <t>India</t>
  </si>
  <si>
    <t>Bhutan</t>
  </si>
  <si>
    <t>Spain</t>
  </si>
  <si>
    <t>France</t>
  </si>
  <si>
    <t>Non-specified/Others</t>
  </si>
  <si>
    <t>Portugal</t>
  </si>
  <si>
    <t>Germany</t>
  </si>
  <si>
    <t>Austria</t>
  </si>
  <si>
    <t>Czech Republic</t>
  </si>
  <si>
    <t>Denmark</t>
  </si>
  <si>
    <t>Netherlands</t>
  </si>
  <si>
    <t>Poland</t>
  </si>
  <si>
    <t>Sweden</t>
  </si>
  <si>
    <t>Switzerland</t>
  </si>
  <si>
    <t>United States of America</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</si>
</sst>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_ * #,##0_ ;_ * \-#,##0_ ;_ * &quot;-&quot;_ ;_ @_ "/>
    <numFmt numFmtId="165" formatCode="_ * #,##0.00_ ;_ * \-#,##0.00_ ;_ * &quot;-&quot;??_ ;_ @_ "/>
    <numFmt numFmtId="166" formatCode="0.0%"/>
    <numFmt numFmtId="167" formatCode="0.0"/>
    <numFmt numFmtId="168" formatCode="_ * #,##0_ ;_ * \-#,##0_ ;_ * &quot;-&quot;??_ ;_ @_ "/>
    <numFmt numFmtId="169" formatCode="0.00E+0;[=0]&quot;0&quot;;0.00E+0"/>
    <numFmt numFmtId="170" formatCode="0.0%;[=0]&quot;0%&quot;;0.0%"/>
    <numFmt numFmtId="171" formatCode="_ [$€-2]\ * #,##0.00_ ;_ [$€-2]\ * \-#,##0.00_ ;_ [$€-2]\ * &quot;-&quot;??_ "/>
    <numFmt numFmtId="172" formatCode="#,##0.0&quot; dt&quot;;[Red]#,##0.0&quot; dt&quot;"/>
    <numFmt numFmtId="173" formatCode="#,##0&quot; kg&quot;;[Red]#,##0&quot; kg&quot;"/>
    <numFmt numFmtId="174" formatCode="#,##0.0&quot; m3&quot;;[Red]#,##0.0&quot; m3&quot;"/>
    <numFmt numFmtId="175" formatCode="#,##0&quot; m2a&quot;;[Red]#,##0&quot; m2a&quot;"/>
    <numFmt numFmtId="176" formatCode="#,##0.0&quot; ZKh&quot;;[Red]#,##0.0&quot; ZKh&quot;"/>
    <numFmt numFmtId="177" formatCode="#,##0&quot; m2&quot;;[Red]#,##0&quot; m2&quot;"/>
    <numFmt numFmtId="178" formatCode="0.00E+0;[=0]&quot;0&quot;;General"/>
    <numFmt numFmtId="179" formatCode="#,##0&quot; Liter&quot;;[Red]#,##0&quot; Liter&quot;"/>
    <numFmt numFmtId="180" formatCode="0.00%;[=0]&quot;0&quot;;General"/>
    <numFmt numFmtId="181" formatCode="[=0]&quot;&quot;;General"/>
    <numFmt numFmtId="182" formatCode="0.00E+0;[=0]&quot;-&quot;;0.00E+0"/>
    <numFmt numFmtId="183" formatCode="0.000"/>
    <numFmt numFmtId="184" formatCode="_ * #,##0.0_ ;_ * \-#,##0.0_ ;_ * &quot;-&quot;??_ ;_ @_ "/>
    <numFmt numFmtId="185" formatCode="0.00000000000000"/>
    <numFmt numFmtId="186" formatCode="_ * #,##0.000_ ;_ * \-#,##0.000_ ;_ * &quot;-&quot;??_ ;_ @_ "/>
    <numFmt numFmtId="187" formatCode="&quot;$&quot;#,##0"/>
  </numFmts>
  <fonts count="79">
    <font>
      <sz val="9"/>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Helvetica"/>
      <family val="2"/>
    </font>
    <font>
      <u/>
      <sz val="10"/>
      <color indexed="12"/>
      <name val="Arial"/>
      <family val="2"/>
    </font>
    <font>
      <sz val="10"/>
      <name val="Arial"/>
      <family val="2"/>
    </font>
    <font>
      <b/>
      <sz val="9"/>
      <name val="Helvetica"/>
      <family val="2"/>
    </font>
    <font>
      <sz val="9"/>
      <name val="Arial"/>
      <family val="2"/>
    </font>
    <font>
      <sz val="9"/>
      <name val="Times New Roman"/>
      <family val="1"/>
    </font>
    <font>
      <b/>
      <sz val="9"/>
      <name val="Times New Roman"/>
      <family val="1"/>
    </font>
    <font>
      <sz val="9"/>
      <name val="Helv"/>
    </font>
    <font>
      <b/>
      <sz val="12"/>
      <name val="Times New Roman"/>
      <family val="1"/>
    </font>
    <font>
      <sz val="10"/>
      <name val="Helv"/>
    </font>
    <font>
      <sz val="9"/>
      <name val="Helvetica"/>
      <family val="2"/>
    </font>
    <font>
      <sz val="8"/>
      <name val="Helvetica"/>
      <family val="2"/>
    </font>
    <font>
      <sz val="8"/>
      <color indexed="81"/>
      <name val="Tahoma"/>
      <family val="2"/>
    </font>
    <font>
      <b/>
      <sz val="8"/>
      <color indexed="81"/>
      <name val="Tahoma"/>
      <family val="2"/>
    </font>
    <font>
      <u/>
      <sz val="9"/>
      <color indexed="12"/>
      <name val="Helvetica"/>
      <family val="2"/>
    </font>
    <font>
      <i/>
      <sz val="9"/>
      <name val="Helvetica"/>
      <family val="2"/>
    </font>
    <font>
      <b/>
      <sz val="9"/>
      <name val="Helvetica"/>
      <family val="2"/>
    </font>
    <font>
      <sz val="9"/>
      <color indexed="63"/>
      <name val="Helvetica"/>
      <family val="2"/>
    </font>
    <font>
      <b/>
      <i/>
      <sz val="9"/>
      <name val="Helvetica"/>
      <family val="2"/>
    </font>
    <font>
      <sz val="9"/>
      <color indexed="63"/>
      <name val="Helvetica"/>
      <family val="2"/>
    </font>
    <font>
      <b/>
      <sz val="9"/>
      <color indexed="63"/>
      <name val="Helvetica"/>
      <family val="2"/>
    </font>
    <font>
      <vertAlign val="superscript"/>
      <sz val="9"/>
      <name val="Helvetica"/>
      <family val="2"/>
    </font>
    <font>
      <u/>
      <sz val="9"/>
      <color indexed="12"/>
      <name val="Helvetica"/>
      <family val="2"/>
    </font>
    <font>
      <b/>
      <sz val="10"/>
      <color indexed="63"/>
      <name val="Arial"/>
      <family val="2"/>
    </font>
    <font>
      <i/>
      <sz val="9"/>
      <name val="Helvetica"/>
      <family val="2"/>
    </font>
    <font>
      <i/>
      <sz val="9"/>
      <name val="Arial"/>
      <family val="2"/>
    </font>
    <font>
      <sz val="7"/>
      <name val="Helvetica"/>
      <family val="2"/>
    </font>
    <font>
      <sz val="10"/>
      <name val="Geneva"/>
    </font>
    <font>
      <sz val="10"/>
      <name val="Trebuchet MS"/>
      <family val="2"/>
    </font>
    <font>
      <sz val="10"/>
      <name val="Helvetica"/>
      <family val="2"/>
    </font>
    <font>
      <sz val="10"/>
      <color indexed="63"/>
      <name val="Helvetica"/>
      <family val="2"/>
    </font>
    <font>
      <vertAlign val="superscript"/>
      <sz val="11"/>
      <name val="Times New Roman"/>
      <family val="1"/>
    </font>
    <font>
      <b/>
      <sz val="9"/>
      <color indexed="63"/>
      <name val="Helvetica"/>
      <family val="2"/>
    </font>
    <font>
      <strike/>
      <sz val="9"/>
      <name val="Helvetica"/>
      <family val="2"/>
    </font>
    <font>
      <u/>
      <sz val="10"/>
      <color indexed="12"/>
      <name val="Helvetica"/>
      <family val="2"/>
    </font>
    <font>
      <b/>
      <sz val="20"/>
      <name val="Trebuchet MS"/>
      <family val="2"/>
    </font>
    <font>
      <b/>
      <sz val="14"/>
      <name val="Trebuchet MS"/>
      <family val="2"/>
    </font>
    <font>
      <b/>
      <sz val="16"/>
      <name val="Trebuchet MS"/>
      <family val="2"/>
    </font>
    <font>
      <b/>
      <sz val="14"/>
      <name val="Helvetica"/>
      <family val="2"/>
    </font>
    <font>
      <b/>
      <sz val="10"/>
      <name val="Trebuchet MS"/>
      <family val="2"/>
    </font>
    <font>
      <sz val="10"/>
      <color indexed="10"/>
      <name val="Trebuchet MS"/>
      <family val="2"/>
    </font>
    <font>
      <u/>
      <sz val="10"/>
      <color indexed="12"/>
      <name val="Trebuchet MS"/>
      <family val="2"/>
    </font>
    <font>
      <b/>
      <sz val="18"/>
      <name val="Trebuchet MS"/>
      <family val="2"/>
    </font>
    <font>
      <sz val="9"/>
      <name val="Trebuchet MS"/>
      <family val="2"/>
    </font>
    <font>
      <b/>
      <sz val="10"/>
      <color indexed="63"/>
      <name val="Trebuchet MS"/>
      <family val="2"/>
    </font>
    <font>
      <sz val="10"/>
      <color indexed="63"/>
      <name val="Trebuchet MS"/>
      <family val="2"/>
    </font>
    <font>
      <b/>
      <sz val="10"/>
      <name val="Helvetica"/>
      <family val="2"/>
    </font>
    <font>
      <sz val="9"/>
      <color indexed="63"/>
      <name val="Arial"/>
      <family val="2"/>
    </font>
    <font>
      <sz val="9"/>
      <name val="Arial"/>
      <family val="2"/>
    </font>
    <font>
      <vertAlign val="subscript"/>
      <sz val="9"/>
      <name val="Helvetica"/>
      <family val="2"/>
    </font>
    <font>
      <u/>
      <sz val="11"/>
      <color theme="10"/>
      <name val="Calibri"/>
      <family val="2"/>
      <scheme val="minor"/>
    </font>
    <font>
      <sz val="9"/>
      <name val="Helvetica"/>
      <family val="2"/>
    </font>
    <font>
      <sz val="10"/>
      <name val="Arial"/>
      <family val="2"/>
    </font>
    <font>
      <sz val="9"/>
      <name val="Helvetica"/>
      <family val="2"/>
    </font>
    <font>
      <sz val="9"/>
      <color indexed="63"/>
      <name val="Helvetica"/>
      <family val="2"/>
    </font>
    <font>
      <sz val="9"/>
      <name val="Calibri"/>
      <family val="2"/>
    </font>
    <font>
      <sz val="9"/>
      <color indexed="63"/>
      <name val="Calibri"/>
      <family val="2"/>
    </font>
    <font>
      <b/>
      <sz val="9"/>
      <color indexed="81"/>
      <name val="Tahoma"/>
      <family val="2"/>
    </font>
    <font>
      <sz val="9"/>
      <color indexed="81"/>
      <name val="Tahoma"/>
      <family val="2"/>
    </font>
    <font>
      <sz val="9"/>
      <color rgb="FFFF0000"/>
      <name val="Helvetica"/>
      <family val="2"/>
    </font>
    <font>
      <sz val="10"/>
      <color rgb="FFFF0000"/>
      <name val="Arial"/>
      <family val="2"/>
    </font>
    <font>
      <b/>
      <sz val="9"/>
      <color rgb="FFFF0000"/>
      <name val="Helvetica"/>
      <family val="2"/>
    </font>
    <font>
      <sz val="9"/>
      <color rgb="FFFF0000"/>
      <name val="Arial"/>
      <family val="2"/>
    </font>
    <font>
      <u/>
      <sz val="10"/>
      <color indexed="12"/>
      <name val="Helvetica"/>
    </font>
    <font>
      <sz val="9"/>
      <name val="Helvetica"/>
    </font>
    <font>
      <sz val="9"/>
      <color indexed="63"/>
      <name val="Helvetica"/>
    </font>
    <font>
      <sz val="9"/>
      <color rgb="FFFF0000"/>
      <name val="Helvetica"/>
    </font>
    <font>
      <b/>
      <sz val="9"/>
      <color indexed="63"/>
      <name val="Helvetica"/>
    </font>
    <font>
      <b/>
      <sz val="9"/>
      <name val="Helvetica"/>
    </font>
    <font>
      <i/>
      <sz val="9"/>
      <name val="Helvetica"/>
    </font>
    <font>
      <sz val="8"/>
      <name val="Verdana"/>
      <family val="2"/>
    </font>
    <font>
      <b/>
      <sz val="8"/>
      <color indexed="9"/>
      <name val="Tahoma"/>
      <family val="2"/>
    </font>
    <font>
      <b/>
      <sz val="8"/>
      <color indexed="8"/>
      <name val="Tahoma"/>
      <family val="2"/>
    </font>
  </fonts>
  <fills count="34">
    <fill>
      <patternFill patternType="none"/>
    </fill>
    <fill>
      <patternFill patternType="gray125"/>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indexed="15"/>
        <bgColor indexed="64"/>
      </patternFill>
    </fill>
    <fill>
      <patternFill patternType="solid">
        <fgColor indexed="11"/>
        <bgColor indexed="64"/>
      </patternFill>
    </fill>
    <fill>
      <patternFill patternType="solid">
        <fgColor indexed="52"/>
        <bgColor indexed="64"/>
      </patternFill>
    </fill>
    <fill>
      <patternFill patternType="solid">
        <fgColor indexed="13"/>
        <bgColor indexed="64"/>
      </patternFill>
    </fill>
    <fill>
      <patternFill patternType="solid">
        <fgColor indexed="50"/>
        <bgColor indexed="64"/>
      </patternFill>
    </fill>
    <fill>
      <patternFill patternType="solid">
        <fgColor indexed="46"/>
        <bgColor indexed="64"/>
      </patternFill>
    </fill>
    <fill>
      <patternFill patternType="solid">
        <fgColor indexed="40"/>
        <bgColor indexed="64"/>
      </patternFill>
    </fill>
    <fill>
      <patternFill patternType="solid">
        <fgColor rgb="FF92D050"/>
        <bgColor indexed="64"/>
      </patternFill>
    </fill>
    <fill>
      <patternFill patternType="solid">
        <fgColor rgb="FFFFFF00"/>
        <bgColor rgb="FF000000"/>
      </patternFill>
    </fill>
    <fill>
      <patternFill patternType="solid">
        <fgColor rgb="FFFFC000"/>
        <bgColor indexed="64"/>
      </patternFill>
    </fill>
    <fill>
      <patternFill patternType="solid">
        <fgColor theme="3" tint="0.59999389629810485"/>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rgb="FFCCFFFF"/>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bgColor indexed="64"/>
      </patternFill>
    </fill>
    <fill>
      <patternFill patternType="solid">
        <fgColor theme="4" tint="0.59999389629810485"/>
        <bgColor indexed="64"/>
      </patternFill>
    </fill>
    <fill>
      <patternFill patternType="solid">
        <fgColor indexed="55"/>
        <bgColor indexed="64"/>
      </patternFill>
    </fill>
    <fill>
      <patternFill patternType="solid">
        <fgColor theme="0"/>
        <bgColor indexed="64"/>
      </patternFill>
    </fill>
    <fill>
      <patternFill patternType="solid">
        <fgColor theme="0" tint="-0.14999847407452621"/>
        <bgColor indexed="64"/>
      </patternFill>
    </fill>
    <fill>
      <patternFill patternType="lightUp">
        <fgColor rgb="FFFF0000"/>
        <bgColor theme="0"/>
      </patternFill>
    </fill>
    <fill>
      <patternFill patternType="solid">
        <fgColor indexed="8"/>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style="thin">
        <color indexed="10"/>
      </top>
      <bottom style="thin">
        <color indexed="10"/>
      </bottom>
      <diagonal/>
    </border>
    <border>
      <left/>
      <right/>
      <top/>
      <bottom style="thin">
        <color indexed="64"/>
      </bottom>
      <diagonal/>
    </border>
    <border>
      <left/>
      <right/>
      <top style="thin">
        <color indexed="64"/>
      </top>
      <bottom style="thin">
        <color indexed="64"/>
      </bottom>
      <diagonal/>
    </border>
    <border>
      <left style="thin">
        <color indexed="10"/>
      </left>
      <right style="thin">
        <color indexed="10"/>
      </right>
      <top style="thin">
        <color indexed="10"/>
      </top>
      <bottom style="thin">
        <color indexed="10"/>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s>
  <cellStyleXfs count="78">
    <xf numFmtId="0" fontId="0" fillId="0" borderId="0">
      <alignment vertical="center"/>
    </xf>
    <xf numFmtId="49" fontId="11" fillId="0" borderId="1" applyNumberFormat="0" applyFont="0" applyFill="0" applyBorder="0" applyProtection="0">
      <alignment horizontal="left" vertical="center" indent="2"/>
    </xf>
    <xf numFmtId="49" fontId="11" fillId="0" borderId="2" applyNumberFormat="0" applyFont="0" applyFill="0" applyBorder="0" applyProtection="0">
      <alignment horizontal="left" vertical="center" indent="5"/>
    </xf>
    <xf numFmtId="0" fontId="16" fillId="2" borderId="0">
      <alignment horizontal="left" vertical="center"/>
    </xf>
    <xf numFmtId="4" fontId="12" fillId="0" borderId="3" applyFill="0" applyBorder="0" applyProtection="0">
      <alignment horizontal="right" vertical="center"/>
    </xf>
    <xf numFmtId="0" fontId="32" fillId="0" borderId="0">
      <alignment vertical="center"/>
    </xf>
    <xf numFmtId="164" fontId="5" fillId="0" borderId="0" applyFont="0" applyFill="0" applyBorder="0" applyAlignment="0" applyProtection="0"/>
    <xf numFmtId="172" fontId="13" fillId="0" borderId="0"/>
    <xf numFmtId="0" fontId="16" fillId="3" borderId="0">
      <alignment horizontal="center" vertical="center" wrapText="1"/>
    </xf>
    <xf numFmtId="182" fontId="16" fillId="4" borderId="0">
      <alignment horizontal="center" vertical="center"/>
    </xf>
    <xf numFmtId="171" fontId="10" fillId="0" borderId="0" applyFont="0" applyFill="0" applyBorder="0" applyAlignment="0" applyProtection="0">
      <alignment vertical="center"/>
    </xf>
    <xf numFmtId="0" fontId="14" fillId="0" borderId="0" applyNumberFormat="0" applyFill="0" applyBorder="0" applyAlignment="0" applyProtection="0"/>
    <xf numFmtId="0" fontId="7"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173" fontId="13" fillId="0" borderId="0"/>
    <xf numFmtId="165" fontId="5" fillId="0" borderId="0" applyFont="0" applyFill="0" applyBorder="0" applyAlignment="0" applyProtection="0"/>
    <xf numFmtId="179" fontId="15" fillId="0" borderId="0"/>
    <xf numFmtId="0" fontId="16" fillId="4" borderId="0">
      <alignment horizontal="left" vertical="center"/>
    </xf>
    <xf numFmtId="177" fontId="15" fillId="0" borderId="0"/>
    <xf numFmtId="175" fontId="13" fillId="0" borderId="0"/>
    <xf numFmtId="174" fontId="15" fillId="0" borderId="0"/>
    <xf numFmtId="178" fontId="10" fillId="0" borderId="0">
      <alignment vertical="center" wrapText="1"/>
    </xf>
    <xf numFmtId="180" fontId="13" fillId="0" borderId="0"/>
    <xf numFmtId="178" fontId="13" fillId="0" borderId="0"/>
    <xf numFmtId="4" fontId="11" fillId="0" borderId="1" applyFill="0" applyBorder="0" applyProtection="0">
      <alignment horizontal="right" vertical="center"/>
    </xf>
    <xf numFmtId="49" fontId="12" fillId="0" borderId="1" applyNumberFormat="0" applyFill="0" applyBorder="0" applyProtection="0">
      <alignment horizontal="left" vertical="center"/>
    </xf>
    <xf numFmtId="0" fontId="11" fillId="0" borderId="1" applyNumberFormat="0" applyFill="0" applyAlignment="0" applyProtection="0"/>
    <xf numFmtId="0" fontId="33" fillId="0" borderId="4" applyFont="0" applyFill="0" applyBorder="0" applyProtection="0">
      <alignment horizontal="center"/>
    </xf>
    <xf numFmtId="9" fontId="5" fillId="0" borderId="0" applyFont="0" applyFill="0" applyBorder="0" applyAlignment="0" applyProtection="0"/>
    <xf numFmtId="170" fontId="8" fillId="0" borderId="0"/>
    <xf numFmtId="166" fontId="5" fillId="6" borderId="0">
      <alignment horizontal="center" vertical="center"/>
    </xf>
    <xf numFmtId="11" fontId="33" fillId="0" borderId="0" applyFont="0" applyFill="0" applyBorder="0" applyAlignment="0" applyProtection="0"/>
    <xf numFmtId="0" fontId="5" fillId="0" borderId="0"/>
    <xf numFmtId="0" fontId="10" fillId="0" borderId="0">
      <alignment horizontal="left" vertical="center" wrapText="1"/>
    </xf>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0" fillId="0" borderId="0">
      <alignment vertical="center"/>
    </xf>
    <xf numFmtId="181" fontId="16" fillId="0" borderId="0">
      <alignment vertical="center" wrapText="1"/>
    </xf>
    <xf numFmtId="181" fontId="16" fillId="0" borderId="0">
      <alignment horizontal="center" vertical="center"/>
    </xf>
    <xf numFmtId="0" fontId="34" fillId="5" borderId="0">
      <alignment vertical="center" wrapText="1"/>
    </xf>
    <xf numFmtId="181" fontId="17" fillId="0" borderId="0">
      <alignment horizontal="center" vertical="center"/>
    </xf>
    <xf numFmtId="0" fontId="16" fillId="7" borderId="0">
      <alignment horizontal="left" vertical="center"/>
    </xf>
    <xf numFmtId="11" fontId="13" fillId="0" borderId="0"/>
    <xf numFmtId="11" fontId="5" fillId="0" borderId="0">
      <alignment vertical="center" wrapText="1"/>
    </xf>
    <xf numFmtId="169" fontId="8" fillId="0" borderId="0">
      <alignment horizontal="center" vertical="center"/>
    </xf>
    <xf numFmtId="182" fontId="8" fillId="0" borderId="0">
      <alignment horizontal="center" vertical="center"/>
    </xf>
    <xf numFmtId="176" fontId="15" fillId="0" borderId="0"/>
    <xf numFmtId="0" fontId="4" fillId="0" borderId="0"/>
    <xf numFmtId="0" fontId="56" fillId="0" borderId="0" applyNumberFormat="0" applyFill="0" applyBorder="0" applyAlignment="0" applyProtection="0"/>
    <xf numFmtId="9" fontId="4" fillId="0" borderId="0" applyFont="0" applyFill="0" applyBorder="0" applyAlignment="0" applyProtection="0"/>
    <xf numFmtId="0" fontId="58" fillId="0" borderId="0"/>
    <xf numFmtId="181" fontId="6" fillId="0" borderId="0">
      <alignment horizontal="center" vertical="center"/>
    </xf>
    <xf numFmtId="182" fontId="5" fillId="0" borderId="0">
      <alignment horizontal="center" vertical="center"/>
    </xf>
    <xf numFmtId="0" fontId="3" fillId="0" borderId="0"/>
    <xf numFmtId="0" fontId="2" fillId="0" borderId="0"/>
    <xf numFmtId="165" fontId="2" fillId="0" borderId="0" applyFont="0" applyFill="0" applyBorder="0" applyAlignment="0" applyProtection="0"/>
    <xf numFmtId="0" fontId="6" fillId="0" borderId="0">
      <alignment vertical="center"/>
    </xf>
    <xf numFmtId="181" fontId="6" fillId="0" borderId="0">
      <alignment vertical="center" wrapText="1"/>
    </xf>
    <xf numFmtId="0" fontId="5" fillId="0" borderId="0"/>
    <xf numFmtId="0" fontId="6" fillId="0" borderId="0"/>
    <xf numFmtId="0" fontId="69" fillId="0" borderId="0" applyNumberFormat="0" applyFill="0" applyBorder="0" applyAlignment="0" applyProtection="0">
      <alignment vertical="top"/>
      <protection locked="0"/>
    </xf>
    <xf numFmtId="0" fontId="6" fillId="0" borderId="0">
      <alignment vertical="center"/>
    </xf>
    <xf numFmtId="0" fontId="1" fillId="0" borderId="0"/>
    <xf numFmtId="0" fontId="6" fillId="0" borderId="0">
      <alignment vertical="center"/>
    </xf>
    <xf numFmtId="0" fontId="6" fillId="0" borderId="0">
      <alignment vertical="center"/>
    </xf>
    <xf numFmtId="0" fontId="10" fillId="0" borderId="0">
      <alignment vertical="center"/>
    </xf>
    <xf numFmtId="165" fontId="5" fillId="0" borderId="0" applyFont="0" applyFill="0" applyBorder="0" applyAlignment="0" applyProtection="0"/>
    <xf numFmtId="182" fontId="6" fillId="4" borderId="0">
      <alignment horizontal="center" vertical="center"/>
    </xf>
    <xf numFmtId="0" fontId="6" fillId="3" borderId="0">
      <alignment horizontal="center" vertical="center" wrapText="1"/>
    </xf>
    <xf numFmtId="0" fontId="5" fillId="0" borderId="0"/>
    <xf numFmtId="0" fontId="76" fillId="29" borderId="0" applyBorder="0">
      <alignment horizontal="left" vertical="center" indent="1"/>
    </xf>
    <xf numFmtId="187" fontId="77" fillId="33" borderId="11" applyBorder="0" applyAlignment="0">
      <alignment horizontal="left" vertical="center" indent="1"/>
    </xf>
    <xf numFmtId="187" fontId="78" fillId="9" borderId="27" applyBorder="0">
      <alignment horizontal="left" vertical="center" indent="1"/>
    </xf>
  </cellStyleXfs>
  <cellXfs count="1050">
    <xf numFmtId="0" fontId="0" fillId="0" borderId="0" xfId="0">
      <alignment vertical="center"/>
    </xf>
    <xf numFmtId="2" fontId="6" fillId="0" borderId="0" xfId="50" applyNumberFormat="1" applyFont="1" applyFill="1" applyBorder="1" applyAlignment="1">
      <alignment horizontal="center" vertical="center"/>
    </xf>
    <xf numFmtId="0" fontId="6" fillId="7" borderId="0" xfId="0" applyFont="1" applyFill="1" applyBorder="1" applyAlignment="1">
      <alignment horizontal="center" vertical="center"/>
    </xf>
    <xf numFmtId="0" fontId="6" fillId="8" borderId="0" xfId="0" applyFont="1" applyFill="1" applyAlignment="1">
      <alignment horizontal="center" vertical="center"/>
    </xf>
    <xf numFmtId="0" fontId="16" fillId="9" borderId="0" xfId="0" applyFont="1" applyFill="1" applyAlignment="1">
      <alignment horizontal="center" vertical="center"/>
    </xf>
    <xf numFmtId="0" fontId="6" fillId="0" borderId="0" xfId="0" applyFont="1" applyAlignment="1">
      <alignment vertical="center" wrapText="1"/>
    </xf>
    <xf numFmtId="0" fontId="6" fillId="0" borderId="0" xfId="0" applyFont="1">
      <alignment vertical="center"/>
    </xf>
    <xf numFmtId="0" fontId="6" fillId="0" borderId="0" xfId="0" applyFont="1" applyBorder="1">
      <alignment vertical="center"/>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6" fillId="4"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22" fillId="6" borderId="0" xfId="0" applyFont="1" applyFill="1" applyBorder="1" applyAlignment="1">
      <alignment horizontal="center" vertical="center" wrapText="1"/>
    </xf>
    <xf numFmtId="0" fontId="22" fillId="0" borderId="0" xfId="0" applyFont="1" applyBorder="1" applyAlignment="1">
      <alignment horizontal="center" vertical="center" wrapText="1"/>
    </xf>
    <xf numFmtId="182" fontId="6" fillId="6" borderId="0" xfId="50" applyFont="1" applyFill="1" applyBorder="1" applyAlignment="1">
      <alignment horizontal="left" vertical="center"/>
    </xf>
    <xf numFmtId="0" fontId="6" fillId="6" borderId="0" xfId="50" quotePrefix="1" applyNumberFormat="1" applyFont="1" applyFill="1" applyBorder="1" applyAlignment="1">
      <alignment horizontal="center" vertical="center"/>
    </xf>
    <xf numFmtId="182" fontId="6" fillId="6" borderId="0" xfId="50" applyFont="1" applyFill="1" applyBorder="1" applyAlignment="1">
      <alignment horizontal="center" vertical="center"/>
    </xf>
    <xf numFmtId="182" fontId="6" fillId="4" borderId="0" xfId="50" quotePrefix="1" applyFont="1" applyFill="1" applyBorder="1" applyAlignment="1">
      <alignment horizontal="left" vertical="center"/>
    </xf>
    <xf numFmtId="0" fontId="6" fillId="4" borderId="0" xfId="50" quotePrefix="1" applyNumberFormat="1" applyFont="1" applyFill="1" applyBorder="1" applyAlignment="1">
      <alignment horizontal="center" vertical="center"/>
    </xf>
    <xf numFmtId="182" fontId="6" fillId="4" borderId="0" xfId="50" applyFont="1" applyFill="1" applyBorder="1" applyAlignment="1">
      <alignment horizontal="center" vertical="center"/>
    </xf>
    <xf numFmtId="0" fontId="28" fillId="0" borderId="0" xfId="13" applyFont="1" applyBorder="1" applyAlignment="1" applyProtection="1">
      <alignment horizontal="left" wrapText="1"/>
    </xf>
    <xf numFmtId="0" fontId="6" fillId="9" borderId="0" xfId="34" applyFont="1" applyFill="1" applyBorder="1" applyAlignment="1">
      <alignment horizontal="center" vertical="center"/>
    </xf>
    <xf numFmtId="0" fontId="6" fillId="9" borderId="0" xfId="34" applyFont="1" applyFill="1" applyBorder="1" applyAlignment="1">
      <alignment horizontal="left" vertical="center"/>
    </xf>
    <xf numFmtId="181" fontId="25" fillId="9" borderId="0" xfId="42" applyFont="1" applyFill="1" applyBorder="1" applyAlignment="1">
      <alignment horizontal="center" vertical="center" wrapText="1"/>
    </xf>
    <xf numFmtId="181" fontId="25" fillId="9" borderId="0" xfId="42" applyFont="1" applyFill="1" applyBorder="1" applyAlignment="1">
      <alignment horizontal="left" vertical="center" wrapText="1"/>
    </xf>
    <xf numFmtId="181" fontId="6" fillId="3" borderId="0" xfId="42" applyFont="1" applyFill="1" applyBorder="1" applyAlignment="1">
      <alignment horizontal="center" vertical="center" textRotation="90" wrapText="1"/>
    </xf>
    <xf numFmtId="181" fontId="22" fillId="3" borderId="0" xfId="42" applyFont="1" applyFill="1" applyBorder="1" applyAlignment="1">
      <alignment horizontal="left" vertical="center" wrapText="1"/>
    </xf>
    <xf numFmtId="181" fontId="24" fillId="3" borderId="0" xfId="42" applyFont="1" applyFill="1" applyBorder="1" applyAlignment="1">
      <alignment horizontal="center" vertical="center" wrapText="1"/>
    </xf>
    <xf numFmtId="181" fontId="24" fillId="3" borderId="0" xfId="42" applyFont="1" applyFill="1" applyBorder="1" applyAlignment="1">
      <alignment horizontal="left" vertical="center" wrapText="1"/>
    </xf>
    <xf numFmtId="0" fontId="6" fillId="0" borderId="0" xfId="50" applyNumberFormat="1" applyFont="1" applyFill="1" applyBorder="1" applyAlignment="1">
      <alignment horizontal="center" vertical="center"/>
    </xf>
    <xf numFmtId="2" fontId="6" fillId="3" borderId="0" xfId="50" applyNumberFormat="1" applyFont="1" applyFill="1" applyBorder="1" applyAlignment="1">
      <alignment horizontal="center" vertical="center"/>
    </xf>
    <xf numFmtId="0" fontId="6" fillId="0" borderId="0" xfId="50" applyNumberFormat="1" applyFont="1" applyFill="1" applyBorder="1" applyAlignment="1">
      <alignment horizontal="left" vertical="center" wrapText="1"/>
    </xf>
    <xf numFmtId="0" fontId="6" fillId="0" borderId="0" xfId="34" applyFont="1" applyBorder="1">
      <alignment horizontal="left" vertical="center" wrapText="1"/>
    </xf>
    <xf numFmtId="0" fontId="6" fillId="0" borderId="0" xfId="34" applyFont="1" applyBorder="1" applyAlignment="1">
      <alignment horizontal="left" vertical="center" wrapText="1"/>
    </xf>
    <xf numFmtId="0" fontId="25" fillId="9" borderId="0" xfId="0" applyFont="1" applyFill="1" applyBorder="1">
      <alignment vertical="center"/>
    </xf>
    <xf numFmtId="0" fontId="25" fillId="9" borderId="0" xfId="0" applyFont="1" applyFill="1" applyBorder="1" applyAlignment="1">
      <alignment horizontal="center" vertical="center"/>
    </xf>
    <xf numFmtId="0" fontId="6" fillId="9" borderId="0" xfId="0" applyFont="1" applyFill="1" applyBorder="1">
      <alignment vertical="center"/>
    </xf>
    <xf numFmtId="0" fontId="6" fillId="9" borderId="0" xfId="0" applyFont="1" applyFill="1" applyBorder="1" applyAlignment="1">
      <alignment horizontal="right" vertical="center" wrapText="1"/>
    </xf>
    <xf numFmtId="0" fontId="6" fillId="9" borderId="0" xfId="0" applyFont="1" applyFill="1" applyAlignment="1">
      <alignment horizontal="center" vertical="center"/>
    </xf>
    <xf numFmtId="0" fontId="6" fillId="0" borderId="0" xfId="0" applyFont="1" applyBorder="1" applyAlignment="1">
      <alignment horizontal="center"/>
    </xf>
    <xf numFmtId="0" fontId="6" fillId="0" borderId="0" xfId="0" applyFont="1" applyBorder="1" applyAlignment="1">
      <alignment horizontal="center" vertical="center"/>
    </xf>
    <xf numFmtId="0" fontId="6" fillId="0" borderId="0" xfId="0" applyFont="1" applyFill="1" applyBorder="1" applyAlignment="1">
      <alignment horizontal="center" vertical="center" textRotation="90" wrapText="1"/>
    </xf>
    <xf numFmtId="0" fontId="6" fillId="4" borderId="0" xfId="0" applyFont="1" applyFill="1" applyBorder="1" applyAlignment="1">
      <alignment horizontal="left" vertical="center" wrapText="1"/>
    </xf>
    <xf numFmtId="0" fontId="22" fillId="0" borderId="0" xfId="0" applyFont="1" applyFill="1" applyBorder="1" applyAlignment="1">
      <alignment horizontal="center" vertical="center" wrapText="1"/>
    </xf>
    <xf numFmtId="0" fontId="6" fillId="0" borderId="0" xfId="0" applyFont="1" applyBorder="1" applyAlignment="1">
      <alignment horizontal="left" wrapText="1"/>
    </xf>
    <xf numFmtId="2" fontId="6" fillId="0" borderId="0" xfId="0" applyNumberFormat="1" applyFont="1" applyBorder="1" applyAlignment="1">
      <alignment horizontal="center"/>
    </xf>
    <xf numFmtId="2" fontId="6" fillId="0" borderId="0" xfId="0" applyNumberFormat="1" applyFont="1" applyFill="1" applyBorder="1" applyAlignment="1">
      <alignment horizontal="center"/>
    </xf>
    <xf numFmtId="0" fontId="6" fillId="0" borderId="0" xfId="0" applyFont="1" applyBorder="1" applyAlignment="1">
      <alignment horizontal="center" wrapText="1"/>
    </xf>
    <xf numFmtId="0" fontId="6" fillId="0" borderId="0" xfId="0" applyFont="1" applyBorder="1" applyAlignment="1">
      <alignment horizontal="center" vertical="top" wrapText="1"/>
    </xf>
    <xf numFmtId="185" fontId="6" fillId="0" borderId="0" xfId="0" applyNumberFormat="1" applyFont="1" applyBorder="1" applyAlignment="1">
      <alignment horizontal="center"/>
    </xf>
    <xf numFmtId="0" fontId="6" fillId="4" borderId="0" xfId="0" applyFont="1" applyFill="1" applyBorder="1" applyAlignment="1">
      <alignment horizontal="center" vertical="center"/>
    </xf>
    <xf numFmtId="0" fontId="6" fillId="10" borderId="0" xfId="0" applyFont="1" applyFill="1" applyBorder="1" applyAlignment="1">
      <alignment horizontal="center" vertical="center"/>
    </xf>
    <xf numFmtId="2" fontId="6" fillId="0" borderId="0" xfId="0" applyNumberFormat="1" applyFont="1" applyBorder="1" applyAlignment="1">
      <alignment vertical="center"/>
    </xf>
    <xf numFmtId="182" fontId="6" fillId="4" borderId="0" xfId="50" applyFont="1" applyFill="1" applyBorder="1" applyAlignment="1">
      <alignment horizontal="left" vertical="center"/>
    </xf>
    <xf numFmtId="0" fontId="6" fillId="0" borderId="0" xfId="0" applyFont="1" applyFill="1" applyBorder="1" applyAlignment="1">
      <alignment horizontal="left" vertical="center"/>
    </xf>
    <xf numFmtId="0" fontId="6" fillId="0" borderId="0" xfId="33" applyFont="1" applyAlignment="1">
      <alignment wrapText="1"/>
    </xf>
    <xf numFmtId="0" fontId="6" fillId="0" borderId="0" xfId="33" applyFont="1"/>
    <xf numFmtId="0" fontId="25" fillId="9" borderId="0" xfId="37" applyFont="1" applyFill="1" applyAlignment="1"/>
    <xf numFmtId="0" fontId="26" fillId="9" borderId="0" xfId="37" applyFont="1" applyFill="1" applyAlignment="1">
      <alignment horizontal="center"/>
    </xf>
    <xf numFmtId="0" fontId="26" fillId="9" borderId="0" xfId="37" applyFont="1" applyFill="1" applyAlignment="1"/>
    <xf numFmtId="0" fontId="26" fillId="9" borderId="0" xfId="33" applyFont="1" applyFill="1" applyBorder="1" applyAlignment="1">
      <alignment horizontal="left" wrapText="1"/>
    </xf>
    <xf numFmtId="0" fontId="26" fillId="9" borderId="0" xfId="33" applyFont="1" applyFill="1"/>
    <xf numFmtId="0" fontId="6" fillId="0" borderId="0" xfId="37" applyFont="1" applyAlignment="1">
      <alignment horizontal="center"/>
    </xf>
    <xf numFmtId="0" fontId="6" fillId="0" borderId="0" xfId="37" applyFont="1" applyAlignment="1"/>
    <xf numFmtId="0" fontId="6" fillId="0" borderId="0" xfId="33" applyFont="1" applyFill="1" applyBorder="1" applyAlignment="1">
      <alignment horizontal="left" wrapText="1"/>
    </xf>
    <xf numFmtId="0" fontId="6" fillId="3" borderId="0" xfId="37" applyFont="1" applyFill="1" applyAlignment="1">
      <alignment horizontal="center"/>
    </xf>
    <xf numFmtId="0" fontId="6" fillId="3" borderId="0" xfId="37" applyFont="1" applyFill="1" applyAlignment="1"/>
    <xf numFmtId="0" fontId="6" fillId="3" borderId="0" xfId="33" applyFont="1" applyFill="1" applyBorder="1" applyAlignment="1">
      <alignment horizontal="left" wrapText="1"/>
    </xf>
    <xf numFmtId="0" fontId="6" fillId="0" borderId="0" xfId="33" applyFont="1" applyBorder="1" applyAlignment="1">
      <alignment horizontal="left" wrapText="1"/>
    </xf>
    <xf numFmtId="0" fontId="25" fillId="0" borderId="0" xfId="33" applyFont="1" applyAlignment="1"/>
    <xf numFmtId="0" fontId="6" fillId="0" borderId="0" xfId="33" applyFont="1" applyAlignment="1">
      <alignment horizontal="center"/>
    </xf>
    <xf numFmtId="0" fontId="6" fillId="0" borderId="0" xfId="33" applyFont="1" applyAlignment="1">
      <alignment horizontal="left" wrapText="1"/>
    </xf>
    <xf numFmtId="0" fontId="25" fillId="9" borderId="0" xfId="37" applyFont="1" applyFill="1">
      <alignment vertical="center"/>
    </xf>
    <xf numFmtId="0" fontId="26" fillId="9" borderId="0" xfId="37" applyFont="1" applyFill="1" applyAlignment="1">
      <alignment horizontal="center" vertical="center"/>
    </xf>
    <xf numFmtId="0" fontId="26" fillId="9" borderId="0" xfId="37" applyFont="1" applyFill="1">
      <alignment vertical="center"/>
    </xf>
    <xf numFmtId="0" fontId="26" fillId="9" borderId="0" xfId="33" applyFont="1" applyFill="1" applyAlignment="1">
      <alignment wrapText="1"/>
    </xf>
    <xf numFmtId="0" fontId="6" fillId="0" borderId="0" xfId="37" applyFont="1" applyAlignment="1">
      <alignment horizontal="center" vertical="center"/>
    </xf>
    <xf numFmtId="0" fontId="6" fillId="0" borderId="0" xfId="37" applyFont="1">
      <alignment vertical="center"/>
    </xf>
    <xf numFmtId="0" fontId="6" fillId="3" borderId="0" xfId="37" applyFont="1" applyFill="1">
      <alignment vertical="center"/>
    </xf>
    <xf numFmtId="0" fontId="6" fillId="0" borderId="0" xfId="0" applyFont="1" applyBorder="1" applyAlignment="1">
      <alignment vertical="top"/>
    </xf>
    <xf numFmtId="0" fontId="22" fillId="0" borderId="0" xfId="0" applyFont="1" applyBorder="1" applyAlignment="1">
      <alignment horizontal="left" wrapText="1"/>
    </xf>
    <xf numFmtId="0" fontId="22" fillId="0" borderId="0" xfId="0" applyFont="1" applyBorder="1" applyAlignment="1">
      <alignment horizontal="left"/>
    </xf>
    <xf numFmtId="0" fontId="6" fillId="10" borderId="0" xfId="0" applyFont="1" applyFill="1" applyBorder="1" applyAlignment="1">
      <alignment horizontal="center" vertical="center" wrapText="1"/>
    </xf>
    <xf numFmtId="0" fontId="22" fillId="0" borderId="0" xfId="0" applyFont="1" applyFill="1" applyBorder="1" applyAlignment="1">
      <alignment horizontal="center"/>
    </xf>
    <xf numFmtId="0" fontId="6" fillId="0" borderId="0" xfId="0" applyNumberFormat="1" applyFont="1" applyBorder="1" applyAlignment="1">
      <alignment vertical="top" wrapText="1"/>
    </xf>
    <xf numFmtId="2" fontId="22" fillId="0" borderId="0" xfId="0" applyNumberFormat="1" applyFont="1" applyFill="1" applyBorder="1" applyAlignment="1">
      <alignment horizontal="center"/>
    </xf>
    <xf numFmtId="0" fontId="6" fillId="4" borderId="0" xfId="0" applyNumberFormat="1" applyFont="1" applyFill="1" applyBorder="1" applyAlignment="1">
      <alignment vertical="center" wrapText="1"/>
    </xf>
    <xf numFmtId="2" fontId="6" fillId="6" borderId="0" xfId="0" applyNumberFormat="1" applyFont="1" applyFill="1" applyBorder="1" applyAlignment="1">
      <alignment horizontal="center" vertical="center"/>
    </xf>
    <xf numFmtId="2" fontId="22" fillId="6" borderId="0" xfId="0" applyNumberFormat="1" applyFont="1" applyFill="1" applyBorder="1" applyAlignment="1">
      <alignment horizontal="center" vertical="center"/>
    </xf>
    <xf numFmtId="2" fontId="6" fillId="0" borderId="0" xfId="0" applyNumberFormat="1" applyFont="1" applyFill="1" applyBorder="1" applyAlignment="1">
      <alignment horizontal="center" vertical="center"/>
    </xf>
    <xf numFmtId="0" fontId="29" fillId="9" borderId="0" xfId="33" applyFont="1" applyFill="1" applyAlignment="1">
      <alignment vertical="center"/>
    </xf>
    <xf numFmtId="0" fontId="5" fillId="0" borderId="0" xfId="33" applyFont="1" applyFill="1" applyBorder="1" applyAlignment="1">
      <alignment horizontal="left" vertical="center" wrapText="1"/>
    </xf>
    <xf numFmtId="0" fontId="5" fillId="0" borderId="0" xfId="33" applyFont="1" applyAlignment="1">
      <alignment vertical="center"/>
    </xf>
    <xf numFmtId="0" fontId="25" fillId="0" borderId="0" xfId="40" applyFont="1" applyFill="1" applyBorder="1" applyAlignment="1"/>
    <xf numFmtId="0" fontId="26" fillId="0" borderId="0" xfId="40" applyFont="1" applyFill="1" applyBorder="1" applyAlignment="1">
      <alignment horizontal="center"/>
    </xf>
    <xf numFmtId="0" fontId="26" fillId="0" borderId="0" xfId="40" applyFont="1" applyFill="1" applyBorder="1">
      <alignment vertical="center"/>
    </xf>
    <xf numFmtId="0" fontId="16" fillId="0" borderId="0" xfId="0" applyFont="1" applyAlignment="1">
      <alignment horizontal="center" vertical="center" wrapText="1"/>
    </xf>
    <xf numFmtId="0" fontId="26" fillId="0" borderId="0" xfId="33" applyFont="1" applyFill="1" applyBorder="1"/>
    <xf numFmtId="0" fontId="25" fillId="9" borderId="0" xfId="40" applyFont="1" applyFill="1" applyBorder="1" applyAlignment="1">
      <alignment vertical="center" wrapText="1"/>
    </xf>
    <xf numFmtId="0" fontId="6" fillId="3" borderId="0" xfId="40" applyFont="1" applyFill="1" applyBorder="1" applyAlignment="1">
      <alignment horizontal="center" vertical="center" wrapText="1"/>
    </xf>
    <xf numFmtId="0" fontId="6" fillId="3" borderId="0" xfId="40" applyFont="1" applyFill="1" applyBorder="1" applyAlignment="1">
      <alignment vertical="center" wrapText="1"/>
    </xf>
    <xf numFmtId="0" fontId="16" fillId="3" borderId="0" xfId="40" applyFont="1" applyFill="1" applyAlignment="1">
      <alignment horizontal="center" vertical="center" wrapText="1"/>
    </xf>
    <xf numFmtId="0" fontId="6" fillId="0" borderId="0" xfId="33" applyFont="1" applyBorder="1" applyAlignment="1">
      <alignment wrapText="1"/>
    </xf>
    <xf numFmtId="0" fontId="25" fillId="9" borderId="0" xfId="40" applyFont="1" applyFill="1" applyBorder="1" applyAlignment="1">
      <alignment vertical="center"/>
    </xf>
    <xf numFmtId="0" fontId="6" fillId="3" borderId="0" xfId="40" applyFont="1" applyFill="1" applyBorder="1" applyAlignment="1">
      <alignment horizontal="center" vertical="center"/>
    </xf>
    <xf numFmtId="0" fontId="6" fillId="3" borderId="0" xfId="40" applyFont="1" applyFill="1" applyBorder="1" applyAlignment="1">
      <alignment vertical="center"/>
    </xf>
    <xf numFmtId="0" fontId="6" fillId="0" borderId="0" xfId="33" applyFont="1" applyBorder="1"/>
    <xf numFmtId="0" fontId="16" fillId="0" borderId="0" xfId="40" applyFont="1" applyAlignment="1">
      <alignment horizontal="left" vertical="center" wrapText="1"/>
    </xf>
    <xf numFmtId="0" fontId="16" fillId="0" borderId="13" xfId="40" applyFont="1" applyBorder="1" applyAlignment="1">
      <alignment horizontal="left" vertical="center" wrapText="1"/>
    </xf>
    <xf numFmtId="0" fontId="16" fillId="0" borderId="0" xfId="40" applyFont="1" applyFill="1" applyAlignment="1">
      <alignment horizontal="left" vertical="center" wrapText="1"/>
    </xf>
    <xf numFmtId="0" fontId="6" fillId="0" borderId="0" xfId="40" applyFont="1" applyBorder="1" applyAlignment="1">
      <alignment horizontal="center"/>
    </xf>
    <xf numFmtId="0" fontId="6" fillId="0" borderId="0" xfId="40" applyFont="1" applyBorder="1">
      <alignment vertical="center"/>
    </xf>
    <xf numFmtId="0" fontId="22" fillId="0" borderId="0" xfId="0" applyFont="1" applyBorder="1" applyAlignment="1">
      <alignment horizontal="center" vertical="center"/>
    </xf>
    <xf numFmtId="0" fontId="22" fillId="0" borderId="0" xfId="0" applyFont="1" applyBorder="1" applyAlignment="1">
      <alignment vertical="top"/>
    </xf>
    <xf numFmtId="0" fontId="6" fillId="0" borderId="0" xfId="0" applyNumberFormat="1" applyFont="1" applyBorder="1" applyAlignment="1">
      <alignment vertical="top"/>
    </xf>
    <xf numFmtId="0" fontId="6" fillId="4" borderId="0" xfId="0" applyNumberFormat="1" applyFont="1" applyFill="1" applyBorder="1" applyAlignment="1">
      <alignment vertical="center"/>
    </xf>
    <xf numFmtId="0" fontId="16" fillId="0" borderId="0" xfId="0" applyFont="1" applyFill="1" applyBorder="1" applyAlignment="1">
      <alignment horizontal="left" vertical="center"/>
    </xf>
    <xf numFmtId="0" fontId="10" fillId="11" borderId="0" xfId="0" applyFont="1" applyFill="1" applyBorder="1" applyAlignment="1">
      <alignment horizontal="center" vertical="center"/>
    </xf>
    <xf numFmtId="0" fontId="6" fillId="0" borderId="0" xfId="34" applyFont="1" applyBorder="1" applyAlignment="1">
      <alignment horizontal="center" vertical="center" wrapText="1"/>
    </xf>
    <xf numFmtId="0" fontId="25" fillId="0" borderId="0" xfId="0" applyFont="1" applyFill="1" applyBorder="1" applyAlignment="1">
      <alignment horizontal="center" vertical="center" wrapText="1"/>
    </xf>
    <xf numFmtId="0" fontId="16" fillId="8" borderId="0" xfId="0" applyFont="1" applyFill="1" applyAlignment="1">
      <alignment horizontal="center" vertical="center"/>
    </xf>
    <xf numFmtId="0" fontId="25" fillId="0" borderId="0" xfId="0" applyFont="1" applyBorder="1" applyAlignment="1">
      <alignment horizontal="center" vertical="center" wrapText="1"/>
    </xf>
    <xf numFmtId="0" fontId="6" fillId="11" borderId="0" xfId="0" applyFont="1" applyFill="1" applyBorder="1" applyAlignment="1">
      <alignment horizontal="center" vertical="center"/>
    </xf>
    <xf numFmtId="182" fontId="16" fillId="4" borderId="0" xfId="50" quotePrefix="1" applyFont="1" applyFill="1" applyBorder="1" applyAlignment="1">
      <alignment horizontal="left" vertical="center"/>
    </xf>
    <xf numFmtId="0" fontId="16" fillId="4" borderId="0" xfId="50" quotePrefix="1" applyNumberFormat="1" applyFont="1" applyFill="1" applyBorder="1" applyAlignment="1">
      <alignment horizontal="center" vertical="center"/>
    </xf>
    <xf numFmtId="182" fontId="16" fillId="4" borderId="0" xfId="50" applyFont="1" applyFill="1" applyBorder="1" applyAlignment="1">
      <alignment horizontal="center" vertical="center"/>
    </xf>
    <xf numFmtId="182" fontId="16" fillId="4" borderId="0" xfId="50" applyFont="1" applyFill="1" applyBorder="1" applyAlignment="1">
      <alignment horizontal="left" vertical="center"/>
    </xf>
    <xf numFmtId="0" fontId="6" fillId="11" borderId="0" xfId="0" applyFont="1" applyFill="1" applyAlignment="1">
      <alignment horizontal="center" vertical="center"/>
    </xf>
    <xf numFmtId="181" fontId="6" fillId="3" borderId="0" xfId="42" applyFont="1" applyFill="1" applyBorder="1" applyAlignment="1">
      <alignment horizontal="left" vertical="center" wrapText="1"/>
    </xf>
    <xf numFmtId="181" fontId="21" fillId="3" borderId="0" xfId="42" applyFont="1" applyFill="1" applyBorder="1" applyAlignment="1">
      <alignment horizontal="center" vertical="center" wrapText="1"/>
    </xf>
    <xf numFmtId="181" fontId="21" fillId="3" borderId="0" xfId="42" applyFont="1" applyFill="1" applyBorder="1" applyAlignment="1">
      <alignment horizontal="left" vertical="center" wrapText="1"/>
    </xf>
    <xf numFmtId="0" fontId="16" fillId="0" borderId="0" xfId="0" applyFont="1" applyAlignment="1">
      <alignment horizontal="left" vertical="center" wrapText="1"/>
    </xf>
    <xf numFmtId="0" fontId="6" fillId="0" borderId="0" xfId="0" applyFont="1" applyFill="1" applyBorder="1" applyAlignment="1">
      <alignment horizontal="center" vertical="center" wrapText="1"/>
    </xf>
    <xf numFmtId="181" fontId="25" fillId="9" borderId="0" xfId="42" applyFont="1" applyFill="1" applyBorder="1" applyAlignment="1">
      <alignment horizontal="center" vertical="center"/>
    </xf>
    <xf numFmtId="181" fontId="25" fillId="9" borderId="0" xfId="42" applyFont="1" applyFill="1" applyBorder="1" applyAlignment="1">
      <alignment horizontal="left" vertical="center"/>
    </xf>
    <xf numFmtId="181" fontId="6" fillId="3" borderId="0" xfId="42" applyFont="1" applyFill="1" applyBorder="1" applyAlignment="1">
      <alignment horizontal="center" vertical="center" textRotation="90"/>
    </xf>
    <xf numFmtId="181" fontId="6" fillId="3" borderId="0" xfId="42" applyFont="1" applyFill="1" applyBorder="1" applyAlignment="1">
      <alignment horizontal="left" vertical="center"/>
    </xf>
    <xf numFmtId="181" fontId="21" fillId="3" borderId="0" xfId="42" applyFont="1" applyFill="1" applyBorder="1" applyAlignment="1">
      <alignment horizontal="center" vertical="center"/>
    </xf>
    <xf numFmtId="181" fontId="21" fillId="3" borderId="0" xfId="42" applyFont="1" applyFill="1" applyBorder="1" applyAlignment="1">
      <alignment horizontal="left" vertical="center"/>
    </xf>
    <xf numFmtId="0" fontId="6" fillId="0" borderId="0" xfId="50" applyNumberFormat="1" applyFont="1" applyFill="1" applyBorder="1" applyAlignment="1">
      <alignment horizontal="left" vertical="center"/>
    </xf>
    <xf numFmtId="0" fontId="6" fillId="0" borderId="0" xfId="34" applyFont="1" applyBorder="1" applyAlignment="1">
      <alignment horizontal="left" vertical="center"/>
    </xf>
    <xf numFmtId="0" fontId="6" fillId="0" borderId="0" xfId="34" applyFont="1" applyBorder="1" applyAlignment="1">
      <alignment horizontal="center" vertical="center"/>
    </xf>
    <xf numFmtId="0" fontId="23" fillId="0" borderId="0" xfId="39" applyFont="1" applyBorder="1" applyAlignment="1">
      <alignment horizontal="center" vertical="center" wrapText="1"/>
    </xf>
    <xf numFmtId="0" fontId="16" fillId="0" borderId="0" xfId="0" applyFont="1" applyBorder="1" applyAlignment="1">
      <alignment vertical="center" wrapText="1"/>
    </xf>
    <xf numFmtId="182" fontId="16" fillId="4" borderId="0" xfId="50" applyFont="1" applyFill="1" applyBorder="1" applyAlignment="1">
      <alignment horizontal="left" vertical="center" wrapText="1"/>
    </xf>
    <xf numFmtId="182" fontId="6" fillId="6" borderId="0" xfId="50" applyFont="1" applyFill="1" applyBorder="1" applyAlignment="1">
      <alignment horizontal="left" vertical="center" wrapText="1"/>
    </xf>
    <xf numFmtId="0" fontId="6" fillId="9" borderId="0" xfId="0" applyFont="1" applyFill="1" applyBorder="1" applyAlignment="1">
      <alignment horizontal="center" vertical="center"/>
    </xf>
    <xf numFmtId="0" fontId="25" fillId="9" borderId="0" xfId="0" applyFont="1" applyFill="1" applyBorder="1" applyAlignment="1">
      <alignment horizontal="center" vertical="center" wrapText="1"/>
    </xf>
    <xf numFmtId="0" fontId="16" fillId="3" borderId="0" xfId="40" applyFont="1" applyFill="1" applyBorder="1" applyAlignment="1">
      <alignment horizontal="center" vertical="center" wrapText="1"/>
    </xf>
    <xf numFmtId="169" fontId="6" fillId="6" borderId="0" xfId="0" applyNumberFormat="1" applyFont="1" applyFill="1" applyBorder="1" applyAlignment="1">
      <alignment horizontal="center" vertical="center"/>
    </xf>
    <xf numFmtId="0" fontId="16" fillId="0" borderId="0" xfId="0" applyFont="1" applyBorder="1" applyAlignment="1">
      <alignment horizontal="left" vertical="center"/>
    </xf>
    <xf numFmtId="0" fontId="23" fillId="9" borderId="0" xfId="0" applyFont="1" applyFill="1" applyBorder="1" applyAlignment="1">
      <alignment horizontal="left" vertical="center"/>
    </xf>
    <xf numFmtId="0" fontId="16" fillId="4" borderId="0" xfId="0" applyFont="1" applyFill="1" applyBorder="1" applyAlignment="1">
      <alignment horizontal="center" vertical="center"/>
    </xf>
    <xf numFmtId="0" fontId="16" fillId="4" borderId="0" xfId="0" applyFont="1" applyFill="1" applyBorder="1" applyAlignment="1">
      <alignment horizontal="center" vertical="center" wrapText="1"/>
    </xf>
    <xf numFmtId="182" fontId="8" fillId="4" borderId="0" xfId="50" quotePrefix="1" applyFill="1" applyBorder="1" applyAlignment="1">
      <alignment horizontal="left" vertical="center"/>
    </xf>
    <xf numFmtId="182" fontId="16" fillId="4" borderId="0" xfId="9" applyBorder="1">
      <alignment horizontal="center" vertical="center"/>
    </xf>
    <xf numFmtId="0" fontId="16" fillId="9" borderId="0" xfId="0" applyFont="1" applyFill="1" applyBorder="1">
      <alignment vertical="center"/>
    </xf>
    <xf numFmtId="0" fontId="6" fillId="8" borderId="0" xfId="0" applyFont="1" applyFill="1" applyBorder="1" applyAlignment="1">
      <alignment horizontal="center" vertical="center"/>
    </xf>
    <xf numFmtId="0" fontId="25" fillId="0" borderId="0" xfId="0" applyFont="1" applyBorder="1">
      <alignment vertical="center"/>
    </xf>
    <xf numFmtId="0" fontId="25" fillId="0" borderId="0" xfId="0" applyFont="1" applyBorder="1" applyAlignment="1">
      <alignment horizontal="center" vertical="center"/>
    </xf>
    <xf numFmtId="0" fontId="6" fillId="0" borderId="0" xfId="0" applyFont="1" applyBorder="1" applyAlignment="1">
      <alignment horizontal="left"/>
    </xf>
    <xf numFmtId="0" fontId="6" fillId="0" borderId="0" xfId="0" applyFont="1" applyFill="1" applyBorder="1" applyAlignment="1">
      <alignment horizontal="center"/>
    </xf>
    <xf numFmtId="0" fontId="6" fillId="0" borderId="0" xfId="0" applyFont="1" applyBorder="1" applyAlignment="1">
      <alignment vertical="top" wrapText="1"/>
    </xf>
    <xf numFmtId="0" fontId="16" fillId="9" borderId="0" xfId="0" applyFont="1" applyFill="1" applyBorder="1" applyAlignment="1">
      <alignment vertical="center" wrapText="1"/>
    </xf>
    <xf numFmtId="182" fontId="8" fillId="4" borderId="0" xfId="50" quotePrefix="1" applyFont="1" applyFill="1" applyBorder="1" applyAlignment="1">
      <alignment horizontal="left" vertical="center"/>
    </xf>
    <xf numFmtId="182" fontId="16" fillId="4" borderId="0" xfId="9" applyFont="1" applyBorder="1">
      <alignment horizontal="center" vertical="center"/>
    </xf>
    <xf numFmtId="0" fontId="25" fillId="9" borderId="0" xfId="0" applyFont="1" applyFill="1" applyBorder="1" applyAlignment="1">
      <alignment vertical="center" wrapText="1"/>
    </xf>
    <xf numFmtId="0" fontId="6" fillId="0" borderId="0" xfId="0" applyFont="1" applyBorder="1" applyAlignment="1">
      <alignment horizontal="center" vertical="center" textRotation="90" wrapText="1"/>
    </xf>
    <xf numFmtId="0" fontId="6" fillId="9" borderId="0" xfId="0" applyFont="1" applyFill="1" applyBorder="1" applyAlignment="1">
      <alignment vertical="center" wrapText="1"/>
    </xf>
    <xf numFmtId="0" fontId="25" fillId="9" borderId="0" xfId="0" applyFont="1" applyFill="1" applyBorder="1" applyAlignment="1">
      <alignment horizontal="left" vertical="center"/>
    </xf>
    <xf numFmtId="0" fontId="6" fillId="6" borderId="0" xfId="0" applyFont="1" applyFill="1" applyBorder="1" applyAlignment="1">
      <alignment horizontal="center" vertical="center"/>
    </xf>
    <xf numFmtId="169" fontId="6" fillId="4" borderId="0" xfId="0" applyNumberFormat="1" applyFont="1" applyFill="1" applyBorder="1" applyAlignment="1">
      <alignment horizontal="center" vertical="center"/>
    </xf>
    <xf numFmtId="0" fontId="10" fillId="8" borderId="0" xfId="0" applyFont="1" applyFill="1" applyBorder="1" applyAlignment="1">
      <alignment horizontal="center" vertical="center"/>
    </xf>
    <xf numFmtId="182" fontId="6" fillId="4" borderId="0" xfId="50" applyFont="1" applyFill="1" applyBorder="1" applyAlignment="1">
      <alignment horizontal="left" vertical="center" wrapText="1"/>
    </xf>
    <xf numFmtId="0" fontId="6" fillId="0" borderId="0" xfId="0" applyFont="1" applyFill="1" applyBorder="1">
      <alignment vertical="center"/>
    </xf>
    <xf numFmtId="0" fontId="6" fillId="11" borderId="0" xfId="0" applyFont="1" applyFill="1" applyBorder="1" applyAlignment="1">
      <alignment horizontal="left" vertical="center"/>
    </xf>
    <xf numFmtId="0" fontId="10" fillId="0" borderId="0" xfId="0" applyFont="1" applyBorder="1">
      <alignment vertical="center"/>
    </xf>
    <xf numFmtId="0" fontId="16" fillId="3" borderId="0" xfId="8" applyBorder="1">
      <alignment horizontal="center" vertical="center" wrapText="1"/>
    </xf>
    <xf numFmtId="0" fontId="16" fillId="3" borderId="0" xfId="8" applyFont="1" applyBorder="1">
      <alignment horizontal="center" vertical="center" wrapText="1"/>
    </xf>
    <xf numFmtId="169" fontId="6" fillId="0" borderId="0" xfId="0" applyNumberFormat="1" applyFont="1" applyBorder="1">
      <alignment vertical="center"/>
    </xf>
    <xf numFmtId="169" fontId="6" fillId="0" borderId="0" xfId="0" applyNumberFormat="1" applyFont="1" applyFill="1" applyBorder="1" applyAlignment="1">
      <alignment horizontal="center" vertical="center"/>
    </xf>
    <xf numFmtId="182" fontId="21" fillId="0" borderId="0" xfId="39" applyNumberFormat="1" applyFont="1" applyBorder="1" applyAlignment="1">
      <alignment horizontal="center" vertical="center"/>
    </xf>
    <xf numFmtId="182" fontId="16" fillId="0" borderId="0" xfId="39" applyNumberFormat="1" applyBorder="1" applyAlignment="1">
      <alignment horizontal="center" vertical="center"/>
    </xf>
    <xf numFmtId="182" fontId="16" fillId="0" borderId="0" xfId="39" applyNumberFormat="1" applyFont="1" applyBorder="1" applyAlignment="1">
      <alignment horizontal="center" vertical="center"/>
    </xf>
    <xf numFmtId="0" fontId="10" fillId="9" borderId="0" xfId="34" applyFont="1" applyFill="1" applyBorder="1" applyAlignment="1">
      <alignment horizontal="left" vertical="center"/>
    </xf>
    <xf numFmtId="181" fontId="31" fillId="3" borderId="0" xfId="42" applyFont="1" applyFill="1" applyBorder="1" applyAlignment="1">
      <alignment horizontal="left" vertical="center" wrapText="1"/>
    </xf>
    <xf numFmtId="0" fontId="16" fillId="0" borderId="0" xfId="39" applyFont="1" applyFill="1" applyBorder="1">
      <alignment vertical="center"/>
    </xf>
    <xf numFmtId="0" fontId="30" fillId="0" borderId="0" xfId="38" applyFont="1" applyBorder="1" applyAlignment="1">
      <alignment horizontal="center" vertical="center" wrapText="1"/>
    </xf>
    <xf numFmtId="0" fontId="30" fillId="0" borderId="0" xfId="39" applyFont="1" applyBorder="1" applyAlignment="1">
      <alignment horizontal="center" vertical="center" wrapText="1"/>
    </xf>
    <xf numFmtId="0" fontId="16" fillId="9" borderId="0" xfId="0" applyFont="1" applyFill="1" applyBorder="1" applyAlignment="1">
      <alignment horizontal="center" vertical="center"/>
    </xf>
    <xf numFmtId="0" fontId="6" fillId="0" borderId="0" xfId="0" applyFont="1" applyFill="1" applyBorder="1" applyAlignment="1">
      <alignment vertical="center" wrapText="1"/>
    </xf>
    <xf numFmtId="0" fontId="6" fillId="4" borderId="0" xfId="0" applyFont="1" applyFill="1" applyBorder="1" applyAlignment="1">
      <alignment vertical="center"/>
    </xf>
    <xf numFmtId="2" fontId="6" fillId="3" borderId="0" xfId="0" applyNumberFormat="1" applyFont="1" applyFill="1" applyBorder="1" applyAlignment="1">
      <alignment horizontal="center" vertical="center"/>
    </xf>
    <xf numFmtId="0" fontId="6" fillId="0" borderId="0" xfId="0" applyFont="1" applyBorder="1" applyAlignment="1">
      <alignment horizontal="left" vertical="center" wrapText="1"/>
    </xf>
    <xf numFmtId="169" fontId="16" fillId="6" borderId="0" xfId="0" applyNumberFormat="1" applyFont="1" applyFill="1" applyBorder="1" applyAlignment="1">
      <alignment horizontal="center" vertical="center"/>
    </xf>
    <xf numFmtId="0" fontId="16"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169" fontId="1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167" fontId="10" fillId="0" borderId="0" xfId="0" applyNumberFormat="1" applyFont="1" applyBorder="1" applyAlignment="1">
      <alignment horizontal="center" vertical="center"/>
    </xf>
    <xf numFmtId="181" fontId="24" fillId="3" borderId="0" xfId="42" applyFont="1" applyFill="1" applyBorder="1" applyAlignment="1">
      <alignment horizontal="center" vertical="center"/>
    </xf>
    <xf numFmtId="181" fontId="24" fillId="3" borderId="0" xfId="42" applyFont="1" applyFill="1" applyBorder="1" applyAlignment="1">
      <alignment horizontal="left" vertical="center"/>
    </xf>
    <xf numFmtId="0" fontId="6" fillId="0" borderId="0" xfId="0" applyFont="1" applyBorder="1" applyAlignment="1">
      <alignment horizontal="left" vertical="center"/>
    </xf>
    <xf numFmtId="0" fontId="23" fillId="0" borderId="0" xfId="0" applyFont="1" applyFill="1" applyBorder="1" applyAlignment="1">
      <alignment horizontal="left" vertical="center"/>
    </xf>
    <xf numFmtId="0" fontId="16" fillId="0" borderId="0" xfId="0" applyFont="1" applyFill="1" applyBorder="1" applyAlignment="1">
      <alignment horizontal="center" vertical="center" wrapText="1"/>
    </xf>
    <xf numFmtId="182" fontId="6" fillId="0" borderId="0" xfId="50" applyFont="1" applyFill="1" applyBorder="1" applyAlignment="1">
      <alignment horizontal="left" vertical="center" wrapText="1"/>
    </xf>
    <xf numFmtId="182" fontId="6" fillId="0" borderId="0" xfId="50" applyFont="1" applyFill="1" applyBorder="1" applyAlignment="1">
      <alignment horizontal="center" vertical="center"/>
    </xf>
    <xf numFmtId="182" fontId="6" fillId="0" borderId="0" xfId="50" quotePrefix="1" applyFont="1" applyFill="1" applyBorder="1" applyAlignment="1">
      <alignment horizontal="left" vertical="center"/>
    </xf>
    <xf numFmtId="0" fontId="6" fillId="0" borderId="0" xfId="50" quotePrefix="1" applyNumberFormat="1" applyFont="1" applyFill="1" applyBorder="1" applyAlignment="1">
      <alignment horizontal="center" vertical="center"/>
    </xf>
    <xf numFmtId="184" fontId="16" fillId="0" borderId="0" xfId="16" applyNumberFormat="1" applyFont="1" applyFill="1" applyBorder="1" applyAlignment="1">
      <alignment horizontal="center" vertical="center"/>
    </xf>
    <xf numFmtId="0" fontId="6" fillId="0" borderId="0" xfId="34" applyFont="1" applyFill="1" applyBorder="1">
      <alignment horizontal="left" vertical="center" wrapText="1"/>
    </xf>
    <xf numFmtId="0" fontId="6" fillId="0" borderId="0" xfId="34" applyFont="1" applyFill="1" applyBorder="1" applyAlignment="1">
      <alignment horizontal="left" vertical="center" wrapText="1"/>
    </xf>
    <xf numFmtId="0" fontId="6" fillId="0" borderId="0" xfId="0" applyFont="1" applyFill="1" applyBorder="1" applyAlignment="1">
      <alignment vertical="top"/>
    </xf>
    <xf numFmtId="0" fontId="6" fillId="0" borderId="0" xfId="0" applyFont="1" applyFill="1" applyBorder="1" applyAlignment="1">
      <alignment horizontal="center" wrapText="1"/>
    </xf>
    <xf numFmtId="0" fontId="16" fillId="0" borderId="0" xfId="0" applyFont="1" applyAlignment="1">
      <alignment horizontal="left" vertical="center"/>
    </xf>
    <xf numFmtId="0" fontId="16" fillId="0" borderId="0" xfId="0" applyFont="1" applyFill="1" applyAlignment="1">
      <alignment horizontal="left" vertical="center"/>
    </xf>
    <xf numFmtId="0" fontId="6" fillId="0" borderId="0" xfId="33" applyFont="1" applyBorder="1" applyAlignment="1">
      <alignment horizontal="left" vertical="center" wrapText="1"/>
    </xf>
    <xf numFmtId="0" fontId="6" fillId="3" borderId="0" xfId="33" applyFont="1" applyFill="1" applyBorder="1" applyAlignment="1">
      <alignment horizontal="left" vertical="center" wrapText="1"/>
    </xf>
    <xf numFmtId="0" fontId="6" fillId="0" borderId="0" xfId="33" applyFont="1" applyFill="1" applyBorder="1" applyAlignment="1">
      <alignment horizontal="left" vertical="center" wrapText="1"/>
    </xf>
    <xf numFmtId="0" fontId="25" fillId="11" borderId="0" xfId="40" applyFont="1" applyFill="1" applyBorder="1" applyAlignment="1"/>
    <xf numFmtId="0" fontId="6" fillId="0" borderId="0" xfId="33" applyFont="1" applyBorder="1" applyAlignment="1">
      <alignment horizontal="center"/>
    </xf>
    <xf numFmtId="167" fontId="16" fillId="4" borderId="0" xfId="9" applyNumberFormat="1" applyBorder="1">
      <alignment horizontal="center" vertical="center"/>
    </xf>
    <xf numFmtId="167" fontId="6" fillId="0" borderId="0" xfId="50" applyNumberFormat="1" applyFont="1" applyFill="1" applyBorder="1" applyAlignment="1">
      <alignment horizontal="center" vertical="center"/>
    </xf>
    <xf numFmtId="167" fontId="6" fillId="0" borderId="0" xfId="50" applyNumberFormat="1" applyFont="1" applyFill="1" applyBorder="1" applyAlignment="1">
      <alignment horizontal="left" vertical="center"/>
    </xf>
    <xf numFmtId="0" fontId="16" fillId="0" borderId="0" xfId="39" applyBorder="1" applyAlignment="1">
      <alignment horizontal="center" vertical="center"/>
    </xf>
    <xf numFmtId="0" fontId="16" fillId="0" borderId="0" xfId="39" applyFill="1" applyBorder="1">
      <alignment vertical="center"/>
    </xf>
    <xf numFmtId="0" fontId="16" fillId="7" borderId="0" xfId="0" applyFont="1" applyFill="1" applyBorder="1" applyAlignment="1">
      <alignment horizontal="center" vertical="center"/>
    </xf>
    <xf numFmtId="0" fontId="16" fillId="11" borderId="0" xfId="0" applyFont="1" applyFill="1" applyBorder="1" applyAlignment="1">
      <alignment horizontal="center" vertical="center"/>
    </xf>
    <xf numFmtId="0" fontId="16" fillId="0" borderId="0" xfId="0" applyFont="1" applyFill="1" applyAlignment="1">
      <alignment horizontal="center" vertical="center" wrapText="1"/>
    </xf>
    <xf numFmtId="0" fontId="16" fillId="0" borderId="0" xfId="0" applyFont="1" applyAlignment="1">
      <alignment horizontal="center" vertical="center"/>
    </xf>
    <xf numFmtId="2" fontId="16" fillId="0" borderId="0" xfId="0" applyNumberFormat="1" applyFont="1" applyAlignment="1">
      <alignment horizontal="center" vertical="center"/>
    </xf>
    <xf numFmtId="0" fontId="16" fillId="9" borderId="0" xfId="0" applyFont="1" applyFill="1" applyAlignment="1">
      <alignment vertical="center" wrapText="1"/>
    </xf>
    <xf numFmtId="0" fontId="23" fillId="9" borderId="0" xfId="0" applyFont="1" applyFill="1" applyAlignment="1">
      <alignment horizontal="left" vertical="center"/>
    </xf>
    <xf numFmtId="0" fontId="16" fillId="4" borderId="0" xfId="0" applyFont="1" applyFill="1" applyAlignment="1">
      <alignment horizontal="center" vertical="center" wrapText="1"/>
    </xf>
    <xf numFmtId="0" fontId="16" fillId="4" borderId="0" xfId="0" applyFont="1" applyFill="1" applyAlignment="1">
      <alignment horizontal="center" vertical="center"/>
    </xf>
    <xf numFmtId="182" fontId="16" fillId="4" borderId="0" xfId="0" applyNumberFormat="1" applyFont="1" applyFill="1" applyAlignment="1">
      <alignment horizontal="left" vertical="center" wrapText="1"/>
    </xf>
    <xf numFmtId="182" fontId="16" fillId="4" borderId="0" xfId="0" applyNumberFormat="1" applyFont="1" applyFill="1" applyAlignment="1">
      <alignment horizontal="center" vertical="center"/>
    </xf>
    <xf numFmtId="182" fontId="16" fillId="4" borderId="0" xfId="0" applyNumberFormat="1" applyFont="1" applyFill="1" applyAlignment="1">
      <alignment horizontal="left" vertical="center"/>
    </xf>
    <xf numFmtId="0" fontId="26" fillId="9" borderId="0" xfId="0" applyFont="1" applyFill="1" applyAlignment="1">
      <alignment horizontal="left" wrapText="1"/>
    </xf>
    <xf numFmtId="0" fontId="6" fillId="0" borderId="0" xfId="0" applyFont="1" applyAlignment="1">
      <alignment horizontal="left" wrapText="1"/>
    </xf>
    <xf numFmtId="0" fontId="7" fillId="0" borderId="0" xfId="12" applyAlignment="1" applyProtection="1">
      <alignment horizontal="left" wrapText="1"/>
    </xf>
    <xf numFmtId="184" fontId="6" fillId="4" borderId="0" xfId="16" applyNumberFormat="1" applyFont="1" applyFill="1" applyBorder="1" applyAlignment="1">
      <alignment horizontal="center" vertical="center"/>
    </xf>
    <xf numFmtId="0" fontId="10" fillId="9" borderId="0" xfId="0" applyFont="1" applyFill="1" applyBorder="1" applyAlignment="1">
      <alignment vertical="center"/>
    </xf>
    <xf numFmtId="0" fontId="23" fillId="0" borderId="0" xfId="0" applyFont="1" applyBorder="1">
      <alignment vertical="center"/>
    </xf>
    <xf numFmtId="0" fontId="23" fillId="0" borderId="0" xfId="0" applyFont="1" applyBorder="1" applyAlignment="1">
      <alignment horizontal="center" vertical="center"/>
    </xf>
    <xf numFmtId="0" fontId="16" fillId="0" borderId="0" xfId="0" applyFont="1" applyBorder="1">
      <alignment vertical="center"/>
    </xf>
    <xf numFmtId="0" fontId="16" fillId="0" borderId="0" xfId="0" applyFont="1" applyBorder="1" applyAlignment="1">
      <alignment horizontal="center" vertical="center"/>
    </xf>
    <xf numFmtId="0" fontId="10" fillId="0" borderId="0" xfId="0" applyFont="1" applyFill="1" applyBorder="1">
      <alignment vertical="center"/>
    </xf>
    <xf numFmtId="169" fontId="6" fillId="0" borderId="0" xfId="50" applyNumberFormat="1" applyFont="1" applyFill="1" applyBorder="1" applyAlignment="1">
      <alignment horizontal="left" vertical="center" wrapText="1"/>
    </xf>
    <xf numFmtId="0" fontId="25" fillId="9" borderId="0" xfId="0" applyFont="1" applyFill="1" applyBorder="1" applyAlignment="1">
      <alignment vertical="center"/>
    </xf>
    <xf numFmtId="181" fontId="16" fillId="0" borderId="0" xfId="40" applyNumberFormat="1" applyFont="1" applyFill="1" applyAlignment="1">
      <alignment horizontal="left" vertical="center" wrapText="1"/>
    </xf>
    <xf numFmtId="182" fontId="16" fillId="0" borderId="0" xfId="9" applyFont="1" applyFill="1" applyBorder="1">
      <alignment horizontal="center" vertical="center"/>
    </xf>
    <xf numFmtId="0" fontId="16" fillId="9" borderId="0" xfId="0" applyFont="1" applyFill="1">
      <alignment vertical="center"/>
    </xf>
    <xf numFmtId="182" fontId="16" fillId="0" borderId="0" xfId="9" applyFill="1" applyBorder="1">
      <alignment horizontal="center" vertical="center"/>
    </xf>
    <xf numFmtId="167" fontId="16" fillId="0" borderId="0" xfId="9" applyNumberFormat="1" applyFont="1" applyFill="1" applyBorder="1">
      <alignment horizontal="center" vertical="center"/>
    </xf>
    <xf numFmtId="0" fontId="16" fillId="0" borderId="0" xfId="0" applyFont="1">
      <alignment vertical="center"/>
    </xf>
    <xf numFmtId="0" fontId="23" fillId="0" borderId="0" xfId="0" applyFont="1" applyAlignment="1">
      <alignment horizontal="center" vertical="center" wrapText="1"/>
    </xf>
    <xf numFmtId="0" fontId="30" fillId="0" borderId="0" xfId="0" applyFont="1" applyAlignment="1">
      <alignment horizontal="center" vertical="center" wrapText="1"/>
    </xf>
    <xf numFmtId="182" fontId="21" fillId="0" borderId="0" xfId="0" applyNumberFormat="1" applyFont="1" applyAlignment="1">
      <alignment horizontal="center" vertical="center"/>
    </xf>
    <xf numFmtId="182" fontId="16" fillId="0" borderId="0" xfId="0" applyNumberFormat="1" applyFont="1" applyAlignment="1">
      <alignment horizontal="center" vertical="center"/>
    </xf>
    <xf numFmtId="0" fontId="0" fillId="8" borderId="0" xfId="0" applyFill="1" applyAlignment="1">
      <alignment horizontal="center" vertical="center"/>
    </xf>
    <xf numFmtId="0" fontId="6" fillId="0" borderId="0" xfId="34" applyFont="1" applyFill="1" applyBorder="1" applyAlignment="1">
      <alignment horizontal="left" vertical="center"/>
    </xf>
    <xf numFmtId="181" fontId="25" fillId="0" borderId="0" xfId="42" applyFont="1" applyFill="1" applyBorder="1" applyAlignment="1">
      <alignment horizontal="left" vertical="center" wrapText="1"/>
    </xf>
    <xf numFmtId="2" fontId="16" fillId="4" borderId="0" xfId="9" applyNumberFormat="1" applyBorder="1">
      <alignment horizontal="center" vertical="center"/>
    </xf>
    <xf numFmtId="165" fontId="6" fillId="0" borderId="0" xfId="16" applyFont="1" applyFill="1" applyBorder="1" applyAlignment="1">
      <alignment horizontal="left" vertical="center" wrapText="1"/>
    </xf>
    <xf numFmtId="0" fontId="29" fillId="9" borderId="0" xfId="33" applyFont="1" applyFill="1" applyBorder="1" applyAlignment="1">
      <alignment horizontal="left" wrapText="1"/>
    </xf>
    <xf numFmtId="0" fontId="5" fillId="0" borderId="0" xfId="33" applyFont="1" applyFill="1" applyBorder="1" applyAlignment="1">
      <alignment horizontal="left" wrapText="1"/>
    </xf>
    <xf numFmtId="0" fontId="5" fillId="3" borderId="0" xfId="33" applyFont="1" applyFill="1" applyBorder="1" applyAlignment="1">
      <alignment horizontal="left" wrapText="1"/>
    </xf>
    <xf numFmtId="0" fontId="5" fillId="0" borderId="0" xfId="33" applyFont="1" applyBorder="1" applyAlignment="1">
      <alignment horizontal="left" wrapText="1"/>
    </xf>
    <xf numFmtId="0" fontId="20" fillId="0" borderId="0" xfId="13" applyFont="1" applyBorder="1" applyAlignment="1" applyProtection="1">
      <alignment horizontal="left" wrapText="1"/>
    </xf>
    <xf numFmtId="0" fontId="5" fillId="0" borderId="0" xfId="33" applyFont="1" applyAlignment="1">
      <alignment horizontal="left" wrapText="1"/>
    </xf>
    <xf numFmtId="166" fontId="16" fillId="4" borderId="0" xfId="29" applyNumberFormat="1" applyFont="1" applyFill="1" applyBorder="1" applyAlignment="1">
      <alignment horizontal="center" vertical="center"/>
    </xf>
    <xf numFmtId="0" fontId="6" fillId="13" borderId="0" xfId="0" applyFont="1" applyFill="1" applyBorder="1" applyAlignment="1">
      <alignment horizontal="center" vertical="center" wrapText="1"/>
    </xf>
    <xf numFmtId="9" fontId="16" fillId="0" borderId="0" xfId="29" applyFont="1" applyAlignment="1">
      <alignment horizontal="center" vertical="center"/>
    </xf>
    <xf numFmtId="1" fontId="16" fillId="0" borderId="0" xfId="0" applyNumberFormat="1" applyFont="1">
      <alignment vertical="center"/>
    </xf>
    <xf numFmtId="0" fontId="16" fillId="0" borderId="0" xfId="38" applyFont="1" applyBorder="1" applyAlignment="1">
      <alignment horizontal="center" vertical="center" wrapText="1"/>
    </xf>
    <xf numFmtId="182" fontId="30" fillId="0" borderId="0" xfId="0" applyNumberFormat="1" applyFont="1" applyAlignment="1">
      <alignment horizontal="center" vertical="center"/>
    </xf>
    <xf numFmtId="182" fontId="16" fillId="0" borderId="5" xfId="39" applyNumberFormat="1" applyBorder="1" applyAlignment="1">
      <alignment horizontal="center" vertical="center"/>
    </xf>
    <xf numFmtId="182" fontId="16" fillId="0" borderId="4" xfId="39" applyNumberFormat="1" applyFont="1" applyBorder="1" applyAlignment="1">
      <alignment horizontal="center" vertical="center"/>
    </xf>
    <xf numFmtId="182" fontId="16" fillId="0" borderId="3" xfId="39" applyNumberFormat="1" applyFont="1" applyBorder="1" applyAlignment="1">
      <alignment horizontal="center" vertical="center"/>
    </xf>
    <xf numFmtId="182" fontId="16" fillId="0" borderId="5" xfId="0" applyNumberFormat="1" applyFont="1" applyBorder="1" applyAlignment="1">
      <alignment horizontal="center" vertical="center"/>
    </xf>
    <xf numFmtId="182" fontId="16" fillId="0" borderId="4" xfId="0" applyNumberFormat="1" applyFont="1" applyBorder="1" applyAlignment="1">
      <alignment horizontal="center" vertical="center"/>
    </xf>
    <xf numFmtId="182" fontId="16" fillId="0" borderId="3" xfId="0" applyNumberFormat="1" applyFont="1" applyBorder="1" applyAlignment="1">
      <alignment horizontal="center" vertical="center"/>
    </xf>
    <xf numFmtId="182" fontId="16" fillId="0" borderId="5" xfId="39" applyNumberFormat="1" applyFont="1" applyBorder="1" applyAlignment="1">
      <alignment horizontal="center" vertical="center"/>
    </xf>
    <xf numFmtId="182" fontId="16" fillId="0" borderId="4" xfId="39" applyNumberFormat="1" applyBorder="1" applyAlignment="1">
      <alignment horizontal="center" vertical="center"/>
    </xf>
    <xf numFmtId="182" fontId="16" fillId="0" borderId="3" xfId="39" applyNumberFormat="1" applyBorder="1" applyAlignment="1">
      <alignment horizontal="center" vertical="center"/>
    </xf>
    <xf numFmtId="0" fontId="6" fillId="4" borderId="0" xfId="0" applyFont="1" applyFill="1">
      <alignment vertical="center"/>
    </xf>
    <xf numFmtId="166" fontId="10" fillId="0" borderId="0" xfId="29" applyNumberFormat="1" applyFont="1" applyBorder="1" applyAlignment="1">
      <alignment horizontal="center" vertical="center"/>
    </xf>
    <xf numFmtId="9" fontId="6" fillId="0" borderId="0" xfId="29" applyFont="1" applyFill="1" applyBorder="1" applyAlignment="1">
      <alignment horizontal="center" vertical="center"/>
    </xf>
    <xf numFmtId="184" fontId="10" fillId="0" borderId="0" xfId="16" applyNumberFormat="1" applyFont="1" applyBorder="1" applyAlignment="1">
      <alignment horizontal="center" vertical="center"/>
    </xf>
    <xf numFmtId="166" fontId="6" fillId="0" borderId="0" xfId="29" applyNumberFormat="1" applyFont="1" applyBorder="1" applyAlignment="1">
      <alignment vertical="center"/>
    </xf>
    <xf numFmtId="0" fontId="6" fillId="0" borderId="0" xfId="0" applyFont="1" applyBorder="1" applyAlignment="1">
      <alignment horizontal="right" vertical="center"/>
    </xf>
    <xf numFmtId="166" fontId="6" fillId="0" borderId="0" xfId="34" applyNumberFormat="1" applyFont="1" applyBorder="1" applyAlignment="1">
      <alignment horizontal="left" vertical="center"/>
    </xf>
    <xf numFmtId="0" fontId="6" fillId="9" borderId="0" xfId="0" applyFont="1" applyFill="1" applyBorder="1" applyAlignment="1">
      <alignment horizontal="center" vertical="center" wrapText="1"/>
    </xf>
    <xf numFmtId="182" fontId="6" fillId="0" borderId="0" xfId="0" applyNumberFormat="1" applyFont="1" applyBorder="1">
      <alignment vertical="center"/>
    </xf>
    <xf numFmtId="0" fontId="16" fillId="13" borderId="0" xfId="0" applyFont="1" applyFill="1" applyAlignment="1">
      <alignment horizontal="center" vertical="center"/>
    </xf>
    <xf numFmtId="0" fontId="6" fillId="9" borderId="0" xfId="0" applyFont="1" applyFill="1" applyAlignment="1">
      <alignment vertical="center" wrapText="1"/>
    </xf>
    <xf numFmtId="0" fontId="25" fillId="9" borderId="0" xfId="36" applyFont="1" applyFill="1" applyBorder="1" applyAlignment="1">
      <alignment vertical="center"/>
    </xf>
    <xf numFmtId="0" fontId="6" fillId="3" borderId="0" xfId="36" applyFont="1" applyFill="1" applyBorder="1" applyAlignment="1">
      <alignment horizontal="center" vertical="center"/>
    </xf>
    <xf numFmtId="0" fontId="6" fillId="3" borderId="0" xfId="36" applyFont="1" applyFill="1" applyBorder="1" applyAlignment="1">
      <alignment vertical="center"/>
    </xf>
    <xf numFmtId="0" fontId="16" fillId="3" borderId="0" xfId="8">
      <alignment horizontal="center" vertical="center" wrapText="1"/>
    </xf>
    <xf numFmtId="0" fontId="6" fillId="0" borderId="0" xfId="36" applyFont="1" applyFill="1" applyBorder="1" applyAlignment="1">
      <alignment horizontal="center" vertical="center"/>
    </xf>
    <xf numFmtId="167" fontId="16" fillId="13" borderId="13" xfId="40" applyNumberFormat="1" applyFont="1" applyFill="1" applyBorder="1" applyAlignment="1">
      <alignment horizontal="left" vertical="center" wrapText="1"/>
    </xf>
    <xf numFmtId="0" fontId="16" fillId="7" borderId="0" xfId="40" applyFont="1" applyFill="1" applyAlignment="1">
      <alignment horizontal="left" vertical="center" wrapText="1"/>
    </xf>
    <xf numFmtId="0" fontId="25" fillId="9" borderId="0" xfId="36" applyFont="1" applyFill="1" applyBorder="1" applyAlignment="1">
      <alignment horizontal="left" vertical="center"/>
    </xf>
    <xf numFmtId="1" fontId="16" fillId="0" borderId="0" xfId="40" applyNumberFormat="1" applyFont="1" applyFill="1" applyAlignment="1">
      <alignment horizontal="left" vertical="center" wrapText="1"/>
    </xf>
    <xf numFmtId="0" fontId="16" fillId="0" borderId="16" xfId="40" applyFont="1" applyFill="1" applyBorder="1" applyAlignment="1">
      <alignment horizontal="left" vertical="center" wrapText="1"/>
    </xf>
    <xf numFmtId="0" fontId="23" fillId="9" borderId="0" xfId="36" applyFont="1" applyFill="1" applyBorder="1" applyAlignment="1">
      <alignment vertical="center"/>
    </xf>
    <xf numFmtId="0" fontId="16" fillId="0" borderId="0" xfId="36" applyFont="1" applyFill="1" applyBorder="1" applyAlignment="1">
      <alignment horizontal="center" vertical="center"/>
    </xf>
    <xf numFmtId="0" fontId="16" fillId="0" borderId="0" xfId="33" applyFont="1" applyBorder="1"/>
    <xf numFmtId="0" fontId="16" fillId="9" borderId="0" xfId="0" applyFont="1" applyFill="1" applyBorder="1" applyAlignment="1">
      <alignment horizontal="right" vertical="center" wrapText="1"/>
    </xf>
    <xf numFmtId="0" fontId="6" fillId="3" borderId="0" xfId="0" applyFont="1" applyFill="1" applyBorder="1" applyAlignment="1">
      <alignment horizontal="left" wrapText="1"/>
    </xf>
    <xf numFmtId="0" fontId="6" fillId="13" borderId="0" xfId="0" applyFont="1" applyFill="1" applyBorder="1" applyAlignment="1">
      <alignment horizontal="center" vertical="center"/>
    </xf>
    <xf numFmtId="0" fontId="35" fillId="9" borderId="0" xfId="34" applyFont="1" applyFill="1" applyAlignment="1">
      <alignment horizontal="left" vertical="center" wrapText="1"/>
    </xf>
    <xf numFmtId="0" fontId="36" fillId="9" borderId="15" xfId="34" applyNumberFormat="1" applyFont="1" applyFill="1" applyBorder="1" applyAlignment="1">
      <alignment horizontal="left" vertical="center" wrapText="1"/>
    </xf>
    <xf numFmtId="0" fontId="35" fillId="4" borderId="0" xfId="34" applyFont="1" applyFill="1" applyBorder="1" applyAlignment="1">
      <alignment horizontal="center" vertical="center" wrapText="1"/>
    </xf>
    <xf numFmtId="0" fontId="35" fillId="4" borderId="0" xfId="34" applyNumberFormat="1" applyFont="1" applyFill="1" applyBorder="1" applyAlignment="1">
      <alignment horizontal="center" vertical="center" wrapText="1"/>
    </xf>
    <xf numFmtId="0" fontId="35" fillId="4" borderId="14" xfId="34" applyFont="1" applyFill="1" applyBorder="1" applyAlignment="1">
      <alignment horizontal="center" vertical="center" wrapText="1"/>
    </xf>
    <xf numFmtId="0" fontId="10" fillId="0" borderId="0" xfId="34" applyFont="1" applyBorder="1" applyAlignment="1">
      <alignment horizontal="left" vertical="center"/>
    </xf>
    <xf numFmtId="1" fontId="6" fillId="0" borderId="0" xfId="50" applyNumberFormat="1" applyFont="1" applyFill="1" applyBorder="1" applyAlignment="1">
      <alignment horizontal="center" vertical="center"/>
    </xf>
    <xf numFmtId="182" fontId="16" fillId="0" borderId="0" xfId="0" applyNumberFormat="1" applyFont="1" applyFill="1" applyAlignment="1">
      <alignment horizontal="left" vertical="center"/>
    </xf>
    <xf numFmtId="165" fontId="16" fillId="0" borderId="0" xfId="16" applyFont="1" applyFill="1" applyBorder="1" applyAlignment="1">
      <alignment horizontal="center" vertical="center"/>
    </xf>
    <xf numFmtId="0" fontId="16" fillId="3" borderId="0" xfId="8" applyBorder="1" applyAlignment="1">
      <alignment horizontal="center" vertical="center" textRotation="90" wrapText="1"/>
    </xf>
    <xf numFmtId="181" fontId="22" fillId="3" borderId="0" xfId="42" applyFont="1" applyFill="1" applyBorder="1" applyAlignment="1">
      <alignment horizontal="left" vertical="center" textRotation="90"/>
    </xf>
    <xf numFmtId="0" fontId="6" fillId="9" borderId="0" xfId="34" applyFont="1" applyFill="1" applyBorder="1" applyAlignment="1">
      <alignment horizontal="left" vertical="center" wrapText="1"/>
    </xf>
    <xf numFmtId="166" fontId="6" fillId="0" borderId="0" xfId="34" applyNumberFormat="1" applyFont="1" applyBorder="1" applyAlignment="1">
      <alignment horizontal="left" vertical="center" wrapText="1"/>
    </xf>
    <xf numFmtId="181" fontId="16" fillId="3" borderId="0" xfId="40" applyNumberFormat="1" applyFont="1" applyFill="1" applyAlignment="1">
      <alignment horizontal="center" vertical="center" wrapText="1"/>
    </xf>
    <xf numFmtId="181" fontId="6" fillId="0" borderId="0" xfId="33" applyNumberFormat="1" applyFont="1" applyBorder="1"/>
    <xf numFmtId="0" fontId="6" fillId="0" borderId="0" xfId="0" applyFont="1" applyFill="1" applyBorder="1" applyAlignment="1">
      <alignment horizontal="left" vertical="center" wrapText="1"/>
    </xf>
    <xf numFmtId="0" fontId="25" fillId="7" borderId="0" xfId="0" applyFont="1" applyFill="1" applyBorder="1" applyAlignment="1">
      <alignment horizontal="center" vertical="center" wrapText="1"/>
    </xf>
    <xf numFmtId="0" fontId="16" fillId="7" borderId="0" xfId="0" applyFont="1" applyFill="1" applyAlignment="1">
      <alignment horizontal="center" vertical="center" wrapText="1"/>
    </xf>
    <xf numFmtId="182" fontId="16" fillId="7" borderId="0" xfId="9" applyFont="1" applyFill="1" applyBorder="1">
      <alignment horizontal="center" vertical="center"/>
    </xf>
    <xf numFmtId="169" fontId="6" fillId="7" borderId="0" xfId="0" applyNumberFormat="1" applyFont="1" applyFill="1" applyBorder="1" applyAlignment="1">
      <alignment horizontal="center" vertical="center"/>
    </xf>
    <xf numFmtId="0" fontId="6" fillId="7" borderId="0" xfId="0" applyFont="1" applyFill="1" applyBorder="1">
      <alignment vertical="center"/>
    </xf>
    <xf numFmtId="168" fontId="16" fillId="7" borderId="0" xfId="16" applyNumberFormat="1" applyFont="1" applyFill="1" applyBorder="1" applyAlignment="1">
      <alignment horizontal="center" vertical="center"/>
    </xf>
    <xf numFmtId="168" fontId="9" fillId="7" borderId="0" xfId="16" applyNumberFormat="1" applyFont="1" applyFill="1" applyBorder="1" applyAlignment="1">
      <alignment horizontal="center" vertical="center"/>
    </xf>
    <xf numFmtId="165" fontId="16" fillId="7" borderId="0" xfId="16" applyFont="1" applyFill="1" applyBorder="1" applyAlignment="1">
      <alignment horizontal="center" vertical="center"/>
    </xf>
    <xf numFmtId="184" fontId="6" fillId="0" borderId="0" xfId="34" applyNumberFormat="1" applyFont="1" applyBorder="1">
      <alignment horizontal="left" vertical="center" wrapText="1"/>
    </xf>
    <xf numFmtId="184" fontId="6" fillId="0" borderId="0" xfId="34" applyNumberFormat="1" applyFont="1" applyBorder="1" applyAlignment="1">
      <alignment horizontal="left" vertical="center" wrapText="1"/>
    </xf>
    <xf numFmtId="184" fontId="16" fillId="7" borderId="0" xfId="16" applyNumberFormat="1" applyFont="1" applyFill="1" applyBorder="1" applyAlignment="1">
      <alignment horizontal="center" vertical="center"/>
    </xf>
    <xf numFmtId="165" fontId="16" fillId="0" borderId="0" xfId="16" applyNumberFormat="1" applyFont="1" applyFill="1" applyBorder="1" applyAlignment="1">
      <alignment horizontal="center" vertical="center"/>
    </xf>
    <xf numFmtId="182" fontId="16" fillId="0" borderId="0" xfId="50" applyFont="1" applyFill="1" applyBorder="1" applyAlignment="1">
      <alignment horizontal="left" vertical="center" wrapText="1"/>
    </xf>
    <xf numFmtId="183" fontId="16" fillId="4" borderId="0" xfId="9" applyNumberFormat="1" applyBorder="1">
      <alignment horizontal="center" vertical="center"/>
    </xf>
    <xf numFmtId="182" fontId="16" fillId="0" borderId="1" xfId="0" applyNumberFormat="1" applyFont="1" applyBorder="1" applyAlignment="1">
      <alignment horizontal="center" vertical="center"/>
    </xf>
    <xf numFmtId="184" fontId="6" fillId="0" borderId="0" xfId="16" applyNumberFormat="1" applyFont="1" applyFill="1" applyBorder="1" applyAlignment="1">
      <alignment horizontal="center" vertical="center"/>
    </xf>
    <xf numFmtId="168" fontId="16" fillId="0" borderId="0" xfId="16" applyNumberFormat="1" applyFont="1" applyFill="1" applyBorder="1" applyAlignment="1">
      <alignment horizontal="center" vertical="center"/>
    </xf>
    <xf numFmtId="168" fontId="9" fillId="0" borderId="0" xfId="16" applyNumberFormat="1" applyFont="1" applyFill="1" applyBorder="1" applyAlignment="1">
      <alignment horizontal="center" vertical="center"/>
    </xf>
    <xf numFmtId="184" fontId="9" fillId="0" borderId="0" xfId="16" applyNumberFormat="1" applyFont="1" applyFill="1" applyBorder="1" applyAlignment="1">
      <alignment horizontal="center" vertical="center"/>
    </xf>
    <xf numFmtId="0" fontId="6" fillId="6" borderId="0" xfId="0" applyFont="1" applyFill="1" applyAlignment="1">
      <alignment horizontal="center" vertical="center" wrapText="1"/>
    </xf>
    <xf numFmtId="0" fontId="6" fillId="6" borderId="0" xfId="0" applyFont="1" applyFill="1" applyAlignment="1">
      <alignment horizontal="center" vertical="center"/>
    </xf>
    <xf numFmtId="9" fontId="16" fillId="8" borderId="0" xfId="0" applyNumberFormat="1" applyFont="1" applyFill="1" applyAlignment="1">
      <alignment horizontal="center" vertical="center"/>
    </xf>
    <xf numFmtId="9" fontId="22" fillId="0" borderId="0" xfId="0" applyNumberFormat="1" applyFont="1" applyFill="1" applyBorder="1" applyAlignment="1">
      <alignment horizontal="center" vertical="center" wrapText="1"/>
    </xf>
    <xf numFmtId="9" fontId="6" fillId="0" borderId="0" xfId="0" applyNumberFormat="1" applyFont="1" applyFill="1" applyBorder="1" applyAlignment="1">
      <alignment horizontal="center" vertical="center" wrapText="1"/>
    </xf>
    <xf numFmtId="9" fontId="6" fillId="0" borderId="0" xfId="33" applyNumberFormat="1" applyFont="1"/>
    <xf numFmtId="0" fontId="16" fillId="4" borderId="0" xfId="9" applyNumberFormat="1" applyBorder="1">
      <alignment horizontal="center" vertical="center"/>
    </xf>
    <xf numFmtId="0" fontId="0" fillId="0" borderId="1" xfId="0" applyBorder="1">
      <alignment vertical="center"/>
    </xf>
    <xf numFmtId="181" fontId="16" fillId="3" borderId="0" xfId="42" applyFont="1" applyFill="1" applyBorder="1" applyAlignment="1">
      <alignment horizontal="left" vertical="center" textRotation="90" wrapText="1"/>
    </xf>
    <xf numFmtId="0" fontId="6" fillId="15" borderId="0" xfId="0" applyFont="1" applyFill="1" applyBorder="1" applyAlignment="1">
      <alignment horizontal="center" vertical="center" wrapText="1"/>
    </xf>
    <xf numFmtId="0" fontId="16" fillId="0" borderId="0" xfId="0" applyFont="1" applyFill="1" applyBorder="1">
      <alignment vertical="center"/>
    </xf>
    <xf numFmtId="182" fontId="16" fillId="0" borderId="0" xfId="50" applyFont="1" applyFill="1" applyBorder="1" applyAlignment="1">
      <alignment horizontal="center" vertical="center"/>
    </xf>
    <xf numFmtId="182" fontId="8" fillId="0" borderId="0" xfId="50" quotePrefix="1" applyFont="1" applyFill="1" applyBorder="1" applyAlignment="1">
      <alignment horizontal="left" vertical="center"/>
    </xf>
    <xf numFmtId="182" fontId="16" fillId="0" borderId="0" xfId="50" quotePrefix="1" applyFont="1" applyFill="1" applyBorder="1" applyAlignment="1">
      <alignment horizontal="left" vertical="center"/>
    </xf>
    <xf numFmtId="0" fontId="16" fillId="0" borderId="0" xfId="50" quotePrefix="1" applyNumberFormat="1" applyFont="1" applyFill="1" applyBorder="1" applyAlignment="1">
      <alignment horizontal="center" vertical="center"/>
    </xf>
    <xf numFmtId="0" fontId="6" fillId="0" borderId="0" xfId="0" applyNumberFormat="1" applyFont="1" applyFill="1" applyBorder="1" applyAlignment="1">
      <alignment vertical="center" wrapText="1"/>
    </xf>
    <xf numFmtId="2" fontId="6" fillId="0" borderId="0" xfId="0" applyNumberFormat="1" applyFont="1" applyFill="1" applyBorder="1" applyAlignment="1">
      <alignment vertical="center"/>
    </xf>
    <xf numFmtId="1" fontId="6" fillId="0" borderId="0" xfId="0" applyNumberFormat="1" applyFont="1" applyBorder="1" applyAlignment="1">
      <alignment horizontal="center" vertical="center"/>
    </xf>
    <xf numFmtId="1" fontId="6" fillId="0" borderId="0" xfId="0" applyNumberFormat="1" applyFont="1" applyBorder="1" applyAlignment="1">
      <alignment vertical="center" wrapText="1"/>
    </xf>
    <xf numFmtId="167" fontId="6" fillId="0" borderId="0" xfId="0" applyNumberFormat="1" applyFont="1" applyBorder="1" applyAlignment="1">
      <alignment horizontal="center" vertical="center"/>
    </xf>
    <xf numFmtId="184" fontId="6" fillId="0" borderId="0" xfId="16" applyNumberFormat="1" applyFont="1" applyFill="1" applyBorder="1" applyAlignment="1">
      <alignment horizontal="left" vertical="center" wrapText="1"/>
    </xf>
    <xf numFmtId="168" fontId="6" fillId="0" borderId="0" xfId="16" applyNumberFormat="1" applyFont="1" applyFill="1" applyBorder="1" applyAlignment="1">
      <alignment horizontal="left" vertical="center" wrapText="1"/>
    </xf>
    <xf numFmtId="184" fontId="9" fillId="0" borderId="0" xfId="16" applyNumberFormat="1" applyFont="1" applyFill="1" applyBorder="1" applyAlignment="1">
      <alignment horizontal="left" vertical="center" wrapText="1"/>
    </xf>
    <xf numFmtId="168" fontId="16" fillId="0" borderId="0" xfId="16" applyNumberFormat="1" applyFont="1" applyFill="1" applyAlignment="1">
      <alignment horizontal="left" vertical="center" wrapText="1"/>
    </xf>
    <xf numFmtId="168" fontId="16" fillId="0" borderId="0" xfId="40" applyNumberFormat="1" applyFont="1" applyAlignment="1">
      <alignment horizontal="left" vertical="center" wrapText="1"/>
    </xf>
    <xf numFmtId="164" fontId="16" fillId="0" borderId="0" xfId="6" applyFont="1" applyFill="1" applyAlignment="1">
      <alignment horizontal="left" vertical="center" wrapText="1"/>
    </xf>
    <xf numFmtId="0" fontId="6" fillId="4" borderId="0" xfId="0" applyFont="1" applyFill="1" applyAlignment="1">
      <alignment horizontal="center" vertical="center" wrapText="1"/>
    </xf>
    <xf numFmtId="184" fontId="16" fillId="0" borderId="0" xfId="16" applyNumberFormat="1" applyFont="1" applyFill="1" applyBorder="1" applyAlignment="1">
      <alignment horizontal="left" vertical="center"/>
    </xf>
    <xf numFmtId="184" fontId="16" fillId="0" borderId="0" xfId="9" applyNumberFormat="1" applyFont="1" applyFill="1" applyBorder="1">
      <alignment horizontal="center" vertical="center"/>
    </xf>
    <xf numFmtId="182" fontId="16" fillId="0" borderId="1" xfId="9" applyFont="1" applyFill="1" applyBorder="1" applyAlignment="1">
      <alignment horizontal="left" vertical="center"/>
    </xf>
    <xf numFmtId="184" fontId="16" fillId="0" borderId="1" xfId="16" applyNumberFormat="1" applyFont="1" applyFill="1" applyBorder="1" applyAlignment="1">
      <alignment horizontal="center" vertical="center"/>
    </xf>
    <xf numFmtId="184" fontId="16" fillId="0" borderId="1" xfId="0" applyNumberFormat="1" applyFont="1" applyBorder="1" applyAlignment="1">
      <alignment horizontal="left" vertical="center"/>
    </xf>
    <xf numFmtId="0" fontId="16" fillId="0" borderId="9"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6" xfId="0" applyFont="1" applyFill="1" applyBorder="1" applyAlignment="1">
      <alignment horizontal="center" vertical="center" wrapText="1"/>
    </xf>
    <xf numFmtId="0" fontId="0" fillId="0" borderId="9" xfId="0" applyBorder="1">
      <alignment vertical="center"/>
    </xf>
    <xf numFmtId="0" fontId="16" fillId="0" borderId="12" xfId="0" applyFont="1" applyFill="1" applyBorder="1" applyAlignment="1">
      <alignment horizontal="center" vertical="center" wrapText="1"/>
    </xf>
    <xf numFmtId="0" fontId="0" fillId="0" borderId="11" xfId="0" applyBorder="1">
      <alignment vertical="center"/>
    </xf>
    <xf numFmtId="0" fontId="0" fillId="0" borderId="10" xfId="0" applyBorder="1">
      <alignment vertical="center"/>
    </xf>
    <xf numFmtId="0" fontId="16" fillId="0" borderId="14" xfId="0" applyFont="1" applyFill="1" applyBorder="1" applyAlignment="1">
      <alignment horizontal="center" vertical="center" wrapText="1"/>
    </xf>
    <xf numFmtId="184" fontId="0" fillId="0" borderId="1" xfId="0" applyNumberFormat="1" applyBorder="1">
      <alignment vertical="center"/>
    </xf>
    <xf numFmtId="184" fontId="16" fillId="0" borderId="1" xfId="9" applyNumberFormat="1" applyFont="1" applyFill="1" applyBorder="1">
      <alignment horizontal="center" vertical="center"/>
    </xf>
    <xf numFmtId="186" fontId="16" fillId="0" borderId="1" xfId="9" applyNumberFormat="1" applyFont="1" applyFill="1" applyBorder="1">
      <alignment horizontal="center" vertical="center"/>
    </xf>
    <xf numFmtId="165" fontId="16" fillId="0" borderId="1" xfId="9" applyNumberFormat="1" applyFont="1" applyFill="1" applyBorder="1">
      <alignment horizontal="center" vertical="center"/>
    </xf>
    <xf numFmtId="0" fontId="9" fillId="0" borderId="0" xfId="34" applyFont="1" applyFill="1" applyBorder="1" applyAlignment="1">
      <alignment horizontal="left" vertical="center" wrapText="1"/>
    </xf>
    <xf numFmtId="0" fontId="9" fillId="0" borderId="0" xfId="0" applyFont="1" applyFill="1" applyBorder="1" applyAlignment="1">
      <alignment vertical="center" wrapText="1"/>
    </xf>
    <xf numFmtId="0" fontId="38" fillId="0" borderId="0" xfId="0" applyFont="1" applyFill="1" applyBorder="1" applyAlignment="1">
      <alignment horizontal="left"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182" fontId="9" fillId="0" borderId="0" xfId="50" applyFont="1" applyFill="1" applyBorder="1" applyAlignment="1">
      <alignment horizontal="left" vertical="center" wrapText="1"/>
    </xf>
    <xf numFmtId="182" fontId="9" fillId="0" borderId="0" xfId="50" applyFont="1" applyFill="1" applyBorder="1" applyAlignment="1">
      <alignment horizontal="center" vertical="center"/>
    </xf>
    <xf numFmtId="182" fontId="9" fillId="0" borderId="0" xfId="50" quotePrefix="1" applyFont="1" applyFill="1" applyBorder="1" applyAlignment="1">
      <alignment horizontal="left" vertical="center"/>
    </xf>
    <xf numFmtId="0" fontId="9" fillId="0" borderId="0" xfId="50" quotePrefix="1" applyNumberFormat="1" applyFont="1" applyFill="1" applyBorder="1" applyAlignment="1">
      <alignment horizontal="center" vertical="center"/>
    </xf>
    <xf numFmtId="0" fontId="9" fillId="0" borderId="0" xfId="0" applyFont="1" applyBorder="1" applyAlignment="1">
      <alignment vertical="center" wrapText="1"/>
    </xf>
    <xf numFmtId="0" fontId="9" fillId="0" borderId="0" xfId="0" applyFont="1" applyBorder="1">
      <alignment vertical="center"/>
    </xf>
    <xf numFmtId="0" fontId="16" fillId="0" borderId="12" xfId="0" applyFont="1" applyBorder="1" applyAlignment="1">
      <alignment horizontal="center" vertical="center" wrapText="1"/>
    </xf>
    <xf numFmtId="0" fontId="9" fillId="0" borderId="12" xfId="0" applyFont="1" applyFill="1" applyBorder="1" applyAlignment="1">
      <alignment horizontal="center" vertical="center" wrapText="1"/>
    </xf>
    <xf numFmtId="184" fontId="9" fillId="0" borderId="1" xfId="9" applyNumberFormat="1" applyFont="1" applyFill="1" applyBorder="1">
      <alignment horizontal="center" vertical="center"/>
    </xf>
    <xf numFmtId="184" fontId="9" fillId="0" borderId="1" xfId="16" applyNumberFormat="1" applyFont="1" applyFill="1" applyBorder="1" applyAlignment="1">
      <alignment horizontal="center" vertical="center"/>
    </xf>
    <xf numFmtId="184" fontId="9" fillId="0" borderId="0" xfId="9" applyNumberFormat="1" applyFont="1" applyFill="1" applyBorder="1">
      <alignment horizontal="center" vertical="center"/>
    </xf>
    <xf numFmtId="186" fontId="9" fillId="0" borderId="1" xfId="9" applyNumberFormat="1" applyFont="1" applyFill="1" applyBorder="1">
      <alignment horizontal="center" vertical="center"/>
    </xf>
    <xf numFmtId="182" fontId="9" fillId="0" borderId="0" xfId="9" applyFont="1" applyFill="1" applyBorder="1">
      <alignment horizontal="center" vertical="center"/>
    </xf>
    <xf numFmtId="0" fontId="9" fillId="0" borderId="0" xfId="50" applyNumberFormat="1" applyFont="1" applyFill="1" applyBorder="1" applyAlignment="1">
      <alignment horizontal="left" vertical="center" wrapText="1"/>
    </xf>
    <xf numFmtId="0" fontId="9" fillId="0" borderId="0" xfId="0" applyFont="1" applyFill="1" applyBorder="1" applyAlignment="1">
      <alignment horizontal="left" vertical="center" wrapText="1"/>
    </xf>
    <xf numFmtId="182" fontId="16" fillId="4" borderId="0" xfId="9" applyNumberFormat="1" applyBorder="1">
      <alignment horizontal="center" vertical="center"/>
    </xf>
    <xf numFmtId="0" fontId="0" fillId="7" borderId="0" xfId="0" applyFill="1" applyAlignment="1">
      <alignment horizontal="center" vertical="center"/>
    </xf>
    <xf numFmtId="0" fontId="16" fillId="16" borderId="0" xfId="0" applyFont="1" applyFill="1" applyBorder="1" applyAlignment="1">
      <alignment horizontal="center" vertical="center"/>
    </xf>
    <xf numFmtId="167" fontId="16" fillId="0" borderId="0" xfId="16" applyNumberFormat="1" applyFont="1" applyFill="1" applyBorder="1" applyAlignment="1">
      <alignment horizontal="right" vertical="center"/>
    </xf>
    <xf numFmtId="182" fontId="22" fillId="0" borderId="0" xfId="50" applyFont="1" applyFill="1" applyBorder="1" applyAlignment="1">
      <alignment horizontal="center" vertical="center"/>
    </xf>
    <xf numFmtId="182" fontId="22" fillId="0" borderId="0" xfId="50" quotePrefix="1" applyFont="1" applyFill="1" applyBorder="1" applyAlignment="1">
      <alignment horizontal="left" vertical="center"/>
    </xf>
    <xf numFmtId="0" fontId="22" fillId="0" borderId="0" xfId="50" quotePrefix="1" applyNumberFormat="1" applyFont="1" applyFill="1" applyBorder="1" applyAlignment="1">
      <alignment horizontal="center" vertical="center"/>
    </xf>
    <xf numFmtId="0" fontId="39" fillId="0" borderId="0" xfId="40" applyFont="1" applyAlignment="1">
      <alignment horizontal="left" vertical="center" wrapText="1"/>
    </xf>
    <xf numFmtId="167" fontId="22" fillId="0" borderId="0" xfId="16" applyNumberFormat="1" applyFont="1" applyFill="1" applyBorder="1" applyAlignment="1">
      <alignment horizontal="right" vertical="center"/>
    </xf>
    <xf numFmtId="0" fontId="34" fillId="5" borderId="0" xfId="35" applyFont="1" applyFill="1" applyAlignment="1">
      <alignment vertical="center"/>
    </xf>
    <xf numFmtId="0" fontId="41" fillId="5" borderId="0" xfId="35" applyFont="1" applyFill="1" applyAlignment="1">
      <alignment horizontal="center" vertical="center" wrapText="1"/>
    </xf>
    <xf numFmtId="0" fontId="35" fillId="5" borderId="0" xfId="35" applyFont="1" applyFill="1" applyAlignment="1"/>
    <xf numFmtId="0" fontId="42" fillId="5" borderId="0" xfId="35" applyFont="1" applyFill="1" applyAlignment="1">
      <alignment vertical="center"/>
    </xf>
    <xf numFmtId="0" fontId="43" fillId="5" borderId="0" xfId="35" applyFont="1" applyFill="1" applyAlignment="1">
      <alignment horizontal="center" vertical="center" wrapText="1"/>
    </xf>
    <xf numFmtId="0" fontId="44" fillId="5" borderId="0" xfId="35" applyFont="1" applyFill="1" applyAlignment="1">
      <alignment wrapText="1"/>
    </xf>
    <xf numFmtId="0" fontId="44" fillId="5" borderId="0" xfId="35" applyFont="1" applyFill="1" applyAlignment="1"/>
    <xf numFmtId="14" fontId="34" fillId="5" borderId="0" xfId="35" applyNumberFormat="1" applyFont="1" applyFill="1" applyAlignment="1">
      <alignment horizontal="left" vertical="center"/>
    </xf>
    <xf numFmtId="0" fontId="45" fillId="5" borderId="0" xfId="35" applyFont="1" applyFill="1" applyAlignment="1">
      <alignment vertical="center" wrapText="1"/>
    </xf>
    <xf numFmtId="0" fontId="35" fillId="5" borderId="0" xfId="35" quotePrefix="1" applyFont="1" applyFill="1" applyAlignment="1">
      <alignment vertical="center" wrapText="1"/>
    </xf>
    <xf numFmtId="0" fontId="35" fillId="5" borderId="0" xfId="35" applyFont="1" applyFill="1" applyAlignment="1">
      <alignment vertical="center" wrapText="1"/>
    </xf>
    <xf numFmtId="0" fontId="46" fillId="5" borderId="0" xfId="35" applyFont="1" applyFill="1" applyAlignment="1">
      <alignment vertical="center" wrapText="1"/>
    </xf>
    <xf numFmtId="0" fontId="45" fillId="5" borderId="0" xfId="35" applyFont="1" applyFill="1" applyAlignment="1">
      <alignment horizontal="left" vertical="center" wrapText="1"/>
    </xf>
    <xf numFmtId="0" fontId="34" fillId="5" borderId="0" xfId="35" applyFont="1" applyFill="1" applyBorder="1" applyAlignment="1">
      <alignment vertical="center" wrapText="1"/>
    </xf>
    <xf numFmtId="0" fontId="35" fillId="5" borderId="0" xfId="35" applyFont="1" applyFill="1" applyBorder="1" applyAlignment="1"/>
    <xf numFmtId="0" fontId="16" fillId="0" borderId="0" xfId="35" applyFont="1" applyAlignment="1"/>
    <xf numFmtId="0" fontId="40" fillId="5" borderId="0" xfId="14" applyFill="1" applyAlignment="1" applyProtection="1">
      <alignment vertical="center"/>
    </xf>
    <xf numFmtId="0" fontId="7" fillId="5" borderId="0" xfId="12" applyFill="1" applyAlignment="1" applyProtection="1">
      <alignment vertical="center"/>
    </xf>
    <xf numFmtId="0" fontId="47" fillId="5" borderId="0" xfId="14" applyFont="1" applyFill="1" applyAlignment="1" applyProtection="1">
      <alignment vertical="center"/>
    </xf>
    <xf numFmtId="0" fontId="45" fillId="5" borderId="0" xfId="35" applyFont="1" applyFill="1" applyBorder="1" applyAlignment="1">
      <alignment vertical="top" wrapText="1"/>
    </xf>
    <xf numFmtId="0" fontId="34" fillId="5" borderId="0" xfId="35" applyFont="1" applyFill="1" applyAlignment="1">
      <alignment vertical="center" wrapText="1"/>
    </xf>
    <xf numFmtId="0" fontId="34" fillId="5" borderId="0" xfId="14" applyFont="1" applyFill="1" applyAlignment="1" applyProtection="1">
      <alignment vertical="center"/>
    </xf>
    <xf numFmtId="0" fontId="48" fillId="5" borderId="0" xfId="35" applyFont="1" applyFill="1" applyBorder="1" applyAlignment="1">
      <alignment vertical="center"/>
    </xf>
    <xf numFmtId="0" fontId="49" fillId="5" borderId="0" xfId="35" applyFont="1" applyFill="1" applyBorder="1" applyAlignment="1">
      <alignment vertical="center"/>
    </xf>
    <xf numFmtId="0" fontId="16" fillId="5" borderId="0" xfId="35" applyFont="1" applyFill="1" applyBorder="1" applyAlignment="1"/>
    <xf numFmtId="0" fontId="34" fillId="5" borderId="0" xfId="35" applyFont="1" applyFill="1" applyBorder="1" applyAlignment="1">
      <alignment vertical="top" wrapText="1"/>
    </xf>
    <xf numFmtId="0" fontId="35" fillId="5" borderId="0" xfId="35" applyFont="1" applyFill="1" applyBorder="1" applyAlignment="1">
      <alignment vertical="top" wrapText="1"/>
    </xf>
    <xf numFmtId="0" fontId="45" fillId="5" borderId="0" xfId="35" applyFont="1" applyFill="1" applyBorder="1" applyAlignment="1">
      <alignment vertical="center" wrapText="1"/>
    </xf>
    <xf numFmtId="0" fontId="34" fillId="5" borderId="0" xfId="44" applyFont="1">
      <alignment vertical="center" wrapText="1"/>
    </xf>
    <xf numFmtId="0" fontId="52" fillId="5" borderId="0" xfId="35" applyFont="1" applyFill="1" applyBorder="1" applyAlignment="1">
      <alignment wrapText="1"/>
    </xf>
    <xf numFmtId="0" fontId="35" fillId="5" borderId="0" xfId="35" applyFont="1" applyFill="1" applyBorder="1" applyAlignment="1">
      <alignment wrapText="1"/>
    </xf>
    <xf numFmtId="0" fontId="34" fillId="11" borderId="0" xfId="35" quotePrefix="1" applyFont="1" applyFill="1" applyBorder="1" applyAlignment="1">
      <alignment horizontal="left" vertical="center" wrapText="1"/>
    </xf>
    <xf numFmtId="0" fontId="35" fillId="5" borderId="0" xfId="35" applyFont="1" applyFill="1" applyAlignment="1">
      <alignment vertical="center"/>
    </xf>
    <xf numFmtId="0" fontId="54" fillId="0" borderId="0" xfId="0" applyFont="1">
      <alignment vertical="center"/>
    </xf>
    <xf numFmtId="0" fontId="54" fillId="0" borderId="0" xfId="0" applyFont="1" applyAlignment="1">
      <alignment vertical="center" wrapText="1"/>
    </xf>
    <xf numFmtId="49" fontId="53" fillId="0" borderId="8" xfId="0" applyNumberFormat="1" applyFont="1" applyBorder="1" applyAlignment="1">
      <alignment wrapText="1"/>
    </xf>
    <xf numFmtId="168" fontId="16" fillId="0" borderId="0" xfId="16" applyNumberFormat="1" applyFont="1" applyFill="1" applyBorder="1" applyAlignment="1">
      <alignment horizontal="right" vertical="center"/>
    </xf>
    <xf numFmtId="165" fontId="16" fillId="0" borderId="0" xfId="16" applyFont="1" applyFill="1" applyBorder="1" applyAlignment="1">
      <alignment horizontal="right" vertical="center"/>
    </xf>
    <xf numFmtId="184" fontId="16" fillId="0" borderId="0" xfId="16" applyNumberFormat="1" applyFont="1" applyFill="1" applyBorder="1" applyAlignment="1">
      <alignment horizontal="right" vertical="center"/>
    </xf>
    <xf numFmtId="184" fontId="9" fillId="0" borderId="0" xfId="16" applyNumberFormat="1" applyFont="1" applyFill="1" applyBorder="1" applyAlignment="1">
      <alignment horizontal="right" vertical="center"/>
    </xf>
    <xf numFmtId="0" fontId="16" fillId="10" borderId="0" xfId="0" applyFont="1" applyFill="1" applyBorder="1" applyAlignment="1">
      <alignment horizontal="center" vertical="center"/>
    </xf>
    <xf numFmtId="0" fontId="54" fillId="0" borderId="0" xfId="0" applyFont="1" applyFill="1" applyBorder="1" applyAlignment="1">
      <alignment horizontal="center" vertical="center"/>
    </xf>
    <xf numFmtId="0" fontId="16" fillId="3" borderId="0" xfId="8" applyFill="1">
      <alignment horizontal="center" vertical="center" wrapText="1"/>
    </xf>
    <xf numFmtId="0" fontId="0" fillId="10" borderId="0" xfId="0" applyFill="1">
      <alignment vertical="center"/>
    </xf>
    <xf numFmtId="0" fontId="6" fillId="0" borderId="0" xfId="41" applyFont="1" applyBorder="1">
      <alignment vertical="center"/>
    </xf>
    <xf numFmtId="0" fontId="16" fillId="12" borderId="0" xfId="0" applyFont="1" applyFill="1" applyBorder="1" applyAlignment="1">
      <alignment horizontal="center" vertical="center"/>
    </xf>
    <xf numFmtId="0" fontId="16" fillId="4" borderId="0" xfId="9" applyNumberFormat="1" applyFont="1" applyBorder="1">
      <alignment horizontal="center" vertical="center"/>
    </xf>
    <xf numFmtId="0" fontId="0" fillId="7" borderId="0" xfId="0" applyFont="1" applyFill="1" applyBorder="1" applyAlignment="1">
      <alignment horizontal="center" vertical="center"/>
    </xf>
    <xf numFmtId="0" fontId="16" fillId="7" borderId="0" xfId="0" applyFont="1" applyFill="1" applyAlignment="1">
      <alignment horizontal="left" vertical="center" wrapText="1"/>
    </xf>
    <xf numFmtId="0" fontId="0" fillId="18" borderId="0" xfId="0" applyFont="1" applyFill="1" applyBorder="1" applyAlignment="1">
      <alignment horizontal="center" vertical="center"/>
    </xf>
    <xf numFmtId="0" fontId="16" fillId="4" borderId="0" xfId="0" applyFont="1" applyFill="1">
      <alignment vertical="center"/>
    </xf>
    <xf numFmtId="165" fontId="16" fillId="0" borderId="0" xfId="16" applyFont="1" applyBorder="1" applyAlignment="1">
      <alignment horizontal="center" vertical="center"/>
    </xf>
    <xf numFmtId="182" fontId="16" fillId="19" borderId="0" xfId="9" applyFill="1" applyBorder="1">
      <alignment horizontal="center" vertical="center"/>
    </xf>
    <xf numFmtId="182" fontId="16" fillId="19" borderId="0" xfId="9" applyFont="1" applyFill="1" applyBorder="1">
      <alignment horizontal="center" vertical="center"/>
    </xf>
    <xf numFmtId="0" fontId="6" fillId="7" borderId="0" xfId="0" applyFont="1" applyFill="1" applyAlignment="1">
      <alignment vertical="center" wrapText="1"/>
    </xf>
    <xf numFmtId="0" fontId="6" fillId="20" borderId="0" xfId="34" applyFont="1" applyFill="1" applyBorder="1" applyAlignment="1">
      <alignment horizontal="left" vertical="center"/>
    </xf>
    <xf numFmtId="181" fontId="25" fillId="20" borderId="0" xfId="42" applyFont="1" applyFill="1" applyBorder="1" applyAlignment="1">
      <alignment horizontal="left" vertical="center"/>
    </xf>
    <xf numFmtId="181" fontId="6" fillId="20" borderId="0" xfId="42" applyFont="1" applyFill="1" applyBorder="1" applyAlignment="1">
      <alignment horizontal="left" vertical="center"/>
    </xf>
    <xf numFmtId="181" fontId="24" fillId="20" borderId="0" xfId="42" applyFont="1" applyFill="1" applyBorder="1" applyAlignment="1">
      <alignment horizontal="left" vertical="center"/>
    </xf>
    <xf numFmtId="0" fontId="6" fillId="20" borderId="0" xfId="50" applyNumberFormat="1" applyFont="1" applyFill="1" applyBorder="1" applyAlignment="1">
      <alignment horizontal="left" vertical="center"/>
    </xf>
    <xf numFmtId="0" fontId="6" fillId="20" borderId="0" xfId="50" applyNumberFormat="1" applyFont="1" applyFill="1" applyBorder="1" applyAlignment="1">
      <alignment horizontal="left" vertical="center" wrapText="1"/>
    </xf>
    <xf numFmtId="0" fontId="6" fillId="7" borderId="0" xfId="0" applyFont="1" applyFill="1" applyAlignment="1">
      <alignment horizontal="left" vertical="center" wrapText="1"/>
    </xf>
    <xf numFmtId="0" fontId="6" fillId="0" borderId="0" xfId="0" applyFont="1" applyAlignment="1">
      <alignment horizontal="left" vertical="center" wrapText="1"/>
    </xf>
    <xf numFmtId="0" fontId="6" fillId="0" borderId="0" xfId="40" applyFont="1" applyFill="1" applyAlignment="1">
      <alignment horizontal="left" vertical="center" wrapText="1"/>
    </xf>
    <xf numFmtId="14" fontId="6" fillId="0" borderId="0" xfId="40" applyNumberFormat="1" applyFont="1" applyFill="1" applyAlignment="1">
      <alignment horizontal="left" vertical="center" wrapText="1"/>
    </xf>
    <xf numFmtId="0" fontId="59" fillId="9" borderId="0" xfId="55" applyFont="1" applyFill="1" applyBorder="1"/>
    <xf numFmtId="0" fontId="60" fillId="9" borderId="0" xfId="55" applyFont="1" applyFill="1" applyBorder="1"/>
    <xf numFmtId="0" fontId="60" fillId="9" borderId="0" xfId="55" applyFont="1" applyFill="1" applyBorder="1" applyAlignment="1">
      <alignment horizontal="center" vertical="center"/>
    </xf>
    <xf numFmtId="0" fontId="59" fillId="9" borderId="0" xfId="55" applyFont="1" applyFill="1" applyBorder="1" applyAlignment="1">
      <alignment horizontal="right" vertical="center" wrapText="1"/>
    </xf>
    <xf numFmtId="0" fontId="6" fillId="4" borderId="0" xfId="55" applyFont="1" applyFill="1" applyBorder="1" applyAlignment="1">
      <alignment horizontal="center" vertical="center"/>
    </xf>
    <xf numFmtId="0" fontId="60" fillId="9" borderId="0" xfId="55" applyFont="1" applyFill="1" applyBorder="1" applyAlignment="1">
      <alignment horizontal="center" vertical="center" wrapText="1"/>
    </xf>
    <xf numFmtId="181" fontId="60" fillId="9" borderId="0" xfId="56" applyFont="1" applyFill="1" applyBorder="1" applyAlignment="1">
      <alignment horizontal="center" vertical="center" wrapText="1"/>
    </xf>
    <xf numFmtId="181" fontId="60" fillId="9" borderId="0" xfId="56" applyFont="1" applyFill="1" applyBorder="1" applyAlignment="1">
      <alignment horizontal="left" vertical="center" wrapText="1"/>
    </xf>
    <xf numFmtId="0" fontId="60" fillId="9" borderId="0" xfId="55" applyFont="1" applyFill="1" applyBorder="1" applyAlignment="1">
      <alignment vertical="center" wrapText="1"/>
    </xf>
    <xf numFmtId="0" fontId="59" fillId="0" borderId="0" xfId="55" applyFont="1" applyBorder="1" applyAlignment="1">
      <alignment horizontal="center" vertical="center" textRotation="90" wrapText="1"/>
    </xf>
    <xf numFmtId="0" fontId="59" fillId="0" borderId="0" xfId="55" applyFont="1" applyFill="1" applyBorder="1" applyAlignment="1">
      <alignment horizontal="center" vertical="center" wrapText="1"/>
    </xf>
    <xf numFmtId="0" fontId="59" fillId="0" borderId="0" xfId="55" applyFont="1" applyFill="1" applyBorder="1" applyAlignment="1">
      <alignment horizontal="center" vertical="center" textRotation="90" wrapText="1"/>
    </xf>
    <xf numFmtId="0" fontId="6" fillId="3" borderId="0" xfId="55" applyFont="1" applyFill="1" applyBorder="1" applyAlignment="1">
      <alignment horizontal="center" vertical="center" wrapText="1"/>
    </xf>
    <xf numFmtId="181" fontId="10" fillId="3" borderId="0" xfId="56" applyFont="1" applyFill="1" applyBorder="1" applyAlignment="1">
      <alignment horizontal="center" vertical="center" textRotation="90" wrapText="1"/>
    </xf>
    <xf numFmtId="181" fontId="10" fillId="3" borderId="0" xfId="56" applyFont="1" applyFill="1" applyBorder="1" applyAlignment="1">
      <alignment horizontal="left" vertical="center" wrapText="1"/>
    </xf>
    <xf numFmtId="0" fontId="59" fillId="0" borderId="0" xfId="55" applyFont="1" applyBorder="1" applyAlignment="1">
      <alignment horizontal="center" vertical="center" wrapText="1"/>
    </xf>
    <xf numFmtId="181" fontId="31" fillId="3" borderId="0" xfId="56" applyFont="1" applyFill="1" applyBorder="1" applyAlignment="1">
      <alignment horizontal="center" vertical="center"/>
    </xf>
    <xf numFmtId="181" fontId="31" fillId="3" borderId="0" xfId="56" applyFont="1" applyFill="1" applyBorder="1" applyAlignment="1">
      <alignment horizontal="left" vertical="center"/>
    </xf>
    <xf numFmtId="0" fontId="6" fillId="9" borderId="0" xfId="55" applyFont="1" applyFill="1" applyBorder="1" applyAlignment="1">
      <alignment vertical="center" wrapText="1"/>
    </xf>
    <xf numFmtId="0" fontId="23" fillId="9" borderId="0" xfId="55" applyFont="1" applyFill="1" applyBorder="1" applyAlignment="1">
      <alignment horizontal="left" vertical="center"/>
    </xf>
    <xf numFmtId="182" fontId="6" fillId="4" borderId="0" xfId="57" applyFont="1" applyFill="1" applyBorder="1" applyAlignment="1">
      <alignment horizontal="left" vertical="center" wrapText="1"/>
    </xf>
    <xf numFmtId="182" fontId="59" fillId="4" borderId="0" xfId="57" applyFont="1" applyFill="1" applyBorder="1" applyAlignment="1">
      <alignment horizontal="center" vertical="center"/>
    </xf>
    <xf numFmtId="182" fontId="59" fillId="4" borderId="0" xfId="57" quotePrefix="1" applyFont="1" applyFill="1" applyBorder="1" applyAlignment="1">
      <alignment horizontal="left" vertical="center"/>
    </xf>
    <xf numFmtId="0" fontId="59" fillId="4" borderId="0" xfId="57" quotePrefix="1" applyNumberFormat="1" applyFont="1" applyFill="1" applyBorder="1" applyAlignment="1">
      <alignment horizontal="center" vertical="center"/>
    </xf>
    <xf numFmtId="169" fontId="6" fillId="7" borderId="0" xfId="55" applyNumberFormat="1" applyFont="1" applyFill="1" applyBorder="1" applyAlignment="1">
      <alignment horizontal="center" vertical="center"/>
    </xf>
    <xf numFmtId="0" fontId="59" fillId="0" borderId="0" xfId="57" applyNumberFormat="1" applyFont="1" applyFill="1" applyBorder="1" applyAlignment="1">
      <alignment horizontal="center" vertical="center"/>
    </xf>
    <xf numFmtId="2" fontId="59" fillId="0" borderId="0" xfId="57" applyNumberFormat="1" applyFont="1" applyFill="1" applyBorder="1" applyAlignment="1">
      <alignment horizontal="center" vertical="center"/>
    </xf>
    <xf numFmtId="0" fontId="35" fillId="0" borderId="0" xfId="55" applyFont="1" applyAlignment="1">
      <alignment vertical="center"/>
    </xf>
    <xf numFmtId="0" fontId="10" fillId="0" borderId="0" xfId="57" applyNumberFormat="1" applyFont="1" applyFill="1" applyBorder="1" applyAlignment="1">
      <alignment horizontal="left" vertical="center" wrapText="1"/>
    </xf>
    <xf numFmtId="0" fontId="58" fillId="14" borderId="0" xfId="55" applyFill="1" applyAlignment="1">
      <alignment horizontal="center" vertical="center"/>
    </xf>
    <xf numFmtId="0" fontId="59" fillId="0" borderId="0" xfId="55" applyFont="1" applyBorder="1"/>
    <xf numFmtId="0" fontId="60" fillId="0" borderId="0" xfId="55" applyFont="1" applyBorder="1"/>
    <xf numFmtId="0" fontId="60" fillId="0" borderId="0" xfId="55" applyFont="1" applyBorder="1" applyAlignment="1">
      <alignment horizontal="center" vertical="center"/>
    </xf>
    <xf numFmtId="0" fontId="35" fillId="0" borderId="0" xfId="34" applyFont="1" applyFill="1" applyAlignment="1">
      <alignment horizontal="left" vertical="center" wrapText="1"/>
    </xf>
    <xf numFmtId="0" fontId="36" fillId="0" borderId="15" xfId="34" applyNumberFormat="1" applyFont="1" applyFill="1" applyBorder="1" applyAlignment="1">
      <alignment horizontal="left" vertical="center" wrapText="1"/>
    </xf>
    <xf numFmtId="0" fontId="35" fillId="0" borderId="0" xfId="34" applyFont="1" applyFill="1" applyBorder="1" applyAlignment="1">
      <alignment horizontal="center" vertical="center" wrapText="1"/>
    </xf>
    <xf numFmtId="0" fontId="35" fillId="0" borderId="0" xfId="34" applyNumberFormat="1" applyFont="1" applyFill="1" applyBorder="1" applyAlignment="1">
      <alignment horizontal="center" vertical="center" wrapText="1"/>
    </xf>
    <xf numFmtId="0" fontId="35" fillId="0" borderId="14" xfId="34" applyFont="1" applyFill="1" applyBorder="1" applyAlignment="1">
      <alignment horizontal="center" vertical="center" wrapText="1"/>
    </xf>
    <xf numFmtId="0" fontId="35" fillId="0" borderId="0" xfId="55" applyFont="1" applyFill="1" applyAlignment="1">
      <alignment vertical="center"/>
    </xf>
    <xf numFmtId="0" fontId="58" fillId="0" borderId="0" xfId="55" applyFill="1" applyAlignment="1">
      <alignment horizontal="center" vertical="center"/>
    </xf>
    <xf numFmtId="0" fontId="6" fillId="0" borderId="0" xfId="55" applyFont="1" applyFill="1" applyBorder="1" applyAlignment="1">
      <alignment vertical="center" wrapText="1"/>
    </xf>
    <xf numFmtId="0" fontId="23" fillId="0" borderId="0" xfId="55" applyFont="1" applyFill="1" applyBorder="1" applyAlignment="1">
      <alignment horizontal="left" vertical="center"/>
    </xf>
    <xf numFmtId="0" fontId="6" fillId="0" borderId="0" xfId="55" applyFont="1" applyFill="1" applyBorder="1" applyAlignment="1" applyProtection="1">
      <alignment horizontal="center" vertical="center"/>
      <protection locked="0"/>
    </xf>
    <xf numFmtId="182" fontId="6" fillId="0" borderId="0" xfId="57" applyFont="1" applyFill="1" applyBorder="1" applyAlignment="1">
      <alignment horizontal="left" vertical="center" wrapText="1"/>
    </xf>
    <xf numFmtId="182" fontId="59" fillId="0" borderId="0" xfId="57" applyFont="1" applyFill="1" applyBorder="1" applyAlignment="1">
      <alignment horizontal="center" vertical="center"/>
    </xf>
    <xf numFmtId="182" fontId="59" fillId="0" borderId="0" xfId="57" quotePrefix="1" applyFont="1" applyFill="1" applyBorder="1" applyAlignment="1">
      <alignment horizontal="left" vertical="center"/>
    </xf>
    <xf numFmtId="0" fontId="59" fillId="0" borderId="0" xfId="57" quotePrefix="1" applyNumberFormat="1" applyFont="1" applyFill="1" applyBorder="1" applyAlignment="1">
      <alignment horizontal="center" vertical="center"/>
    </xf>
    <xf numFmtId="169" fontId="6" fillId="0" borderId="0" xfId="55" applyNumberFormat="1" applyFont="1" applyFill="1" applyBorder="1" applyAlignment="1">
      <alignment horizontal="center" vertical="center"/>
    </xf>
    <xf numFmtId="0" fontId="59" fillId="0" borderId="0" xfId="55" applyFont="1" applyFill="1" applyBorder="1"/>
    <xf numFmtId="0" fontId="60" fillId="0" borderId="0" xfId="55" applyFont="1" applyFill="1" applyBorder="1"/>
    <xf numFmtId="0" fontId="60" fillId="0" borderId="0" xfId="55" applyFont="1" applyFill="1" applyBorder="1" applyAlignment="1">
      <alignment horizontal="center" vertical="center"/>
    </xf>
    <xf numFmtId="0" fontId="10" fillId="0" borderId="0" xfId="34" applyFont="1" applyFill="1" applyBorder="1" applyAlignment="1">
      <alignment horizontal="left" vertical="center"/>
    </xf>
    <xf numFmtId="0" fontId="6" fillId="6" borderId="0" xfId="50" quotePrefix="1" applyNumberFormat="1" applyFont="1" applyFill="1" applyBorder="1" applyAlignment="1">
      <alignment horizontal="left" vertical="top"/>
    </xf>
    <xf numFmtId="0" fontId="6" fillId="7" borderId="0" xfId="0" quotePrefix="1" applyFont="1" applyFill="1" applyBorder="1" applyAlignment="1" applyProtection="1">
      <alignment horizontal="center" vertical="center"/>
      <protection locked="0"/>
    </xf>
    <xf numFmtId="0" fontId="6" fillId="7" borderId="0" xfId="0" applyFont="1" applyFill="1" applyBorder="1" applyAlignment="1" applyProtection="1">
      <alignment horizontal="center" vertical="center" wrapText="1"/>
      <protection locked="0"/>
    </xf>
    <xf numFmtId="0" fontId="25" fillId="9" borderId="0" xfId="0" applyFont="1" applyFill="1" applyBorder="1" applyAlignment="1">
      <alignment horizontal="center" vertical="top"/>
    </xf>
    <xf numFmtId="0" fontId="6" fillId="0" borderId="0" xfId="0" applyFont="1" applyBorder="1" applyAlignment="1">
      <alignment horizontal="center" vertical="top" textRotation="90" wrapText="1"/>
    </xf>
    <xf numFmtId="0" fontId="6" fillId="0" borderId="0" xfId="0" applyFont="1" applyFill="1" applyBorder="1" applyAlignment="1">
      <alignment horizontal="center" vertical="top" wrapText="1"/>
    </xf>
    <xf numFmtId="0" fontId="6" fillId="0" borderId="0" xfId="0" applyFont="1" applyFill="1" applyBorder="1" applyAlignment="1">
      <alignment horizontal="center" vertical="top" textRotation="90" wrapText="1"/>
    </xf>
    <xf numFmtId="0" fontId="16" fillId="3" borderId="0" xfId="8" applyFont="1" applyBorder="1" applyAlignment="1">
      <alignment horizontal="center" vertical="top" wrapText="1"/>
    </xf>
    <xf numFmtId="181" fontId="6" fillId="3" borderId="0" xfId="42" applyFont="1" applyFill="1" applyBorder="1" applyAlignment="1">
      <alignment horizontal="center" vertical="top" textRotation="90" wrapText="1"/>
    </xf>
    <xf numFmtId="181" fontId="6" fillId="3" borderId="0" xfId="42" applyFont="1" applyFill="1" applyBorder="1" applyAlignment="1">
      <alignment horizontal="left" vertical="top" wrapText="1"/>
    </xf>
    <xf numFmtId="181" fontId="21" fillId="3" borderId="0" xfId="42" applyFont="1" applyFill="1" applyBorder="1" applyAlignment="1">
      <alignment horizontal="center" vertical="top" wrapText="1"/>
    </xf>
    <xf numFmtId="181" fontId="21" fillId="3" borderId="0" xfId="42" applyFont="1" applyFill="1" applyBorder="1" applyAlignment="1">
      <alignment horizontal="left" vertical="top" wrapText="1"/>
    </xf>
    <xf numFmtId="9" fontId="6" fillId="0" borderId="0" xfId="0" applyNumberFormat="1" applyFont="1" applyFill="1" applyBorder="1" applyAlignment="1">
      <alignment horizontal="center" vertical="top" wrapText="1"/>
    </xf>
    <xf numFmtId="0" fontId="25" fillId="9" borderId="0" xfId="0" applyFont="1" applyFill="1" applyBorder="1" applyAlignment="1">
      <alignment horizontal="left" vertical="top"/>
    </xf>
    <xf numFmtId="0" fontId="6" fillId="6" borderId="0" xfId="0" applyFont="1" applyFill="1" applyBorder="1" applyAlignment="1">
      <alignment horizontal="center" vertical="top" wrapText="1"/>
    </xf>
    <xf numFmtId="0" fontId="6" fillId="6" borderId="0" xfId="0" applyFont="1" applyFill="1" applyBorder="1" applyAlignment="1">
      <alignment horizontal="center" vertical="top"/>
    </xf>
    <xf numFmtId="182" fontId="6" fillId="6" borderId="0" xfId="50" applyFont="1" applyFill="1" applyBorder="1" applyAlignment="1">
      <alignment horizontal="left" vertical="top" wrapText="1"/>
    </xf>
    <xf numFmtId="182" fontId="6" fillId="6" borderId="0" xfId="50" applyFont="1" applyFill="1" applyBorder="1" applyAlignment="1">
      <alignment horizontal="center" vertical="top"/>
    </xf>
    <xf numFmtId="182" fontId="6" fillId="6" borderId="0" xfId="50" applyFont="1" applyFill="1" applyBorder="1" applyAlignment="1">
      <alignment horizontal="left" vertical="top"/>
    </xf>
    <xf numFmtId="0" fontId="6" fillId="6" borderId="0" xfId="50" quotePrefix="1" applyNumberFormat="1" applyFont="1" applyFill="1" applyBorder="1" applyAlignment="1">
      <alignment horizontal="center" vertical="top"/>
    </xf>
    <xf numFmtId="0" fontId="6" fillId="0" borderId="0" xfId="50" applyNumberFormat="1" applyFont="1" applyFill="1" applyBorder="1" applyAlignment="1">
      <alignment horizontal="center" vertical="top"/>
    </xf>
    <xf numFmtId="0" fontId="6" fillId="0" borderId="0" xfId="50" applyNumberFormat="1" applyFont="1" applyFill="1" applyBorder="1" applyAlignment="1">
      <alignment horizontal="left" vertical="top" wrapText="1"/>
    </xf>
    <xf numFmtId="2" fontId="6" fillId="0" borderId="0" xfId="50" applyNumberFormat="1" applyFont="1" applyFill="1" applyBorder="1" applyAlignment="1">
      <alignment horizontal="center" vertical="top"/>
    </xf>
    <xf numFmtId="0" fontId="6" fillId="4" borderId="0" xfId="0" applyFont="1" applyFill="1" applyBorder="1" applyAlignment="1">
      <alignment horizontal="center" vertical="top"/>
    </xf>
    <xf numFmtId="0" fontId="6" fillId="4" borderId="0" xfId="0" applyFont="1" applyFill="1" applyBorder="1" applyAlignment="1">
      <alignment horizontal="center" vertical="top" wrapText="1"/>
    </xf>
    <xf numFmtId="182" fontId="16" fillId="4" borderId="0" xfId="50" applyFont="1" applyFill="1" applyBorder="1" applyAlignment="1">
      <alignment horizontal="left" vertical="top" wrapText="1"/>
    </xf>
    <xf numFmtId="182" fontId="16" fillId="4" borderId="0" xfId="50" applyFont="1" applyFill="1" applyBorder="1" applyAlignment="1">
      <alignment horizontal="center" vertical="top"/>
    </xf>
    <xf numFmtId="182" fontId="8" fillId="4" borderId="0" xfId="50" quotePrefix="1" applyFont="1" applyFill="1" applyBorder="1" applyAlignment="1">
      <alignment horizontal="left" vertical="top"/>
    </xf>
    <xf numFmtId="182" fontId="16" fillId="4" borderId="0" xfId="50" quotePrefix="1" applyFont="1" applyFill="1" applyBorder="1" applyAlignment="1">
      <alignment horizontal="left" vertical="top"/>
    </xf>
    <xf numFmtId="0" fontId="16" fillId="4" borderId="0" xfId="50" quotePrefix="1" applyNumberFormat="1" applyFont="1" applyFill="1" applyBorder="1" applyAlignment="1">
      <alignment horizontal="center" vertical="top"/>
    </xf>
    <xf numFmtId="182" fontId="16" fillId="4" borderId="0" xfId="9" applyFont="1" applyBorder="1" applyAlignment="1">
      <alignment horizontal="center" vertical="top"/>
    </xf>
    <xf numFmtId="0" fontId="23" fillId="9" borderId="0" xfId="0" applyFont="1" applyFill="1" applyAlignment="1">
      <alignment horizontal="left" vertical="top"/>
    </xf>
    <xf numFmtId="0" fontId="16" fillId="4" borderId="0" xfId="0" applyFont="1" applyFill="1" applyAlignment="1">
      <alignment horizontal="center" vertical="top" wrapText="1"/>
    </xf>
    <xf numFmtId="0" fontId="16" fillId="4" borderId="0" xfId="0" applyFont="1" applyFill="1" applyAlignment="1">
      <alignment horizontal="center" vertical="top"/>
    </xf>
    <xf numFmtId="182" fontId="16" fillId="4" borderId="0" xfId="0" applyNumberFormat="1" applyFont="1" applyFill="1" applyAlignment="1">
      <alignment horizontal="left" vertical="top" wrapText="1"/>
    </xf>
    <xf numFmtId="182" fontId="16" fillId="4" borderId="0" xfId="0" applyNumberFormat="1" applyFont="1" applyFill="1" applyAlignment="1">
      <alignment horizontal="center" vertical="top"/>
    </xf>
    <xf numFmtId="182" fontId="16" fillId="4" borderId="0" xfId="0" applyNumberFormat="1" applyFont="1" applyFill="1" applyAlignment="1">
      <alignment horizontal="left" vertical="top"/>
    </xf>
    <xf numFmtId="0" fontId="25" fillId="9" borderId="0" xfId="0" applyFont="1" applyFill="1" applyBorder="1" applyAlignment="1">
      <alignment horizontal="left" vertical="center" wrapText="1"/>
    </xf>
    <xf numFmtId="0" fontId="25" fillId="9" borderId="0" xfId="0" applyFont="1" applyFill="1" applyBorder="1" applyAlignment="1">
      <alignment horizontal="left" vertical="top" wrapText="1"/>
    </xf>
    <xf numFmtId="0" fontId="6" fillId="9" borderId="0" xfId="0" applyFont="1" applyFill="1" applyBorder="1" applyAlignment="1">
      <alignment horizontal="left" vertical="top" wrapText="1"/>
    </xf>
    <xf numFmtId="0" fontId="16" fillId="9" borderId="0" xfId="0" applyFont="1" applyFill="1" applyAlignment="1">
      <alignment horizontal="left" vertical="top" wrapText="1"/>
    </xf>
    <xf numFmtId="0" fontId="25" fillId="0" borderId="0" xfId="0" applyFont="1" applyBorder="1" applyAlignment="1">
      <alignment horizontal="left" vertical="center"/>
    </xf>
    <xf numFmtId="11" fontId="6" fillId="4" borderId="0" xfId="16" applyNumberFormat="1" applyFont="1" applyFill="1" applyBorder="1" applyAlignment="1">
      <alignment horizontal="center" vertical="center"/>
    </xf>
    <xf numFmtId="11" fontId="6" fillId="6" borderId="0" xfId="16" applyNumberFormat="1" applyFont="1" applyFill="1" applyBorder="1" applyAlignment="1">
      <alignment horizontal="center" vertical="center"/>
    </xf>
    <xf numFmtId="165" fontId="0" fillId="0" borderId="0" xfId="16" applyFont="1" applyAlignment="1">
      <alignment horizontal="center" vertical="center"/>
    </xf>
    <xf numFmtId="182" fontId="6" fillId="4" borderId="0" xfId="9" applyFont="1" applyBorder="1">
      <alignment horizontal="center" vertical="center"/>
    </xf>
    <xf numFmtId="0" fontId="6" fillId="16" borderId="0" xfId="0" applyFont="1" applyFill="1" applyBorder="1" applyAlignment="1">
      <alignment horizontal="center" vertical="center"/>
    </xf>
    <xf numFmtId="0" fontId="6" fillId="22" borderId="0" xfId="34" applyFont="1" applyFill="1" applyBorder="1" applyAlignment="1">
      <alignment horizontal="left" vertical="center"/>
    </xf>
    <xf numFmtId="181" fontId="25" fillId="22" borderId="0" xfId="42" applyFont="1" applyFill="1" applyBorder="1" applyAlignment="1">
      <alignment horizontal="left" vertical="center" wrapText="1"/>
    </xf>
    <xf numFmtId="0" fontId="6" fillId="22" borderId="0" xfId="50" applyNumberFormat="1" applyFont="1" applyFill="1" applyBorder="1" applyAlignment="1">
      <alignment horizontal="left" vertical="center" wrapText="1"/>
    </xf>
    <xf numFmtId="0" fontId="6" fillId="22" borderId="0" xfId="0" applyFont="1" applyFill="1" applyBorder="1" applyAlignment="1">
      <alignment horizontal="left" vertical="center" wrapText="1"/>
    </xf>
    <xf numFmtId="0" fontId="6" fillId="22" borderId="0" xfId="34" applyFont="1" applyFill="1" applyBorder="1" applyAlignment="1">
      <alignment horizontal="left" vertical="center" wrapText="1"/>
    </xf>
    <xf numFmtId="0" fontId="6" fillId="17" borderId="0" xfId="40" applyFont="1" applyFill="1" applyAlignment="1">
      <alignment horizontal="left" vertical="center" wrapText="1"/>
    </xf>
    <xf numFmtId="0" fontId="16" fillId="17" borderId="0" xfId="40" applyFont="1" applyFill="1" applyAlignment="1">
      <alignment horizontal="left" vertical="center" wrapText="1"/>
    </xf>
    <xf numFmtId="0" fontId="6" fillId="22" borderId="0" xfId="0" applyFont="1" applyFill="1" applyAlignment="1">
      <alignment vertical="center" wrapText="1"/>
    </xf>
    <xf numFmtId="0" fontId="6" fillId="22" borderId="0" xfId="0" applyFont="1" applyFill="1" applyAlignment="1">
      <alignment horizontal="center" vertical="center"/>
    </xf>
    <xf numFmtId="0" fontId="6" fillId="17" borderId="0" xfId="0" applyFont="1" applyFill="1" applyAlignment="1">
      <alignment horizontal="left" vertical="center" wrapText="1"/>
    </xf>
    <xf numFmtId="0" fontId="6" fillId="19" borderId="0" xfId="40" applyFont="1" applyFill="1" applyAlignment="1">
      <alignment horizontal="left" vertical="center" wrapText="1"/>
    </xf>
    <xf numFmtId="181" fontId="6" fillId="22" borderId="0" xfId="42" applyFont="1" applyFill="1" applyBorder="1" applyAlignment="1">
      <alignment horizontal="left" vertical="center" wrapText="1"/>
    </xf>
    <xf numFmtId="181" fontId="21" fillId="22" borderId="0" xfId="42" applyFont="1" applyFill="1" applyBorder="1" applyAlignment="1">
      <alignment horizontal="left" vertical="center" wrapText="1"/>
    </xf>
    <xf numFmtId="169" fontId="6" fillId="22" borderId="0" xfId="50" applyNumberFormat="1" applyFont="1" applyFill="1" applyBorder="1" applyAlignment="1">
      <alignment horizontal="left" vertical="center" wrapText="1"/>
    </xf>
    <xf numFmtId="0" fontId="10" fillId="22" borderId="0" xfId="0" applyFont="1" applyFill="1" applyBorder="1">
      <alignment vertical="center"/>
    </xf>
    <xf numFmtId="166" fontId="6" fillId="0" borderId="0" xfId="0" applyNumberFormat="1" applyFont="1" applyFill="1" applyBorder="1" applyAlignment="1">
      <alignment horizontal="center" vertical="center"/>
    </xf>
    <xf numFmtId="2" fontId="6" fillId="0" borderId="0" xfId="50" applyNumberFormat="1" applyFont="1" applyFill="1" applyBorder="1" applyAlignment="1">
      <alignment horizontal="left" vertical="center"/>
    </xf>
    <xf numFmtId="0" fontId="6" fillId="24" borderId="0" xfId="0" applyFont="1" applyFill="1" applyBorder="1" applyAlignment="1">
      <alignment horizontal="center" vertical="center"/>
    </xf>
    <xf numFmtId="1" fontId="6" fillId="6" borderId="0" xfId="52" applyNumberFormat="1" applyFont="1" applyFill="1" applyBorder="1" applyAlignment="1">
      <alignment horizontal="center" vertical="center"/>
    </xf>
    <xf numFmtId="0" fontId="6" fillId="4" borderId="0" xfId="0" applyNumberFormat="1" applyFont="1" applyFill="1" applyBorder="1" applyAlignment="1">
      <alignment horizontal="center" vertical="center"/>
    </xf>
    <xf numFmtId="0" fontId="6" fillId="0" borderId="0" xfId="0" applyFont="1" applyBorder="1" applyAlignment="1">
      <alignment vertical="center"/>
    </xf>
    <xf numFmtId="181" fontId="6" fillId="3" borderId="0" xfId="42" applyFont="1" applyFill="1" applyBorder="1" applyAlignment="1">
      <alignment horizontal="center" vertical="top" textRotation="90"/>
    </xf>
    <xf numFmtId="181" fontId="6" fillId="3" borderId="0" xfId="42" applyFont="1" applyFill="1" applyBorder="1" applyAlignment="1">
      <alignment horizontal="left" vertical="top"/>
    </xf>
    <xf numFmtId="181" fontId="21" fillId="3" borderId="0" xfId="42" applyFont="1" applyFill="1" applyBorder="1" applyAlignment="1">
      <alignment horizontal="center" vertical="top"/>
    </xf>
    <xf numFmtId="181" fontId="21" fillId="3" borderId="0" xfId="42" applyFont="1" applyFill="1" applyBorder="1" applyAlignment="1">
      <alignment horizontal="left" vertical="top"/>
    </xf>
    <xf numFmtId="0" fontId="6" fillId="0" borderId="0" xfId="50" applyNumberFormat="1" applyFont="1" applyFill="1" applyBorder="1" applyAlignment="1">
      <alignment horizontal="left" vertical="top"/>
    </xf>
    <xf numFmtId="0" fontId="6" fillId="7" borderId="0" xfId="0" applyFont="1" applyFill="1" applyAlignment="1">
      <alignment horizontal="center" vertical="center" wrapText="1"/>
    </xf>
    <xf numFmtId="0" fontId="6" fillId="19" borderId="0" xfId="0" applyFont="1" applyFill="1" applyBorder="1" applyAlignment="1">
      <alignment horizontal="center" vertical="center"/>
    </xf>
    <xf numFmtId="0" fontId="0" fillId="17" borderId="0" xfId="0" applyFont="1" applyFill="1" applyBorder="1" applyAlignment="1">
      <alignment horizontal="center" vertical="center"/>
    </xf>
    <xf numFmtId="0" fontId="6" fillId="17" borderId="0" xfId="0" applyFont="1" applyFill="1" applyAlignment="1">
      <alignment horizontal="center" vertical="center"/>
    </xf>
    <xf numFmtId="0" fontId="6" fillId="17" borderId="0" xfId="0" applyFont="1" applyFill="1" applyAlignment="1">
      <alignment horizontal="center" wrapText="1"/>
    </xf>
    <xf numFmtId="0" fontId="57" fillId="17" borderId="0" xfId="0" applyFont="1" applyFill="1" applyAlignment="1">
      <alignment vertical="center" wrapText="1"/>
    </xf>
    <xf numFmtId="0" fontId="6" fillId="17" borderId="0" xfId="0" applyFont="1" applyFill="1" applyAlignment="1">
      <alignment vertical="center" wrapText="1"/>
    </xf>
    <xf numFmtId="0" fontId="23" fillId="22" borderId="0" xfId="0" applyFont="1" applyFill="1" applyAlignment="1">
      <alignment horizontal="center"/>
    </xf>
    <xf numFmtId="0" fontId="16" fillId="22" borderId="0" xfId="0" applyFont="1" applyFill="1" applyBorder="1" applyAlignment="1">
      <alignment horizontal="center" vertical="center"/>
    </xf>
    <xf numFmtId="0" fontId="6" fillId="22" borderId="0" xfId="0" applyFont="1" applyFill="1" applyBorder="1" applyAlignment="1">
      <alignment horizontal="center" vertical="center"/>
    </xf>
    <xf numFmtId="0" fontId="16" fillId="22" borderId="0" xfId="0" applyFont="1" applyFill="1" applyAlignment="1">
      <alignment horizontal="center" vertical="center"/>
    </xf>
    <xf numFmtId="0" fontId="16" fillId="22" borderId="0" xfId="0" applyFont="1" applyFill="1" applyAlignment="1">
      <alignment horizontal="center" vertical="center" wrapText="1"/>
    </xf>
    <xf numFmtId="0" fontId="6" fillId="22" borderId="0" xfId="0" applyFont="1" applyFill="1" applyAlignment="1">
      <alignment horizontal="center" wrapText="1"/>
    </xf>
    <xf numFmtId="0" fontId="16" fillId="22" borderId="0" xfId="0" applyFont="1" applyFill="1" applyAlignment="1">
      <alignment vertical="center" wrapText="1"/>
    </xf>
    <xf numFmtId="0" fontId="16" fillId="21" borderId="0" xfId="0" applyFont="1" applyFill="1" applyAlignment="1">
      <alignment horizontal="center" vertical="center"/>
    </xf>
    <xf numFmtId="0" fontId="16" fillId="21" borderId="0" xfId="0" applyFont="1" applyFill="1" applyBorder="1" applyAlignment="1">
      <alignment horizontal="center" vertical="center"/>
    </xf>
    <xf numFmtId="0" fontId="0" fillId="19" borderId="0" xfId="0" applyFont="1" applyFill="1" applyBorder="1" applyAlignment="1">
      <alignment horizontal="center" vertical="center"/>
    </xf>
    <xf numFmtId="0" fontId="25" fillId="0" borderId="0" xfId="0" applyFont="1" applyFill="1" applyBorder="1" applyAlignment="1">
      <alignment horizontal="left" vertical="center"/>
    </xf>
    <xf numFmtId="0" fontId="6" fillId="4" borderId="0" xfId="0" applyNumberFormat="1" applyFont="1" applyFill="1" applyBorder="1" applyAlignment="1">
      <alignment horizontal="center" vertical="center" wrapText="1"/>
    </xf>
    <xf numFmtId="0" fontId="6" fillId="7" borderId="0" xfId="40" applyFont="1" applyFill="1" applyAlignment="1">
      <alignment horizontal="left" vertical="center" wrapText="1"/>
    </xf>
    <xf numFmtId="0" fontId="6" fillId="23" borderId="0" xfId="0" applyFont="1" applyFill="1" applyBorder="1" applyAlignment="1">
      <alignment horizontal="center" vertical="center"/>
    </xf>
    <xf numFmtId="0" fontId="6" fillId="25" borderId="0" xfId="0" applyFont="1" applyFill="1" applyBorder="1" applyAlignment="1">
      <alignment horizontal="center" vertical="center"/>
    </xf>
    <xf numFmtId="0" fontId="0" fillId="26" borderId="0" xfId="0" applyFont="1" applyFill="1" applyBorder="1" applyAlignment="1">
      <alignment horizontal="center" vertical="center"/>
    </xf>
    <xf numFmtId="0" fontId="6" fillId="19" borderId="0" xfId="0" applyFont="1" applyFill="1" applyAlignment="1">
      <alignment horizontal="center" vertical="center"/>
    </xf>
    <xf numFmtId="0" fontId="16" fillId="19" borderId="0" xfId="0" applyFont="1" applyFill="1" applyAlignment="1">
      <alignment horizontal="center" vertical="center"/>
    </xf>
    <xf numFmtId="0" fontId="6" fillId="19" borderId="0" xfId="0" applyFont="1" applyFill="1" applyAlignment="1">
      <alignment horizontal="center" vertical="center" wrapText="1"/>
    </xf>
    <xf numFmtId="0" fontId="0" fillId="7" borderId="0" xfId="0" applyFont="1" applyFill="1" applyAlignment="1">
      <alignment horizontal="center" vertical="center" wrapText="1"/>
    </xf>
    <xf numFmtId="181" fontId="60" fillId="9" borderId="0" xfId="42" applyFont="1" applyFill="1" applyBorder="1" applyAlignment="1">
      <alignment horizontal="center" vertical="center" wrapText="1"/>
    </xf>
    <xf numFmtId="181" fontId="60" fillId="9" borderId="0" xfId="42" applyFont="1" applyFill="1" applyBorder="1" applyAlignment="1">
      <alignment horizontal="left" vertical="center" wrapText="1"/>
    </xf>
    <xf numFmtId="181" fontId="10" fillId="3" borderId="0" xfId="42" applyFont="1" applyFill="1" applyBorder="1" applyAlignment="1">
      <alignment horizontal="center" vertical="center" textRotation="90" wrapText="1"/>
    </xf>
    <xf numFmtId="181" fontId="10" fillId="3" borderId="0" xfId="42" applyFont="1" applyFill="1" applyBorder="1" applyAlignment="1">
      <alignment horizontal="left" vertical="center" wrapText="1"/>
    </xf>
    <xf numFmtId="181" fontId="31" fillId="3" borderId="0" xfId="42" applyFont="1" applyFill="1" applyBorder="1" applyAlignment="1">
      <alignment horizontal="center" vertical="center"/>
    </xf>
    <xf numFmtId="181" fontId="31" fillId="3" borderId="0" xfId="42" applyFont="1" applyFill="1" applyBorder="1" applyAlignment="1">
      <alignment horizontal="left" vertical="center"/>
    </xf>
    <xf numFmtId="0" fontId="16" fillId="27" borderId="0" xfId="0" applyFont="1" applyFill="1" applyAlignment="1">
      <alignment horizontal="center" vertical="center"/>
    </xf>
    <xf numFmtId="164" fontId="6" fillId="0" borderId="0" xfId="6" applyFont="1" applyFill="1" applyAlignment="1">
      <alignment horizontal="left" vertical="center" wrapText="1"/>
    </xf>
    <xf numFmtId="168" fontId="6" fillId="0" borderId="0" xfId="16" applyNumberFormat="1" applyFont="1" applyFill="1" applyAlignment="1">
      <alignment horizontal="left" vertical="center" wrapText="1"/>
    </xf>
    <xf numFmtId="181" fontId="60" fillId="9" borderId="0" xfId="42" applyFont="1" applyFill="1" applyBorder="1" applyAlignment="1">
      <alignment horizontal="left" vertical="center"/>
    </xf>
    <xf numFmtId="181" fontId="10" fillId="3" borderId="0" xfId="42" applyFont="1" applyFill="1" applyBorder="1" applyAlignment="1">
      <alignment horizontal="left" vertical="center"/>
    </xf>
    <xf numFmtId="0" fontId="10" fillId="9" borderId="0" xfId="34" applyFont="1" applyFill="1" applyBorder="1" applyAlignment="1">
      <alignment horizontal="left" vertical="center" wrapText="1"/>
    </xf>
    <xf numFmtId="0" fontId="61" fillId="7" borderId="0" xfId="0" applyFont="1" applyFill="1" applyAlignment="1">
      <alignment vertical="center" wrapText="1"/>
    </xf>
    <xf numFmtId="0" fontId="61" fillId="9" borderId="0" xfId="0" applyFont="1" applyFill="1" applyBorder="1" applyAlignment="1">
      <alignment horizontal="center" vertical="center"/>
    </xf>
    <xf numFmtId="0" fontId="62" fillId="9" borderId="0" xfId="0" applyFont="1" applyFill="1" applyBorder="1" applyAlignment="1">
      <alignment horizontal="left" vertical="center"/>
    </xf>
    <xf numFmtId="0" fontId="61" fillId="6" borderId="0" xfId="0" applyFont="1" applyFill="1" applyBorder="1" applyAlignment="1">
      <alignment horizontal="center" vertical="center" wrapText="1"/>
    </xf>
    <xf numFmtId="0" fontId="61" fillId="6" borderId="0" xfId="0" applyFont="1" applyFill="1" applyBorder="1" applyAlignment="1">
      <alignment horizontal="center" vertical="center"/>
    </xf>
    <xf numFmtId="182" fontId="61" fillId="6" borderId="0" xfId="50" applyFont="1" applyFill="1" applyBorder="1" applyAlignment="1">
      <alignment horizontal="left" vertical="center" wrapText="1"/>
    </xf>
    <xf numFmtId="182" fontId="61" fillId="6" borderId="0" xfId="50" applyFont="1" applyFill="1" applyBorder="1" applyAlignment="1">
      <alignment horizontal="center" vertical="center"/>
    </xf>
    <xf numFmtId="182" fontId="61" fillId="6" borderId="0" xfId="50" applyFont="1" applyFill="1" applyBorder="1" applyAlignment="1">
      <alignment horizontal="left" vertical="center"/>
    </xf>
    <xf numFmtId="0" fontId="61" fillId="6" borderId="0" xfId="50" quotePrefix="1" applyNumberFormat="1" applyFont="1" applyFill="1" applyBorder="1" applyAlignment="1">
      <alignment horizontal="center" vertical="center"/>
    </xf>
    <xf numFmtId="169" fontId="61" fillId="6" borderId="0" xfId="0" applyNumberFormat="1" applyFont="1" applyFill="1" applyBorder="1" applyAlignment="1">
      <alignment horizontal="center" vertical="center"/>
    </xf>
    <xf numFmtId="0" fontId="61" fillId="0" borderId="0" xfId="50" applyNumberFormat="1" applyFont="1" applyFill="1" applyBorder="1" applyAlignment="1">
      <alignment horizontal="center" vertical="center"/>
    </xf>
    <xf numFmtId="2" fontId="61" fillId="0" borderId="0" xfId="50" applyNumberFormat="1" applyFont="1" applyFill="1" applyBorder="1" applyAlignment="1">
      <alignment horizontal="center" vertical="center"/>
    </xf>
    <xf numFmtId="0" fontId="61" fillId="0" borderId="0" xfId="50" applyNumberFormat="1" applyFont="1" applyFill="1" applyBorder="1" applyAlignment="1">
      <alignment horizontal="left" vertical="center"/>
    </xf>
    <xf numFmtId="0" fontId="61" fillId="0" borderId="0" xfId="0" applyFont="1" applyBorder="1">
      <alignment vertical="center"/>
    </xf>
    <xf numFmtId="0" fontId="61" fillId="0" borderId="0" xfId="0" applyFont="1">
      <alignment vertical="center"/>
    </xf>
    <xf numFmtId="0" fontId="10" fillId="0" borderId="0" xfId="0" applyFont="1" applyFill="1" applyBorder="1" applyAlignment="1">
      <alignment vertical="center" wrapText="1"/>
    </xf>
    <xf numFmtId="0" fontId="6" fillId="19" borderId="0" xfId="0" applyFont="1" applyFill="1" applyBorder="1">
      <alignment vertical="center"/>
    </xf>
    <xf numFmtId="0" fontId="65" fillId="9" borderId="0" xfId="0" applyFont="1" applyFill="1" applyBorder="1">
      <alignment vertical="center"/>
    </xf>
    <xf numFmtId="0" fontId="65" fillId="9" borderId="0" xfId="0" applyFont="1" applyFill="1" applyBorder="1" applyAlignment="1">
      <alignment vertical="center" wrapText="1"/>
    </xf>
    <xf numFmtId="0" fontId="65" fillId="9" borderId="0" xfId="0" applyFont="1" applyFill="1" applyBorder="1" applyAlignment="1">
      <alignment horizontal="left" vertical="center"/>
    </xf>
    <xf numFmtId="0" fontId="65" fillId="4" borderId="0" xfId="0" applyFont="1" applyFill="1" applyBorder="1" applyAlignment="1">
      <alignment horizontal="center" vertical="center"/>
    </xf>
    <xf numFmtId="0" fontId="65" fillId="4" borderId="0" xfId="0" applyFont="1" applyFill="1" applyBorder="1" applyAlignment="1">
      <alignment horizontal="center" vertical="center" wrapText="1"/>
    </xf>
    <xf numFmtId="182" fontId="65" fillId="4" borderId="0" xfId="50" applyFont="1" applyFill="1" applyBorder="1" applyAlignment="1">
      <alignment horizontal="left" vertical="center" wrapText="1"/>
    </xf>
    <xf numFmtId="182" fontId="65" fillId="4" borderId="0" xfId="50" applyFont="1" applyFill="1" applyBorder="1" applyAlignment="1">
      <alignment horizontal="center" vertical="center"/>
    </xf>
    <xf numFmtId="182" fontId="66" fillId="4" borderId="0" xfId="50" quotePrefix="1" applyFont="1" applyFill="1" applyBorder="1" applyAlignment="1">
      <alignment horizontal="left" vertical="center"/>
    </xf>
    <xf numFmtId="182" fontId="65" fillId="4" borderId="0" xfId="50" quotePrefix="1" applyFont="1" applyFill="1" applyBorder="1" applyAlignment="1">
      <alignment horizontal="left" vertical="center"/>
    </xf>
    <xf numFmtId="0" fontId="65" fillId="4" borderId="0" xfId="50" quotePrefix="1" applyNumberFormat="1" applyFont="1" applyFill="1" applyBorder="1" applyAlignment="1">
      <alignment horizontal="center" vertical="center"/>
    </xf>
    <xf numFmtId="182" fontId="65" fillId="4" borderId="0" xfId="9" applyFont="1" applyBorder="1">
      <alignment horizontal="center" vertical="center"/>
    </xf>
    <xf numFmtId="0" fontId="65" fillId="0" borderId="0" xfId="50" applyNumberFormat="1" applyFont="1" applyFill="1" applyBorder="1" applyAlignment="1">
      <alignment horizontal="center" vertical="center"/>
    </xf>
    <xf numFmtId="2" fontId="65" fillId="0" borderId="0" xfId="50" applyNumberFormat="1" applyFont="1" applyFill="1" applyBorder="1" applyAlignment="1">
      <alignment horizontal="center" vertical="center"/>
    </xf>
    <xf numFmtId="0" fontId="65" fillId="0" borderId="0" xfId="50" applyNumberFormat="1" applyFont="1" applyFill="1" applyBorder="1" applyAlignment="1">
      <alignment horizontal="left" vertical="center"/>
    </xf>
    <xf numFmtId="0" fontId="65" fillId="0" borderId="0" xfId="50" applyNumberFormat="1" applyFont="1" applyFill="1" applyBorder="1" applyAlignment="1">
      <alignment horizontal="left" vertical="center" wrapText="1"/>
    </xf>
    <xf numFmtId="0" fontId="65" fillId="10" borderId="0" xfId="0" applyFont="1" applyFill="1" applyBorder="1" applyAlignment="1">
      <alignment horizontal="center" vertical="center"/>
    </xf>
    <xf numFmtId="2" fontId="65" fillId="6" borderId="0" xfId="0" applyNumberFormat="1" applyFont="1" applyFill="1" applyBorder="1" applyAlignment="1">
      <alignment horizontal="center" vertical="center"/>
    </xf>
    <xf numFmtId="2" fontId="65" fillId="0" borderId="0" xfId="0" applyNumberFormat="1" applyFont="1" applyFill="1" applyBorder="1" applyAlignment="1">
      <alignment horizontal="center" vertical="center"/>
    </xf>
    <xf numFmtId="2" fontId="65" fillId="0" borderId="0" xfId="0" applyNumberFormat="1" applyFont="1" applyBorder="1" applyAlignment="1">
      <alignment vertical="center"/>
    </xf>
    <xf numFmtId="0" fontId="65" fillId="0" borderId="0" xfId="0" applyFont="1" applyBorder="1">
      <alignment vertical="center"/>
    </xf>
    <xf numFmtId="0" fontId="65" fillId="11" borderId="0" xfId="0" applyFont="1" applyFill="1" applyAlignment="1">
      <alignment horizontal="center" vertical="center"/>
    </xf>
    <xf numFmtId="0" fontId="65" fillId="11" borderId="0" xfId="0" applyFont="1" applyFill="1" applyBorder="1" applyAlignment="1">
      <alignment horizontal="center" vertical="center"/>
    </xf>
    <xf numFmtId="11" fontId="6" fillId="0" borderId="0" xfId="0" applyNumberFormat="1" applyFont="1" applyBorder="1">
      <alignment vertical="center"/>
    </xf>
    <xf numFmtId="0" fontId="65" fillId="0" borderId="0" xfId="0" applyFont="1" applyAlignment="1">
      <alignment horizontal="left" vertical="center"/>
    </xf>
    <xf numFmtId="11" fontId="6" fillId="0" borderId="0" xfId="0" applyNumberFormat="1" applyFont="1" applyBorder="1" applyAlignment="1">
      <alignment horizontal="right" vertical="center"/>
    </xf>
    <xf numFmtId="181" fontId="25" fillId="0" borderId="0" xfId="42" applyFont="1" applyFill="1" applyBorder="1" applyAlignment="1">
      <alignment horizontal="left" vertical="center"/>
    </xf>
    <xf numFmtId="181" fontId="6" fillId="0" borderId="0" xfId="42" applyFont="1" applyFill="1" applyBorder="1" applyAlignment="1">
      <alignment horizontal="left" vertical="top"/>
    </xf>
    <xf numFmtId="181" fontId="21" fillId="0" borderId="0" xfId="42" applyFont="1" applyFill="1" applyBorder="1" applyAlignment="1">
      <alignment horizontal="left" vertical="top"/>
    </xf>
    <xf numFmtId="0" fontId="65" fillId="9" borderId="0" xfId="0" applyFont="1" applyFill="1" applyBorder="1" applyAlignment="1">
      <alignment horizontal="left" vertical="top" wrapText="1"/>
    </xf>
    <xf numFmtId="0" fontId="65" fillId="9" borderId="0" xfId="0" applyFont="1" applyFill="1" applyBorder="1" applyAlignment="1">
      <alignment horizontal="left" vertical="top"/>
    </xf>
    <xf numFmtId="0" fontId="65" fillId="4" borderId="0" xfId="0" applyFont="1" applyFill="1" applyBorder="1" applyAlignment="1">
      <alignment horizontal="center" vertical="top"/>
    </xf>
    <xf numFmtId="0" fontId="65" fillId="4" borderId="0" xfId="0" applyFont="1" applyFill="1" applyBorder="1" applyAlignment="1">
      <alignment horizontal="center" vertical="top" wrapText="1"/>
    </xf>
    <xf numFmtId="182" fontId="65" fillId="4" borderId="0" xfId="50" applyFont="1" applyFill="1" applyBorder="1" applyAlignment="1">
      <alignment horizontal="left" vertical="top" wrapText="1"/>
    </xf>
    <xf numFmtId="182" fontId="65" fillId="4" borderId="0" xfId="50" applyFont="1" applyFill="1" applyBorder="1" applyAlignment="1">
      <alignment horizontal="center" vertical="top"/>
    </xf>
    <xf numFmtId="182" fontId="66" fillId="4" borderId="0" xfId="50" quotePrefix="1" applyFont="1" applyFill="1" applyBorder="1" applyAlignment="1">
      <alignment horizontal="left" vertical="top"/>
    </xf>
    <xf numFmtId="182" fontId="65" fillId="4" borderId="0" xfId="50" quotePrefix="1" applyFont="1" applyFill="1" applyBorder="1" applyAlignment="1">
      <alignment horizontal="left" vertical="top"/>
    </xf>
    <xf numFmtId="0" fontId="65" fillId="4" borderId="0" xfId="50" quotePrefix="1" applyNumberFormat="1" applyFont="1" applyFill="1" applyBorder="1" applyAlignment="1">
      <alignment horizontal="center" vertical="top"/>
    </xf>
    <xf numFmtId="182" fontId="65" fillId="4" borderId="0" xfId="9" applyFont="1" applyBorder="1" applyAlignment="1">
      <alignment horizontal="center" vertical="top"/>
    </xf>
    <xf numFmtId="0" fontId="65" fillId="0" borderId="0" xfId="50" applyNumberFormat="1" applyFont="1" applyFill="1" applyBorder="1" applyAlignment="1">
      <alignment horizontal="center" vertical="top"/>
    </xf>
    <xf numFmtId="2" fontId="65" fillId="0" borderId="0" xfId="50" applyNumberFormat="1" applyFont="1" applyFill="1" applyBorder="1" applyAlignment="1">
      <alignment horizontal="center" vertical="top"/>
    </xf>
    <xf numFmtId="0" fontId="65" fillId="0" borderId="0" xfId="50" applyNumberFormat="1" applyFont="1" applyFill="1" applyBorder="1" applyAlignment="1">
      <alignment horizontal="left" vertical="top"/>
    </xf>
    <xf numFmtId="0" fontId="65" fillId="0" borderId="0" xfId="50" applyNumberFormat="1" applyFont="1" applyFill="1" applyBorder="1" applyAlignment="1">
      <alignment horizontal="left" vertical="top" wrapText="1"/>
    </xf>
    <xf numFmtId="182" fontId="65" fillId="0" borderId="0" xfId="9" applyFont="1" applyFill="1" applyBorder="1">
      <alignment horizontal="center" vertical="center"/>
    </xf>
    <xf numFmtId="181" fontId="6" fillId="0" borderId="0" xfId="42" applyFont="1" applyFill="1" applyBorder="1" applyAlignment="1">
      <alignment horizontal="left" vertical="center" wrapText="1"/>
    </xf>
    <xf numFmtId="181" fontId="21" fillId="0" borderId="0" xfId="42" applyFont="1" applyFill="1" applyBorder="1" applyAlignment="1">
      <alignment horizontal="left" vertical="center" wrapText="1"/>
    </xf>
    <xf numFmtId="182" fontId="65" fillId="4" borderId="0" xfId="50" applyFont="1" applyFill="1" applyBorder="1" applyAlignment="1">
      <alignment horizontal="left" vertical="center"/>
    </xf>
    <xf numFmtId="182" fontId="65" fillId="0" borderId="0" xfId="39" applyNumberFormat="1" applyFont="1" applyBorder="1" applyAlignment="1">
      <alignment horizontal="center" vertical="center"/>
    </xf>
    <xf numFmtId="181" fontId="6" fillId="0" borderId="0" xfId="42" applyFont="1" applyFill="1" applyBorder="1" applyAlignment="1">
      <alignment horizontal="left" vertical="center"/>
    </xf>
    <xf numFmtId="181" fontId="24" fillId="0" borderId="0" xfId="42" applyFont="1" applyFill="1" applyBorder="1" applyAlignment="1">
      <alignment horizontal="left" vertical="center"/>
    </xf>
    <xf numFmtId="0" fontId="16" fillId="28" borderId="0" xfId="8" applyFill="1" applyBorder="1">
      <alignment horizontal="center" vertical="center" wrapText="1"/>
    </xf>
    <xf numFmtId="11" fontId="65" fillId="0" borderId="0" xfId="0" applyNumberFormat="1" applyFont="1" applyFill="1" applyBorder="1" applyAlignment="1">
      <alignment horizontal="right" vertical="center"/>
    </xf>
    <xf numFmtId="0" fontId="65" fillId="9" borderId="0" xfId="0" applyFont="1" applyFill="1" applyAlignment="1">
      <alignment vertical="center" wrapText="1"/>
    </xf>
    <xf numFmtId="182" fontId="65" fillId="0" borderId="0" xfId="0" applyNumberFormat="1" applyFont="1" applyAlignment="1">
      <alignment horizontal="center" vertical="center"/>
    </xf>
    <xf numFmtId="0" fontId="65" fillId="4" borderId="0" xfId="0" applyFont="1" applyFill="1" applyBorder="1" applyAlignment="1">
      <alignment vertical="center"/>
    </xf>
    <xf numFmtId="2" fontId="67" fillId="6" borderId="0" xfId="0" applyNumberFormat="1" applyFont="1" applyFill="1" applyBorder="1" applyAlignment="1">
      <alignment horizontal="center" vertical="center"/>
    </xf>
    <xf numFmtId="0" fontId="68" fillId="0" borderId="0" xfId="0" applyFont="1">
      <alignment vertical="center"/>
    </xf>
    <xf numFmtId="0" fontId="6" fillId="19" borderId="0" xfId="0" applyFont="1" applyFill="1" applyBorder="1" applyAlignment="1">
      <alignment horizontal="center" vertical="center" wrapText="1"/>
    </xf>
    <xf numFmtId="0" fontId="16" fillId="3" borderId="0" xfId="8" applyBorder="1" applyAlignment="1">
      <alignment horizontal="center" vertical="center" wrapText="1"/>
    </xf>
    <xf numFmtId="182" fontId="16" fillId="4" borderId="0" xfId="9" applyBorder="1" applyAlignment="1">
      <alignment horizontal="center" vertical="center"/>
    </xf>
    <xf numFmtId="182" fontId="6" fillId="4" borderId="0" xfId="9" applyFont="1" applyBorder="1" applyAlignment="1">
      <alignment horizontal="center" vertical="center"/>
    </xf>
    <xf numFmtId="182" fontId="65" fillId="4" borderId="0" xfId="9" applyFont="1" applyBorder="1" applyAlignment="1">
      <alignment horizontal="center" vertical="center"/>
    </xf>
    <xf numFmtId="0" fontId="65" fillId="0" borderId="0" xfId="0" applyFont="1" applyFill="1" applyAlignment="1">
      <alignment horizontal="left" vertical="center"/>
    </xf>
    <xf numFmtId="0" fontId="65" fillId="0" borderId="0" xfId="0" applyFont="1" applyFill="1" applyAlignment="1">
      <alignment vertical="center" wrapText="1"/>
    </xf>
    <xf numFmtId="0" fontId="65" fillId="0" borderId="0" xfId="0" applyFont="1" applyFill="1" applyBorder="1" applyAlignment="1">
      <alignment horizontal="left" vertical="center"/>
    </xf>
    <xf numFmtId="0" fontId="65" fillId="0" borderId="0" xfId="0" applyFont="1" applyFill="1" applyBorder="1" applyAlignment="1">
      <alignment horizontal="center" vertical="center"/>
    </xf>
    <xf numFmtId="0" fontId="65" fillId="0" borderId="0" xfId="0" applyFont="1" applyFill="1" applyBorder="1" applyAlignment="1">
      <alignment horizontal="center" vertical="center" wrapText="1"/>
    </xf>
    <xf numFmtId="182" fontId="65" fillId="0" borderId="0" xfId="50" applyFont="1" applyFill="1" applyBorder="1" applyAlignment="1">
      <alignment horizontal="left" vertical="center" wrapText="1"/>
    </xf>
    <xf numFmtId="182" fontId="65" fillId="0" borderId="0" xfId="50" applyFont="1" applyFill="1" applyBorder="1" applyAlignment="1">
      <alignment horizontal="center" vertical="center"/>
    </xf>
    <xf numFmtId="182" fontId="66" fillId="0" borderId="0" xfId="50" quotePrefix="1" applyFont="1" applyFill="1" applyBorder="1" applyAlignment="1">
      <alignment horizontal="left" vertical="center"/>
    </xf>
    <xf numFmtId="182" fontId="65" fillId="0" borderId="0" xfId="50" quotePrefix="1" applyFont="1" applyFill="1" applyBorder="1" applyAlignment="1">
      <alignment horizontal="left" vertical="center"/>
    </xf>
    <xf numFmtId="0" fontId="65" fillId="0" borderId="0" xfId="50" quotePrefix="1" applyNumberFormat="1" applyFont="1" applyFill="1" applyBorder="1" applyAlignment="1">
      <alignment horizontal="center" vertical="center"/>
    </xf>
    <xf numFmtId="182" fontId="65" fillId="0" borderId="0" xfId="9" applyFont="1" applyFill="1" applyBorder="1" applyAlignment="1">
      <alignment horizontal="center" vertical="center"/>
    </xf>
    <xf numFmtId="182" fontId="65" fillId="0" borderId="0" xfId="39" applyNumberFormat="1" applyFont="1" applyFill="1" applyBorder="1" applyAlignment="1">
      <alignment horizontal="center" vertical="center"/>
    </xf>
    <xf numFmtId="182" fontId="65" fillId="0" borderId="0" xfId="0" applyNumberFormat="1" applyFont="1" applyFill="1" applyAlignment="1">
      <alignment horizontal="center" vertical="center"/>
    </xf>
    <xf numFmtId="0" fontId="65" fillId="0" borderId="0" xfId="0" applyFont="1" applyFill="1" applyBorder="1" applyAlignment="1">
      <alignment vertical="center"/>
    </xf>
    <xf numFmtId="2" fontId="67" fillId="0" borderId="0" xfId="0" applyNumberFormat="1" applyFont="1" applyFill="1" applyBorder="1" applyAlignment="1">
      <alignment horizontal="center" vertical="center"/>
    </xf>
    <xf numFmtId="2" fontId="65" fillId="0" borderId="0" xfId="0" applyNumberFormat="1" applyFont="1" applyFill="1" applyBorder="1" applyAlignment="1">
      <alignment vertical="center"/>
    </xf>
    <xf numFmtId="0" fontId="65" fillId="0" borderId="0" xfId="0" applyFont="1" applyFill="1" applyBorder="1">
      <alignment vertical="center"/>
    </xf>
    <xf numFmtId="0" fontId="68" fillId="0" borderId="0" xfId="0" applyFont="1" applyFill="1">
      <alignment vertical="center"/>
    </xf>
    <xf numFmtId="0" fontId="35" fillId="5" borderId="0" xfId="64" applyFont="1" applyFill="1" applyAlignment="1"/>
    <xf numFmtId="0" fontId="35" fillId="5" borderId="0" xfId="64" applyFont="1" applyFill="1" applyAlignment="1">
      <alignment vertical="center"/>
    </xf>
    <xf numFmtId="0" fontId="34" fillId="11" borderId="0" xfId="64" quotePrefix="1" applyFont="1" applyFill="1" applyBorder="1" applyAlignment="1">
      <alignment horizontal="left" vertical="center" wrapText="1"/>
    </xf>
    <xf numFmtId="0" fontId="45" fillId="5" borderId="0" xfId="64" applyFont="1" applyFill="1" applyBorder="1" applyAlignment="1">
      <alignment vertical="center" wrapText="1"/>
    </xf>
    <xf numFmtId="0" fontId="35" fillId="5" borderId="0" xfId="64" applyFont="1" applyFill="1" applyBorder="1" applyAlignment="1"/>
    <xf numFmtId="0" fontId="35" fillId="5" borderId="0" xfId="64" applyFont="1" applyFill="1" applyBorder="1" applyAlignment="1">
      <alignment wrapText="1"/>
    </xf>
    <xf numFmtId="0" fontId="35" fillId="5" borderId="0" xfId="64" applyFont="1" applyFill="1" applyBorder="1" applyAlignment="1">
      <alignment vertical="top" wrapText="1"/>
    </xf>
    <xf numFmtId="0" fontId="52" fillId="5" borderId="0" xfId="64" applyFont="1" applyFill="1" applyBorder="1" applyAlignment="1">
      <alignment wrapText="1"/>
    </xf>
    <xf numFmtId="0" fontId="34" fillId="5" borderId="0" xfId="64" applyFont="1" applyFill="1" applyBorder="1" applyAlignment="1">
      <alignment vertical="top" wrapText="1"/>
    </xf>
    <xf numFmtId="0" fontId="45" fillId="5" borderId="0" xfId="64" applyFont="1" applyFill="1" applyBorder="1" applyAlignment="1">
      <alignment vertical="top" wrapText="1"/>
    </xf>
    <xf numFmtId="0" fontId="6" fillId="5" borderId="0" xfId="64" applyFont="1" applyFill="1" applyBorder="1" applyAlignment="1"/>
    <xf numFmtId="0" fontId="49" fillId="5" borderId="0" xfId="64" applyFont="1" applyFill="1" applyBorder="1" applyAlignment="1">
      <alignment vertical="center"/>
    </xf>
    <xf numFmtId="0" fontId="48" fillId="5" borderId="0" xfId="64" applyFont="1" applyFill="1" applyBorder="1" applyAlignment="1">
      <alignment vertical="center"/>
    </xf>
    <xf numFmtId="0" fontId="34" fillId="5" borderId="0" xfId="65" applyFont="1" applyFill="1" applyAlignment="1" applyProtection="1">
      <alignment vertical="center"/>
    </xf>
    <xf numFmtId="0" fontId="34" fillId="5" borderId="0" xfId="64" applyFont="1" applyFill="1" applyAlignment="1">
      <alignment vertical="center"/>
    </xf>
    <xf numFmtId="0" fontId="34" fillId="5" borderId="0" xfId="64" applyFont="1" applyFill="1" applyAlignment="1">
      <alignment vertical="center" wrapText="1"/>
    </xf>
    <xf numFmtId="0" fontId="47" fillId="5" borderId="0" xfId="65" applyFont="1" applyFill="1" applyAlignment="1" applyProtection="1">
      <alignment vertical="center"/>
    </xf>
    <xf numFmtId="0" fontId="6" fillId="0" borderId="0" xfId="64" applyFont="1" applyAlignment="1"/>
    <xf numFmtId="0" fontId="69" fillId="5" borderId="0" xfId="65" applyFill="1" applyAlignment="1" applyProtection="1">
      <alignment vertical="center"/>
    </xf>
    <xf numFmtId="0" fontId="45" fillId="5" borderId="0" xfId="64" applyFont="1" applyFill="1" applyAlignment="1">
      <alignment horizontal="left" vertical="center" wrapText="1"/>
    </xf>
    <xf numFmtId="0" fontId="34" fillId="5" borderId="0" xfId="64" applyFont="1" applyFill="1" applyBorder="1" applyAlignment="1">
      <alignment vertical="center" wrapText="1"/>
    </xf>
    <xf numFmtId="0" fontId="46" fillId="5" borderId="0" xfId="64" applyFont="1" applyFill="1" applyAlignment="1">
      <alignment vertical="center" wrapText="1"/>
    </xf>
    <xf numFmtId="0" fontId="35" fillId="5" borderId="0" xfId="64" applyFont="1" applyFill="1" applyAlignment="1">
      <alignment vertical="center" wrapText="1"/>
    </xf>
    <xf numFmtId="0" fontId="35" fillId="5" borderId="0" xfId="64" quotePrefix="1" applyFont="1" applyFill="1" applyAlignment="1">
      <alignment vertical="center" wrapText="1"/>
    </xf>
    <xf numFmtId="0" fontId="45" fillId="5" borderId="0" xfId="64" applyFont="1" applyFill="1" applyAlignment="1">
      <alignment vertical="center" wrapText="1"/>
    </xf>
    <xf numFmtId="14" fontId="34" fillId="5" borderId="0" xfId="64" applyNumberFormat="1" applyFont="1" applyFill="1" applyAlignment="1">
      <alignment horizontal="left" vertical="center"/>
    </xf>
    <xf numFmtId="0" fontId="44" fillId="5" borderId="0" xfId="64" applyFont="1" applyFill="1" applyAlignment="1"/>
    <xf numFmtId="0" fontId="44" fillId="5" borderId="0" xfId="64" applyFont="1" applyFill="1" applyAlignment="1">
      <alignment wrapText="1"/>
    </xf>
    <xf numFmtId="0" fontId="43" fillId="5" borderId="0" xfId="64" applyFont="1" applyFill="1" applyAlignment="1">
      <alignment horizontal="center" vertical="center" wrapText="1"/>
    </xf>
    <xf numFmtId="0" fontId="42" fillId="5" borderId="0" xfId="64" applyFont="1" applyFill="1" applyAlignment="1">
      <alignment vertical="center"/>
    </xf>
    <xf numFmtId="0" fontId="41" fillId="5" borderId="0" xfId="64" applyFont="1" applyFill="1" applyAlignment="1">
      <alignment horizontal="center" vertical="center" wrapText="1"/>
    </xf>
    <xf numFmtId="0" fontId="70" fillId="0" borderId="0" xfId="66" applyFont="1" applyBorder="1">
      <alignment vertical="center"/>
    </xf>
    <xf numFmtId="0" fontId="70" fillId="0" borderId="0" xfId="66" applyFont="1" applyBorder="1" applyAlignment="1">
      <alignment horizontal="center" wrapText="1"/>
    </xf>
    <xf numFmtId="0" fontId="70" fillId="0" borderId="0" xfId="66" applyFont="1" applyBorder="1" applyAlignment="1">
      <alignment horizontal="center"/>
    </xf>
    <xf numFmtId="0" fontId="71" fillId="0" borderId="0" xfId="66" applyFont="1" applyBorder="1" applyAlignment="1">
      <alignment horizontal="center" vertical="center"/>
    </xf>
    <xf numFmtId="0" fontId="71" fillId="0" borderId="0" xfId="66" applyFont="1" applyBorder="1">
      <alignment vertical="center"/>
    </xf>
    <xf numFmtId="0" fontId="70" fillId="0" borderId="0" xfId="66" applyFont="1" applyBorder="1" applyAlignment="1">
      <alignment vertical="top"/>
    </xf>
    <xf numFmtId="169" fontId="70" fillId="0" borderId="0" xfId="66" applyNumberFormat="1" applyFont="1" applyBorder="1">
      <alignment vertical="center"/>
    </xf>
    <xf numFmtId="0" fontId="70" fillId="7" borderId="0" xfId="66" applyFont="1" applyFill="1" applyBorder="1">
      <alignment vertical="center"/>
    </xf>
    <xf numFmtId="0" fontId="70" fillId="7" borderId="0" xfId="66" applyFont="1" applyFill="1" applyBorder="1" applyAlignment="1">
      <alignment horizontal="center" wrapText="1"/>
    </xf>
    <xf numFmtId="0" fontId="70" fillId="7" borderId="0" xfId="66" applyFont="1" applyFill="1" applyBorder="1" applyAlignment="1">
      <alignment horizontal="center"/>
    </xf>
    <xf numFmtId="0" fontId="10" fillId="7" borderId="0" xfId="34" applyFont="1" applyFill="1" applyBorder="1" applyAlignment="1">
      <alignment horizontal="left" vertical="center"/>
    </xf>
    <xf numFmtId="0" fontId="71" fillId="7" borderId="0" xfId="66" applyFont="1" applyFill="1" applyBorder="1" applyAlignment="1">
      <alignment horizontal="center" vertical="center"/>
    </xf>
    <xf numFmtId="0" fontId="71" fillId="7" borderId="0" xfId="66" applyFont="1" applyFill="1" applyBorder="1">
      <alignment vertical="center"/>
    </xf>
    <xf numFmtId="0" fontId="70" fillId="7" borderId="0" xfId="66" applyNumberFormat="1" applyFont="1" applyFill="1" applyBorder="1" applyAlignment="1">
      <alignment vertical="center" wrapText="1"/>
    </xf>
    <xf numFmtId="0" fontId="70" fillId="0" borderId="0" xfId="66" applyFont="1" applyBorder="1" applyAlignment="1">
      <alignment vertical="center"/>
    </xf>
    <xf numFmtId="0" fontId="70" fillId="7" borderId="0" xfId="66" applyNumberFormat="1" applyFont="1" applyFill="1" applyBorder="1" applyAlignment="1">
      <alignment vertical="center"/>
    </xf>
    <xf numFmtId="169" fontId="6" fillId="0" borderId="0" xfId="66" applyNumberFormat="1" applyFont="1" applyFill="1" applyBorder="1" applyAlignment="1">
      <alignment horizontal="center" vertical="center"/>
    </xf>
    <xf numFmtId="2" fontId="70" fillId="0" borderId="0" xfId="57" applyNumberFormat="1" applyFont="1" applyFill="1" applyBorder="1" applyAlignment="1">
      <alignment horizontal="center" vertical="center"/>
    </xf>
    <xf numFmtId="0" fontId="70" fillId="0" borderId="0" xfId="57" applyNumberFormat="1" applyFont="1" applyFill="1" applyBorder="1" applyAlignment="1">
      <alignment horizontal="center" vertical="center"/>
    </xf>
    <xf numFmtId="169" fontId="6" fillId="7" borderId="0" xfId="66" applyNumberFormat="1" applyFont="1" applyFill="1" applyBorder="1" applyAlignment="1">
      <alignment horizontal="center" vertical="center"/>
    </xf>
    <xf numFmtId="0" fontId="10" fillId="0" borderId="0" xfId="57" applyNumberFormat="1" applyFont="1" applyFill="1" applyBorder="1" applyAlignment="1">
      <alignment horizontal="left" vertical="center"/>
    </xf>
    <xf numFmtId="182" fontId="70" fillId="4" borderId="0" xfId="57" applyFont="1" applyFill="1" applyBorder="1" applyAlignment="1">
      <alignment horizontal="center" vertical="center"/>
    </xf>
    <xf numFmtId="0" fontId="70" fillId="4" borderId="0" xfId="57" quotePrefix="1" applyNumberFormat="1" applyFont="1" applyFill="1" applyBorder="1" applyAlignment="1">
      <alignment horizontal="center" vertical="center"/>
    </xf>
    <xf numFmtId="182" fontId="70" fillId="4" borderId="0" xfId="57" quotePrefix="1" applyFont="1" applyFill="1" applyBorder="1" applyAlignment="1">
      <alignment horizontal="left" vertical="center"/>
    </xf>
    <xf numFmtId="0" fontId="6" fillId="7" borderId="0" xfId="66" applyFont="1" applyFill="1" applyBorder="1" applyAlignment="1" applyProtection="1">
      <alignment horizontal="center" vertical="center" wrapText="1"/>
      <protection locked="0"/>
    </xf>
    <xf numFmtId="0" fontId="6" fillId="7" borderId="0" xfId="66" applyFont="1" applyFill="1" applyBorder="1" applyAlignment="1" applyProtection="1">
      <alignment horizontal="center" vertical="center"/>
      <protection locked="0"/>
    </xf>
    <xf numFmtId="0" fontId="23" fillId="9" borderId="0" xfId="66" applyFont="1" applyFill="1" applyBorder="1" applyAlignment="1">
      <alignment horizontal="left" vertical="center"/>
    </xf>
    <xf numFmtId="0" fontId="6" fillId="9" borderId="0" xfId="66" applyFont="1" applyFill="1" applyBorder="1" applyAlignment="1">
      <alignment vertical="center" wrapText="1"/>
    </xf>
    <xf numFmtId="0" fontId="6" fillId="7" borderId="0" xfId="66" applyFont="1" applyFill="1" applyBorder="1" applyAlignment="1">
      <alignment horizontal="center" vertical="center"/>
    </xf>
    <xf numFmtId="0" fontId="6" fillId="7" borderId="0" xfId="66" quotePrefix="1" applyFont="1" applyFill="1" applyBorder="1" applyAlignment="1" applyProtection="1">
      <alignment horizontal="center" vertical="center"/>
      <protection locked="0"/>
    </xf>
    <xf numFmtId="0" fontId="70" fillId="4" borderId="0" xfId="66" applyNumberFormat="1" applyFont="1" applyFill="1" applyBorder="1" applyAlignment="1">
      <alignment vertical="center" wrapText="1"/>
    </xf>
    <xf numFmtId="0" fontId="70" fillId="4" borderId="0" xfId="66" applyNumberFormat="1" applyFont="1" applyFill="1" applyBorder="1" applyAlignment="1">
      <alignment vertical="center"/>
    </xf>
    <xf numFmtId="1" fontId="6" fillId="0" borderId="0" xfId="66" applyNumberFormat="1" applyFont="1" applyFill="1" applyBorder="1" applyAlignment="1">
      <alignment horizontal="center" vertical="center"/>
    </xf>
    <xf numFmtId="2" fontId="10" fillId="0" borderId="0" xfId="57" applyNumberFormat="1" applyFont="1" applyFill="1" applyBorder="1" applyAlignment="1">
      <alignment horizontal="center" vertical="center"/>
    </xf>
    <xf numFmtId="0" fontId="10" fillId="0" borderId="0" xfId="57" applyNumberFormat="1" applyFont="1" applyFill="1" applyBorder="1" applyAlignment="1">
      <alignment horizontal="center" vertical="center"/>
    </xf>
    <xf numFmtId="1" fontId="6" fillId="6" borderId="0" xfId="66" applyNumberFormat="1" applyFont="1" applyFill="1" applyBorder="1" applyAlignment="1">
      <alignment horizontal="center" vertical="center"/>
    </xf>
    <xf numFmtId="182" fontId="70" fillId="6" borderId="0" xfId="57" applyFont="1" applyFill="1" applyBorder="1" applyAlignment="1">
      <alignment horizontal="center" vertical="center"/>
    </xf>
    <xf numFmtId="0" fontId="70" fillId="6" borderId="0" xfId="57" quotePrefix="1" applyNumberFormat="1" applyFont="1" applyFill="1" applyBorder="1" applyAlignment="1">
      <alignment horizontal="center" vertical="center"/>
    </xf>
    <xf numFmtId="182" fontId="70" fillId="6" borderId="0" xfId="57" quotePrefix="1" applyFont="1" applyFill="1" applyBorder="1" applyAlignment="1">
      <alignment horizontal="left" vertical="center"/>
    </xf>
    <xf numFmtId="182" fontId="6" fillId="6" borderId="0" xfId="57" applyFont="1" applyFill="1" applyBorder="1" applyAlignment="1">
      <alignment horizontal="left" vertical="center" wrapText="1"/>
    </xf>
    <xf numFmtId="0" fontId="6" fillId="6" borderId="0" xfId="66" applyFont="1" applyFill="1" applyBorder="1" applyAlignment="1" applyProtection="1">
      <alignment horizontal="center" vertical="center"/>
      <protection locked="0"/>
    </xf>
    <xf numFmtId="0" fontId="6" fillId="6" borderId="0" xfId="66" applyFont="1" applyFill="1" applyBorder="1" applyAlignment="1" applyProtection="1">
      <alignment horizontal="center" vertical="center" wrapText="1"/>
      <protection locked="0"/>
    </xf>
    <xf numFmtId="0" fontId="70" fillId="0" borderId="0" xfId="66" applyFont="1" applyBorder="1" applyAlignment="1">
      <alignment vertical="top" wrapText="1"/>
    </xf>
    <xf numFmtId="0" fontId="6" fillId="0" borderId="0" xfId="66" applyFont="1" applyFill="1" applyBorder="1" applyAlignment="1">
      <alignment horizontal="center" vertical="center" wrapText="1"/>
    </xf>
    <xf numFmtId="181" fontId="31" fillId="3" borderId="0" xfId="62" applyFont="1" applyFill="1" applyBorder="1" applyAlignment="1">
      <alignment horizontal="left" vertical="center"/>
    </xf>
    <xf numFmtId="181" fontId="31" fillId="3" borderId="0" xfId="62" applyFont="1" applyFill="1" applyBorder="1" applyAlignment="1">
      <alignment horizontal="center" vertical="center"/>
    </xf>
    <xf numFmtId="0" fontId="6" fillId="3" borderId="0" xfId="66" applyFont="1" applyFill="1" applyBorder="1" applyAlignment="1">
      <alignment horizontal="center" vertical="center" wrapText="1"/>
    </xf>
    <xf numFmtId="0" fontId="70" fillId="0" borderId="0" xfId="66" applyFont="1" applyFill="1" applyBorder="1" applyAlignment="1">
      <alignment horizontal="center" vertical="center" wrapText="1"/>
    </xf>
    <xf numFmtId="0" fontId="70" fillId="0" borderId="0" xfId="66" applyFont="1" applyBorder="1" applyAlignment="1">
      <alignment horizontal="center" vertical="center" wrapText="1"/>
    </xf>
    <xf numFmtId="0" fontId="71" fillId="9" borderId="0" xfId="66" applyFont="1" applyFill="1" applyBorder="1" applyAlignment="1">
      <alignment horizontal="center" vertical="center"/>
    </xf>
    <xf numFmtId="0" fontId="71" fillId="9" borderId="0" xfId="66" applyFont="1" applyFill="1" applyBorder="1" applyAlignment="1">
      <alignment vertical="center" wrapText="1"/>
    </xf>
    <xf numFmtId="0" fontId="70" fillId="9" borderId="0" xfId="66" applyFont="1" applyFill="1" applyBorder="1">
      <alignment vertical="center"/>
    </xf>
    <xf numFmtId="0" fontId="70" fillId="0" borderId="0" xfId="66" applyNumberFormat="1" applyFont="1" applyBorder="1" applyAlignment="1">
      <alignment vertical="top" wrapText="1"/>
    </xf>
    <xf numFmtId="0" fontId="21" fillId="0" borderId="0" xfId="67" applyFont="1" applyBorder="1" applyAlignment="1">
      <alignment horizontal="center" vertical="center"/>
    </xf>
    <xf numFmtId="0" fontId="21" fillId="0" borderId="0" xfId="67" applyFont="1" applyBorder="1" applyAlignment="1">
      <alignment horizontal="center" vertical="center" wrapText="1"/>
    </xf>
    <xf numFmtId="0" fontId="70" fillId="0" borderId="0" xfId="66" applyNumberFormat="1" applyFont="1" applyBorder="1" applyAlignment="1">
      <alignment vertical="top"/>
    </xf>
    <xf numFmtId="0" fontId="70" fillId="0" borderId="0" xfId="66" applyFont="1" applyBorder="1" applyAlignment="1">
      <alignment horizontal="center" vertical="center"/>
    </xf>
    <xf numFmtId="181" fontId="10" fillId="3" borderId="0" xfId="62" applyFont="1" applyFill="1" applyBorder="1" applyAlignment="1">
      <alignment horizontal="left" vertical="center" wrapText="1"/>
    </xf>
    <xf numFmtId="181" fontId="10" fillId="3" borderId="0" xfId="62" applyFont="1" applyFill="1" applyBorder="1" applyAlignment="1">
      <alignment horizontal="center" vertical="center" textRotation="90" wrapText="1"/>
    </xf>
    <xf numFmtId="181" fontId="10" fillId="3" borderId="0" xfId="62" applyFont="1" applyFill="1" applyBorder="1" applyAlignment="1">
      <alignment horizontal="left" vertical="center"/>
    </xf>
    <xf numFmtId="0" fontId="70" fillId="0" borderId="0" xfId="66" applyFont="1" applyFill="1" applyBorder="1" applyAlignment="1">
      <alignment horizontal="center" vertical="center" textRotation="90" wrapText="1"/>
    </xf>
    <xf numFmtId="0" fontId="70" fillId="0" borderId="0" xfId="66" applyFont="1" applyBorder="1" applyAlignment="1">
      <alignment horizontal="center" vertical="center" textRotation="90" wrapText="1"/>
    </xf>
    <xf numFmtId="181" fontId="71" fillId="9" borderId="0" xfId="62" applyFont="1" applyFill="1" applyBorder="1" applyAlignment="1">
      <alignment horizontal="left" vertical="center" wrapText="1"/>
    </xf>
    <xf numFmtId="181" fontId="71" fillId="9" borderId="0" xfId="62" applyFont="1" applyFill="1" applyBorder="1" applyAlignment="1">
      <alignment horizontal="center" vertical="center" wrapText="1"/>
    </xf>
    <xf numFmtId="0" fontId="71" fillId="9" borderId="0" xfId="66" applyFont="1" applyFill="1" applyBorder="1" applyAlignment="1">
      <alignment horizontal="center" vertical="center" wrapText="1"/>
    </xf>
    <xf numFmtId="181" fontId="71" fillId="9" borderId="0" xfId="62" applyFont="1" applyFill="1" applyBorder="1" applyAlignment="1">
      <alignment horizontal="left" vertical="center"/>
    </xf>
    <xf numFmtId="0" fontId="6" fillId="4" borderId="0" xfId="66" applyFont="1" applyFill="1" applyBorder="1" applyAlignment="1">
      <alignment horizontal="center" vertical="center"/>
    </xf>
    <xf numFmtId="0" fontId="70" fillId="9" borderId="0" xfId="66" applyFont="1" applyFill="1" applyBorder="1" applyAlignment="1">
      <alignment horizontal="right" vertical="center" wrapText="1"/>
    </xf>
    <xf numFmtId="0" fontId="71" fillId="9" borderId="0" xfId="66" applyFont="1" applyFill="1" applyBorder="1">
      <alignment vertical="center"/>
    </xf>
    <xf numFmtId="0" fontId="72" fillId="0" borderId="0" xfId="66" applyFont="1" applyBorder="1">
      <alignment vertical="center"/>
    </xf>
    <xf numFmtId="0" fontId="72" fillId="7" borderId="0" xfId="66" applyNumberFormat="1" applyFont="1" applyFill="1" applyBorder="1" applyAlignment="1">
      <alignment vertical="center"/>
    </xf>
    <xf numFmtId="0" fontId="72" fillId="0" borderId="0" xfId="66" applyFont="1" applyBorder="1" applyAlignment="1">
      <alignment vertical="center"/>
    </xf>
    <xf numFmtId="169" fontId="65" fillId="0" borderId="0" xfId="66" applyNumberFormat="1" applyFont="1" applyFill="1" applyBorder="1" applyAlignment="1">
      <alignment horizontal="center" vertical="center"/>
    </xf>
    <xf numFmtId="0" fontId="68" fillId="0" borderId="0" xfId="57" applyNumberFormat="1" applyFont="1" applyFill="1" applyBorder="1" applyAlignment="1">
      <alignment horizontal="left" vertical="center" wrapText="1"/>
    </xf>
    <xf numFmtId="2" fontId="72" fillId="0" borderId="0" xfId="57" applyNumberFormat="1" applyFont="1" applyFill="1" applyBorder="1" applyAlignment="1">
      <alignment horizontal="center" vertical="center"/>
    </xf>
    <xf numFmtId="0" fontId="72" fillId="0" borderId="0" xfId="57" applyNumberFormat="1" applyFont="1" applyFill="1" applyBorder="1" applyAlignment="1">
      <alignment horizontal="center" vertical="center"/>
    </xf>
    <xf numFmtId="169" fontId="65" fillId="7" borderId="0" xfId="66" applyNumberFormat="1" applyFont="1" applyFill="1" applyBorder="1" applyAlignment="1">
      <alignment horizontal="center" vertical="center"/>
    </xf>
    <xf numFmtId="0" fontId="68" fillId="0" borderId="0" xfId="57" applyNumberFormat="1" applyFont="1" applyFill="1" applyBorder="1" applyAlignment="1">
      <alignment horizontal="left" vertical="center"/>
    </xf>
    <xf numFmtId="182" fontId="72" fillId="4" borderId="0" xfId="57" applyFont="1" applyFill="1" applyBorder="1" applyAlignment="1">
      <alignment horizontal="center" vertical="center"/>
    </xf>
    <xf numFmtId="0" fontId="72" fillId="4" borderId="0" xfId="57" quotePrefix="1" applyNumberFormat="1" applyFont="1" applyFill="1" applyBorder="1" applyAlignment="1">
      <alignment horizontal="center" vertical="center"/>
    </xf>
    <xf numFmtId="182" fontId="72" fillId="4" borderId="0" xfId="57" quotePrefix="1" applyFont="1" applyFill="1" applyBorder="1" applyAlignment="1">
      <alignment horizontal="left" vertical="center"/>
    </xf>
    <xf numFmtId="182" fontId="65" fillId="4" borderId="0" xfId="57" applyFont="1" applyFill="1" applyBorder="1" applyAlignment="1">
      <alignment horizontal="left" vertical="center" wrapText="1"/>
    </xf>
    <xf numFmtId="0" fontId="65" fillId="7" borderId="0" xfId="66" applyFont="1" applyFill="1" applyBorder="1" applyAlignment="1" applyProtection="1">
      <alignment horizontal="center" vertical="center" wrapText="1"/>
      <protection locked="0"/>
    </xf>
    <xf numFmtId="0" fontId="65" fillId="7" borderId="0" xfId="66" applyFont="1" applyFill="1" applyBorder="1" applyAlignment="1" applyProtection="1">
      <alignment horizontal="center" vertical="center"/>
      <protection locked="0"/>
    </xf>
    <xf numFmtId="0" fontId="65" fillId="9" borderId="0" xfId="66" applyFont="1" applyFill="1" applyBorder="1" applyAlignment="1">
      <alignment horizontal="left" vertical="center"/>
    </xf>
    <xf numFmtId="0" fontId="65" fillId="9" borderId="0" xfId="66" applyFont="1" applyFill="1" applyBorder="1" applyAlignment="1">
      <alignment vertical="center" wrapText="1"/>
    </xf>
    <xf numFmtId="0" fontId="65" fillId="7" borderId="0" xfId="66" applyFont="1" applyFill="1" applyBorder="1" applyAlignment="1">
      <alignment horizontal="center" vertical="center"/>
    </xf>
    <xf numFmtId="0" fontId="65" fillId="7" borderId="0" xfId="66" quotePrefix="1" applyFont="1" applyFill="1" applyBorder="1" applyAlignment="1" applyProtection="1">
      <alignment horizontal="center" vertical="center"/>
      <protection locked="0"/>
    </xf>
    <xf numFmtId="11" fontId="70" fillId="0" borderId="0" xfId="66" applyNumberFormat="1" applyFont="1" applyBorder="1">
      <alignment vertical="center"/>
    </xf>
    <xf numFmtId="0" fontId="70" fillId="0" borderId="0" xfId="66" applyFont="1" applyBorder="1" applyAlignment="1">
      <alignment horizontal="left" vertical="center"/>
    </xf>
    <xf numFmtId="2" fontId="70" fillId="0" borderId="0" xfId="66" applyNumberFormat="1" applyFont="1" applyBorder="1" applyAlignment="1">
      <alignment vertical="center"/>
    </xf>
    <xf numFmtId="0" fontId="21" fillId="0" borderId="0" xfId="67" applyFont="1" applyBorder="1" applyAlignment="1">
      <alignment vertical="center" wrapText="1"/>
    </xf>
    <xf numFmtId="0" fontId="70" fillId="0" borderId="0" xfId="33" applyFont="1" applyBorder="1"/>
    <xf numFmtId="0" fontId="71" fillId="0" borderId="0" xfId="66" applyFont="1" applyFill="1" applyBorder="1" applyAlignment="1"/>
    <xf numFmtId="0" fontId="6" fillId="0" borderId="0" xfId="66" applyFont="1" applyAlignment="1">
      <alignment horizontal="left" vertical="center" wrapText="1"/>
    </xf>
    <xf numFmtId="0" fontId="70" fillId="0" borderId="0" xfId="33" applyFont="1" applyBorder="1" applyAlignment="1">
      <alignment horizontal="center"/>
    </xf>
    <xf numFmtId="0" fontId="71" fillId="29" borderId="0" xfId="68" applyFont="1" applyFill="1" applyBorder="1" applyAlignment="1"/>
    <xf numFmtId="0" fontId="6" fillId="0" borderId="0" xfId="68" applyFont="1" applyAlignment="1">
      <alignment horizontal="left" vertical="center" wrapText="1"/>
    </xf>
    <xf numFmtId="0" fontId="70" fillId="0" borderId="0" xfId="66" applyFont="1" applyBorder="1" applyAlignment="1">
      <alignment horizontal="left" vertical="center" wrapText="1"/>
    </xf>
    <xf numFmtId="182" fontId="70" fillId="4" borderId="0" xfId="57" applyFont="1" applyFill="1" applyBorder="1" applyAlignment="1">
      <alignment horizontal="left" vertical="center" wrapText="1"/>
    </xf>
    <xf numFmtId="0" fontId="71" fillId="9" borderId="0" xfId="66" applyFont="1" applyFill="1" applyBorder="1" applyAlignment="1">
      <alignment vertical="center"/>
    </xf>
    <xf numFmtId="14" fontId="6" fillId="0" borderId="0" xfId="68" applyNumberFormat="1" applyFont="1" applyFill="1" applyAlignment="1">
      <alignment horizontal="left" vertical="center" wrapText="1"/>
    </xf>
    <xf numFmtId="181" fontId="6" fillId="0" borderId="0" xfId="68" applyNumberFormat="1" applyFont="1" applyFill="1" applyAlignment="1">
      <alignment horizontal="left" vertical="center" wrapText="1"/>
    </xf>
    <xf numFmtId="0" fontId="6" fillId="7" borderId="0" xfId="68" applyFont="1" applyFill="1" applyAlignment="1">
      <alignment horizontal="left" vertical="center" wrapText="1"/>
    </xf>
    <xf numFmtId="0" fontId="70" fillId="0" borderId="0" xfId="66" applyFont="1" applyFill="1" applyBorder="1" applyAlignment="1">
      <alignment horizontal="center" vertical="center"/>
    </xf>
    <xf numFmtId="0" fontId="6" fillId="0" borderId="16" xfId="68" applyFont="1" applyBorder="1" applyAlignment="1">
      <alignment horizontal="left" vertical="center" wrapText="1"/>
    </xf>
    <xf numFmtId="181" fontId="6" fillId="7" borderId="0" xfId="68" applyNumberFormat="1" applyFont="1" applyFill="1" applyAlignment="1">
      <alignment horizontal="left" vertical="center" wrapText="1"/>
    </xf>
    <xf numFmtId="0" fontId="71" fillId="9" borderId="0" xfId="66" applyFont="1" applyFill="1" applyBorder="1" applyAlignment="1">
      <alignment horizontal="left" vertical="center"/>
    </xf>
    <xf numFmtId="49" fontId="6" fillId="7" borderId="16" xfId="68" applyNumberFormat="1" applyFont="1" applyFill="1" applyBorder="1" applyAlignment="1">
      <alignment horizontal="left" vertical="center" wrapText="1"/>
    </xf>
    <xf numFmtId="181" fontId="6" fillId="0" borderId="0" xfId="68" applyNumberFormat="1" applyFont="1" applyAlignment="1">
      <alignment horizontal="left" vertical="center" wrapText="1"/>
    </xf>
    <xf numFmtId="0" fontId="6" fillId="0" borderId="13" xfId="68" applyFont="1" applyBorder="1" applyAlignment="1">
      <alignment horizontal="left" vertical="center" wrapText="1"/>
    </xf>
    <xf numFmtId="167" fontId="6" fillId="13" borderId="13" xfId="68" applyNumberFormat="1" applyFont="1" applyFill="1" applyBorder="1" applyAlignment="1">
      <alignment horizontal="left" vertical="center" wrapText="1"/>
    </xf>
    <xf numFmtId="0" fontId="70" fillId="3" borderId="0" xfId="66" applyFont="1" applyFill="1" applyBorder="1" applyAlignment="1">
      <alignment vertical="center"/>
    </xf>
    <xf numFmtId="0" fontId="70" fillId="3" borderId="0" xfId="66" applyFont="1" applyFill="1" applyBorder="1" applyAlignment="1">
      <alignment horizontal="center" vertical="center"/>
    </xf>
    <xf numFmtId="0" fontId="70" fillId="0" borderId="0" xfId="33" applyFont="1" applyBorder="1" applyAlignment="1">
      <alignment wrapText="1"/>
    </xf>
    <xf numFmtId="0" fontId="70" fillId="3" borderId="0" xfId="66" applyFont="1" applyFill="1" applyBorder="1" applyAlignment="1">
      <alignment vertical="center" wrapText="1"/>
    </xf>
    <xf numFmtId="0" fontId="70" fillId="3" borderId="0" xfId="66" applyFont="1" applyFill="1" applyBorder="1" applyAlignment="1">
      <alignment horizontal="center" vertical="center" wrapText="1"/>
    </xf>
    <xf numFmtId="0" fontId="73" fillId="0" borderId="0" xfId="33" applyFont="1" applyFill="1" applyBorder="1"/>
    <xf numFmtId="0" fontId="6" fillId="4" borderId="0" xfId="66" applyFill="1" applyAlignment="1">
      <alignment horizontal="center" vertical="center"/>
    </xf>
    <xf numFmtId="0" fontId="73" fillId="0" borderId="0" xfId="66" applyFont="1" applyFill="1" applyBorder="1">
      <alignment vertical="center"/>
    </xf>
    <xf numFmtId="0" fontId="73" fillId="0" borderId="0" xfId="66" applyFont="1" applyFill="1" applyBorder="1" applyAlignment="1">
      <alignment horizontal="center"/>
    </xf>
    <xf numFmtId="0" fontId="70" fillId="0" borderId="0" xfId="33" applyFont="1"/>
    <xf numFmtId="0" fontId="6" fillId="0" borderId="0" xfId="66">
      <alignment vertical="center"/>
    </xf>
    <xf numFmtId="0" fontId="70" fillId="0" borderId="0" xfId="33" applyFont="1" applyAlignment="1">
      <alignment horizontal="center"/>
    </xf>
    <xf numFmtId="0" fontId="71" fillId="0" borderId="0" xfId="33" applyFont="1" applyAlignment="1"/>
    <xf numFmtId="0" fontId="6" fillId="0" borderId="0" xfId="66" applyFont="1" applyAlignment="1">
      <alignment vertical="center"/>
    </xf>
    <xf numFmtId="0" fontId="70" fillId="0" borderId="0" xfId="66" applyFont="1" applyAlignment="1">
      <alignment vertical="center"/>
    </xf>
    <xf numFmtId="0" fontId="6" fillId="0" borderId="0" xfId="66" applyFont="1" applyBorder="1" applyAlignment="1">
      <alignment horizontal="left" vertical="center" wrapText="1"/>
    </xf>
    <xf numFmtId="0" fontId="70" fillId="0" borderId="0" xfId="69" applyFont="1">
      <alignment vertical="center"/>
    </xf>
    <xf numFmtId="0" fontId="70" fillId="0" borderId="0" xfId="69" applyFont="1" applyAlignment="1">
      <alignment horizontal="center" vertical="center"/>
    </xf>
    <xf numFmtId="0" fontId="71" fillId="9" borderId="0" xfId="69" applyFont="1" applyFill="1">
      <alignment vertical="center"/>
    </xf>
    <xf numFmtId="0" fontId="70" fillId="0" borderId="0" xfId="33" applyFont="1" applyAlignment="1">
      <alignment wrapText="1"/>
    </xf>
    <xf numFmtId="0" fontId="6" fillId="0" borderId="0" xfId="66" quotePrefix="1" applyFont="1" applyBorder="1" applyAlignment="1">
      <alignment horizontal="left" vertical="center" wrapText="1"/>
    </xf>
    <xf numFmtId="0" fontId="6" fillId="0" borderId="0" xfId="66" applyFont="1" applyFill="1" applyBorder="1" applyAlignment="1">
      <alignment horizontal="left" vertical="center" wrapText="1"/>
    </xf>
    <xf numFmtId="0" fontId="70" fillId="0" borderId="0" xfId="66" applyFont="1" applyFill="1" applyBorder="1" applyAlignment="1">
      <alignment horizontal="left" vertical="center" wrapText="1"/>
    </xf>
    <xf numFmtId="0" fontId="6" fillId="3" borderId="0" xfId="66" applyFont="1" applyFill="1" applyBorder="1" applyAlignment="1">
      <alignment horizontal="left" vertical="center" wrapText="1"/>
    </xf>
    <xf numFmtId="0" fontId="70" fillId="3" borderId="0" xfId="66" applyFont="1" applyFill="1" applyBorder="1" applyAlignment="1">
      <alignment horizontal="left" vertical="center" wrapText="1"/>
    </xf>
    <xf numFmtId="0" fontId="70" fillId="3" borderId="0" xfId="69" applyFont="1" applyFill="1">
      <alignment vertical="center"/>
    </xf>
    <xf numFmtId="0" fontId="6" fillId="7" borderId="0" xfId="66" applyFont="1" applyFill="1" applyBorder="1" applyAlignment="1">
      <alignment horizontal="left" vertical="center" wrapText="1"/>
    </xf>
    <xf numFmtId="0" fontId="70" fillId="7" borderId="0" xfId="66" applyFont="1" applyFill="1" applyBorder="1" applyAlignment="1">
      <alignment horizontal="left" vertical="center" wrapText="1"/>
    </xf>
    <xf numFmtId="0" fontId="73" fillId="9" borderId="0" xfId="33" applyFont="1" applyFill="1"/>
    <xf numFmtId="0" fontId="26" fillId="9" borderId="0" xfId="66" applyFont="1" applyFill="1" applyAlignment="1">
      <alignment vertical="center"/>
    </xf>
    <xf numFmtId="0" fontId="73" fillId="9" borderId="0" xfId="66" applyFont="1" applyFill="1" applyAlignment="1">
      <alignment vertical="center"/>
    </xf>
    <xf numFmtId="0" fontId="73" fillId="9" borderId="0" xfId="69" applyFont="1" applyFill="1">
      <alignment vertical="center"/>
    </xf>
    <xf numFmtId="0" fontId="73" fillId="9" borderId="0" xfId="69" applyFont="1" applyFill="1" applyAlignment="1">
      <alignment horizontal="center" vertical="center"/>
    </xf>
    <xf numFmtId="0" fontId="70" fillId="0" borderId="0" xfId="33" applyFont="1" applyAlignment="1">
      <alignment horizontal="left" wrapText="1"/>
    </xf>
    <xf numFmtId="0" fontId="70" fillId="0" borderId="0" xfId="33" applyFont="1" applyBorder="1" applyAlignment="1">
      <alignment horizontal="left" wrapText="1"/>
    </xf>
    <xf numFmtId="0" fontId="70" fillId="0" borderId="0" xfId="66" applyFont="1" applyBorder="1" applyAlignment="1">
      <alignment horizontal="left" wrapText="1"/>
    </xf>
    <xf numFmtId="0" fontId="70" fillId="0" borderId="0" xfId="69" applyFont="1" applyAlignment="1"/>
    <xf numFmtId="0" fontId="70" fillId="0" borderId="0" xfId="69" applyFont="1" applyAlignment="1">
      <alignment horizontal="center"/>
    </xf>
    <xf numFmtId="0" fontId="71" fillId="9" borderId="0" xfId="69" applyFont="1" applyFill="1" applyAlignment="1"/>
    <xf numFmtId="0" fontId="7" fillId="0" borderId="0" xfId="12" applyBorder="1" applyAlignment="1" applyProtection="1">
      <alignment horizontal="left" wrapText="1"/>
    </xf>
    <xf numFmtId="0" fontId="70" fillId="3" borderId="0" xfId="33" applyFont="1" applyFill="1" applyBorder="1" applyAlignment="1">
      <alignment horizontal="left" wrapText="1"/>
    </xf>
    <xf numFmtId="0" fontId="70" fillId="3" borderId="0" xfId="66" applyFont="1" applyFill="1" applyBorder="1" applyAlignment="1">
      <alignment horizontal="left" wrapText="1"/>
    </xf>
    <xf numFmtId="0" fontId="70" fillId="3" borderId="0" xfId="69" applyFont="1" applyFill="1" applyAlignment="1"/>
    <xf numFmtId="0" fontId="70" fillId="3" borderId="0" xfId="69" applyFont="1" applyFill="1" applyAlignment="1">
      <alignment horizontal="center"/>
    </xf>
    <xf numFmtId="0" fontId="70" fillId="0" borderId="0" xfId="33" applyFont="1" applyFill="1" applyBorder="1" applyAlignment="1">
      <alignment horizontal="left" wrapText="1"/>
    </xf>
    <xf numFmtId="0" fontId="70" fillId="0" borderId="0" xfId="66" applyFont="1" applyAlignment="1">
      <alignment horizontal="left" wrapText="1"/>
    </xf>
    <xf numFmtId="0" fontId="73" fillId="9" borderId="0" xfId="33" applyFont="1" applyFill="1" applyBorder="1" applyAlignment="1">
      <alignment horizontal="left" wrapText="1"/>
    </xf>
    <xf numFmtId="0" fontId="73" fillId="9" borderId="0" xfId="69" applyFont="1" applyFill="1" applyAlignment="1"/>
    <xf numFmtId="0" fontId="73" fillId="9" borderId="0" xfId="69" applyFont="1" applyFill="1" applyAlignment="1">
      <alignment horizontal="center"/>
    </xf>
    <xf numFmtId="0" fontId="6" fillId="0" borderId="0" xfId="70" applyFont="1" applyBorder="1">
      <alignment vertical="center"/>
    </xf>
    <xf numFmtId="0" fontId="6" fillId="0" borderId="0" xfId="70" applyFont="1" applyBorder="1" applyAlignment="1">
      <alignment vertical="center" wrapText="1"/>
    </xf>
    <xf numFmtId="0" fontId="23" fillId="0" borderId="0" xfId="70" applyFont="1" applyBorder="1" applyAlignment="1">
      <alignment horizontal="center" vertical="center"/>
    </xf>
    <xf numFmtId="0" fontId="23" fillId="0" borderId="0" xfId="70" applyFont="1" applyBorder="1">
      <alignment vertical="center"/>
    </xf>
    <xf numFmtId="0" fontId="6" fillId="0" borderId="0" xfId="70" applyFont="1" applyFill="1" applyBorder="1">
      <alignment vertical="center"/>
    </xf>
    <xf numFmtId="0" fontId="6" fillId="0" borderId="0" xfId="70" applyFont="1" applyFill="1" applyBorder="1" applyAlignment="1">
      <alignment horizontal="center" vertical="center" wrapText="1"/>
    </xf>
    <xf numFmtId="0" fontId="6" fillId="0" borderId="0" xfId="70" applyFont="1" applyFill="1" applyBorder="1" applyAlignment="1">
      <alignment horizontal="center" vertical="center"/>
    </xf>
    <xf numFmtId="0" fontId="23" fillId="0" borderId="0" xfId="70" applyFont="1" applyFill="1" applyBorder="1" applyAlignment="1">
      <alignment horizontal="left" vertical="center"/>
    </xf>
    <xf numFmtId="0" fontId="6" fillId="0" borderId="0" xfId="70" applyFont="1" applyFill="1" applyBorder="1" applyAlignment="1">
      <alignment vertical="center" wrapText="1"/>
    </xf>
    <xf numFmtId="184" fontId="9" fillId="0" borderId="0" xfId="71" applyNumberFormat="1" applyFont="1" applyFill="1" applyBorder="1" applyAlignment="1">
      <alignment horizontal="right" vertical="center"/>
    </xf>
    <xf numFmtId="184" fontId="9" fillId="0" borderId="0" xfId="71" applyNumberFormat="1" applyFont="1" applyFill="1" applyBorder="1" applyAlignment="1">
      <alignment horizontal="center" vertical="center"/>
    </xf>
    <xf numFmtId="184" fontId="9" fillId="0" borderId="0" xfId="71" applyNumberFormat="1" applyFont="1" applyFill="1" applyBorder="1" applyAlignment="1">
      <alignment horizontal="left" vertical="center" wrapText="1"/>
    </xf>
    <xf numFmtId="184" fontId="6" fillId="0" borderId="0" xfId="71" applyNumberFormat="1" applyFont="1" applyFill="1" applyBorder="1" applyAlignment="1">
      <alignment horizontal="center" vertical="center"/>
    </xf>
    <xf numFmtId="182" fontId="6" fillId="0" borderId="0" xfId="57" applyFont="1" applyFill="1" applyBorder="1" applyAlignment="1">
      <alignment horizontal="center" vertical="center"/>
    </xf>
    <xf numFmtId="0" fontId="6" fillId="0" borderId="0" xfId="57" quotePrefix="1" applyNumberFormat="1" applyFont="1" applyFill="1" applyBorder="1" applyAlignment="1">
      <alignment horizontal="center" vertical="center"/>
    </xf>
    <xf numFmtId="182" fontId="6" fillId="0" borderId="0" xfId="57" quotePrefix="1" applyFont="1" applyFill="1" applyBorder="1" applyAlignment="1">
      <alignment horizontal="left" vertical="center"/>
    </xf>
    <xf numFmtId="184" fontId="6" fillId="0" borderId="0" xfId="71" applyNumberFormat="1" applyFont="1" applyFill="1" applyBorder="1" applyAlignment="1">
      <alignment horizontal="right" vertical="center"/>
    </xf>
    <xf numFmtId="0" fontId="9" fillId="0" borderId="0" xfId="57" quotePrefix="1" applyNumberFormat="1" applyFont="1" applyFill="1" applyBorder="1" applyAlignment="1">
      <alignment horizontal="center" vertical="center"/>
    </xf>
    <xf numFmtId="182" fontId="9" fillId="0" borderId="0" xfId="57" quotePrefix="1" applyFont="1" applyFill="1" applyBorder="1" applyAlignment="1">
      <alignment horizontal="left" vertical="center"/>
    </xf>
    <xf numFmtId="182" fontId="9" fillId="0" borderId="0" xfId="57" applyFont="1" applyFill="1" applyBorder="1" applyAlignment="1">
      <alignment horizontal="center" vertical="center"/>
    </xf>
    <xf numFmtId="165" fontId="6" fillId="0" borderId="0" xfId="71" applyFont="1" applyFill="1" applyBorder="1" applyAlignment="1">
      <alignment horizontal="right" vertical="center"/>
    </xf>
    <xf numFmtId="165" fontId="6" fillId="0" borderId="0" xfId="71" applyFont="1" applyFill="1" applyBorder="1" applyAlignment="1">
      <alignment horizontal="center" vertical="center"/>
    </xf>
    <xf numFmtId="165" fontId="6" fillId="0" borderId="0" xfId="71" applyFont="1" applyFill="1" applyBorder="1" applyAlignment="1">
      <alignment horizontal="left" vertical="center" wrapText="1"/>
    </xf>
    <xf numFmtId="165" fontId="6" fillId="0" borderId="0" xfId="71" applyNumberFormat="1" applyFont="1" applyFill="1" applyBorder="1" applyAlignment="1">
      <alignment horizontal="center" vertical="center"/>
    </xf>
    <xf numFmtId="0" fontId="9" fillId="0" borderId="0" xfId="70" applyFont="1" applyFill="1" applyBorder="1" applyAlignment="1">
      <alignment horizontal="center" vertical="center" wrapText="1"/>
    </xf>
    <xf numFmtId="0" fontId="9" fillId="0" borderId="0" xfId="70" applyFont="1" applyFill="1" applyBorder="1" applyAlignment="1">
      <alignment horizontal="center" vertical="center"/>
    </xf>
    <xf numFmtId="0" fontId="26" fillId="0" borderId="0" xfId="70" applyFont="1" applyFill="1" applyBorder="1" applyAlignment="1">
      <alignment horizontal="left" vertical="center"/>
    </xf>
    <xf numFmtId="0" fontId="9" fillId="0" borderId="0" xfId="70" applyFont="1" applyFill="1" applyBorder="1" applyAlignment="1">
      <alignment vertical="center" wrapText="1"/>
    </xf>
    <xf numFmtId="167" fontId="6" fillId="0" borderId="0" xfId="71" applyNumberFormat="1" applyFont="1" applyFill="1" applyBorder="1" applyAlignment="1">
      <alignment horizontal="right" vertical="center"/>
    </xf>
    <xf numFmtId="168" fontId="6" fillId="0" borderId="0" xfId="71" applyNumberFormat="1" applyFont="1" applyFill="1" applyBorder="1" applyAlignment="1">
      <alignment horizontal="right" vertical="center" wrapText="1"/>
    </xf>
    <xf numFmtId="168" fontId="6" fillId="0" borderId="0" xfId="71" applyNumberFormat="1" applyFont="1" applyFill="1" applyBorder="1" applyAlignment="1">
      <alignment horizontal="left" vertical="center" wrapText="1"/>
    </xf>
    <xf numFmtId="167" fontId="6" fillId="0" borderId="0" xfId="71" applyNumberFormat="1" applyFont="1" applyFill="1" applyBorder="1" applyAlignment="1">
      <alignment horizontal="center" vertical="center"/>
    </xf>
    <xf numFmtId="167" fontId="9" fillId="0" borderId="0" xfId="71" applyNumberFormat="1" applyFont="1" applyFill="1" applyBorder="1" applyAlignment="1">
      <alignment horizontal="right" vertical="center"/>
    </xf>
    <xf numFmtId="167" fontId="9" fillId="0" borderId="0" xfId="71" applyNumberFormat="1" applyFont="1" applyFill="1" applyBorder="1" applyAlignment="1">
      <alignment vertical="center"/>
    </xf>
    <xf numFmtId="1" fontId="6" fillId="0" borderId="0" xfId="57" applyNumberFormat="1" applyFont="1" applyFill="1" applyBorder="1" applyAlignment="1">
      <alignment horizontal="center" vertical="center"/>
    </xf>
    <xf numFmtId="168" fontId="6" fillId="0" borderId="0" xfId="71" applyNumberFormat="1" applyFont="1" applyFill="1" applyBorder="1" applyAlignment="1">
      <alignment horizontal="right" vertical="center"/>
    </xf>
    <xf numFmtId="168" fontId="6" fillId="0" borderId="0" xfId="71" applyNumberFormat="1" applyFont="1" applyFill="1" applyBorder="1" applyAlignment="1">
      <alignment horizontal="center" vertical="center"/>
    </xf>
    <xf numFmtId="167" fontId="6" fillId="0" borderId="0" xfId="71" applyNumberFormat="1" applyFont="1" applyFill="1" applyBorder="1" applyAlignment="1">
      <alignment horizontal="right" vertical="center" wrapText="1"/>
    </xf>
    <xf numFmtId="184" fontId="6" fillId="0" borderId="0" xfId="71" applyNumberFormat="1" applyFont="1" applyFill="1" applyBorder="1" applyAlignment="1">
      <alignment horizontal="left" vertical="center" wrapText="1"/>
    </xf>
    <xf numFmtId="0" fontId="6" fillId="0" borderId="0" xfId="70" applyFont="1" applyBorder="1" applyAlignment="1">
      <alignment horizontal="left" vertical="center" wrapText="1"/>
    </xf>
    <xf numFmtId="2" fontId="6" fillId="0" borderId="0" xfId="70" applyNumberFormat="1" applyFont="1" applyFill="1" applyBorder="1" applyAlignment="1">
      <alignment horizontal="center" vertical="center"/>
    </xf>
    <xf numFmtId="0" fontId="6" fillId="0" borderId="0" xfId="70" applyFont="1" applyBorder="1" applyAlignment="1">
      <alignment horizontal="center" vertical="center"/>
    </xf>
    <xf numFmtId="169" fontId="6" fillId="6" borderId="0" xfId="70" applyNumberFormat="1" applyFont="1" applyFill="1" applyBorder="1" applyAlignment="1">
      <alignment horizontal="center" vertical="center"/>
    </xf>
    <xf numFmtId="182" fontId="6" fillId="6" borderId="0" xfId="57" applyFont="1" applyFill="1" applyBorder="1" applyAlignment="1">
      <alignment horizontal="center" vertical="center"/>
    </xf>
    <xf numFmtId="0" fontId="6" fillId="6" borderId="0" xfId="57" quotePrefix="1" applyNumberFormat="1" applyFont="1" applyFill="1" applyBorder="1" applyAlignment="1">
      <alignment horizontal="center" vertical="center"/>
    </xf>
    <xf numFmtId="182" fontId="6" fillId="6" borderId="0" xfId="57" applyFont="1" applyFill="1" applyBorder="1" applyAlignment="1">
      <alignment horizontal="left" vertical="center"/>
    </xf>
    <xf numFmtId="0" fontId="6" fillId="6" borderId="0" xfId="70" applyFont="1" applyFill="1" applyBorder="1" applyAlignment="1">
      <alignment horizontal="center" vertical="center"/>
    </xf>
    <xf numFmtId="0" fontId="6" fillId="6" borderId="0" xfId="70" applyFont="1" applyFill="1" applyBorder="1" applyAlignment="1">
      <alignment horizontal="center" vertical="center" wrapText="1"/>
    </xf>
    <xf numFmtId="0" fontId="23" fillId="9" borderId="0" xfId="70" applyFont="1" applyFill="1" applyBorder="1" applyAlignment="1">
      <alignment horizontal="left" vertical="center"/>
    </xf>
    <xf numFmtId="0" fontId="6" fillId="9" borderId="0" xfId="70" applyFont="1" applyFill="1" applyBorder="1" applyAlignment="1">
      <alignment vertical="center" wrapText="1"/>
    </xf>
    <xf numFmtId="0" fontId="6" fillId="9" borderId="0" xfId="70" applyFont="1" applyFill="1" applyBorder="1" applyAlignment="1">
      <alignment horizontal="center" vertical="center"/>
    </xf>
    <xf numFmtId="0" fontId="6" fillId="0" borderId="0" xfId="57" applyNumberFormat="1" applyFont="1" applyFill="1" applyBorder="1" applyAlignment="1">
      <alignment horizontal="left" vertical="center" wrapText="1"/>
    </xf>
    <xf numFmtId="2" fontId="6" fillId="0" borderId="0" xfId="57" applyNumberFormat="1" applyFont="1" applyFill="1" applyBorder="1" applyAlignment="1">
      <alignment horizontal="center" vertical="center"/>
    </xf>
    <xf numFmtId="0" fontId="6" fillId="0" borderId="0" xfId="57" applyNumberFormat="1" applyFont="1" applyFill="1" applyBorder="1" applyAlignment="1">
      <alignment horizontal="center" vertical="center"/>
    </xf>
    <xf numFmtId="182" fontId="6" fillId="4" borderId="0" xfId="72" applyFont="1" applyBorder="1">
      <alignment horizontal="center" vertical="center"/>
    </xf>
    <xf numFmtId="0" fontId="6" fillId="0" borderId="0" xfId="57" applyNumberFormat="1" applyFont="1" applyFill="1" applyBorder="1" applyAlignment="1">
      <alignment horizontal="left" vertical="center"/>
    </xf>
    <xf numFmtId="182" fontId="6" fillId="4" borderId="0" xfId="57" applyFont="1" applyFill="1" applyBorder="1" applyAlignment="1">
      <alignment horizontal="center" vertical="center"/>
    </xf>
    <xf numFmtId="0" fontId="6" fillId="4" borderId="0" xfId="57" quotePrefix="1" applyNumberFormat="1" applyFont="1" applyFill="1" applyBorder="1" applyAlignment="1">
      <alignment horizontal="center" vertical="center"/>
    </xf>
    <xf numFmtId="182" fontId="6" fillId="4" borderId="0" xfId="57" quotePrefix="1" applyFont="1" applyFill="1" applyBorder="1" applyAlignment="1">
      <alignment horizontal="left" vertical="center"/>
    </xf>
    <xf numFmtId="0" fontId="6" fillId="4" borderId="0" xfId="70" applyFont="1" applyFill="1" applyBorder="1" applyAlignment="1">
      <alignment horizontal="center" vertical="center" wrapText="1"/>
    </xf>
    <xf numFmtId="0" fontId="6" fillId="4" borderId="0" xfId="70" applyFont="1" applyFill="1" applyBorder="1" applyAlignment="1">
      <alignment horizontal="center" vertical="center"/>
    </xf>
    <xf numFmtId="0" fontId="6" fillId="11" borderId="0" xfId="70" applyFont="1" applyFill="1" applyBorder="1" applyAlignment="1">
      <alignment horizontal="center" vertical="center"/>
    </xf>
    <xf numFmtId="182" fontId="5" fillId="4" borderId="0" xfId="57" quotePrefix="1" applyFont="1" applyFill="1" applyBorder="1" applyAlignment="1">
      <alignment horizontal="left" vertical="center"/>
    </xf>
    <xf numFmtId="0" fontId="6" fillId="8" borderId="0" xfId="70" applyFont="1" applyFill="1" applyBorder="1" applyAlignment="1">
      <alignment horizontal="center" vertical="center"/>
    </xf>
    <xf numFmtId="0" fontId="6" fillId="7" borderId="0" xfId="70" applyFont="1" applyFill="1" applyBorder="1" applyAlignment="1">
      <alignment horizontal="center" vertical="center"/>
    </xf>
    <xf numFmtId="182" fontId="6" fillId="4" borderId="0" xfId="72" applyNumberFormat="1" applyFont="1" applyBorder="1">
      <alignment horizontal="center" vertical="center"/>
    </xf>
    <xf numFmtId="0" fontId="6" fillId="9" borderId="0" xfId="70" applyFont="1" applyFill="1" applyBorder="1">
      <alignment vertical="center"/>
    </xf>
    <xf numFmtId="0" fontId="10" fillId="11" borderId="0" xfId="70" applyFont="1" applyFill="1" applyBorder="1" applyAlignment="1">
      <alignment horizontal="center" vertical="center"/>
    </xf>
    <xf numFmtId="181" fontId="21" fillId="3" borderId="0" xfId="62" applyFont="1" applyFill="1" applyBorder="1" applyAlignment="1">
      <alignment horizontal="left" vertical="center" wrapText="1"/>
    </xf>
    <xf numFmtId="181" fontId="21" fillId="3" borderId="0" xfId="62" applyFont="1" applyFill="1" applyBorder="1" applyAlignment="1">
      <alignment horizontal="center" vertical="center" wrapText="1"/>
    </xf>
    <xf numFmtId="0" fontId="6" fillId="3" borderId="0" xfId="73" applyFont="1" applyBorder="1">
      <alignment horizontal="center" vertical="center" wrapText="1"/>
    </xf>
    <xf numFmtId="9" fontId="6" fillId="0" borderId="0" xfId="70" applyNumberFormat="1" applyFont="1" applyFill="1" applyBorder="1" applyAlignment="1">
      <alignment horizontal="center" vertical="center" wrapText="1"/>
    </xf>
    <xf numFmtId="0" fontId="6" fillId="0" borderId="0" xfId="70" applyFont="1" applyBorder="1" applyAlignment="1">
      <alignment horizontal="center" vertical="center" wrapText="1"/>
    </xf>
    <xf numFmtId="0" fontId="23" fillId="9" borderId="0" xfId="70" applyFont="1" applyFill="1" applyBorder="1" applyAlignment="1">
      <alignment horizontal="center" vertical="center"/>
    </xf>
    <xf numFmtId="0" fontId="23" fillId="9" borderId="0" xfId="70" applyFont="1" applyFill="1" applyBorder="1" applyAlignment="1">
      <alignment vertical="center" wrapText="1"/>
    </xf>
    <xf numFmtId="181" fontId="6" fillId="3" borderId="0" xfId="62" applyFont="1" applyFill="1" applyBorder="1" applyAlignment="1">
      <alignment horizontal="left" vertical="center" wrapText="1"/>
    </xf>
    <xf numFmtId="181" fontId="6" fillId="3" borderId="0" xfId="62" applyFont="1" applyFill="1" applyBorder="1" applyAlignment="1">
      <alignment horizontal="center" vertical="center" textRotation="90" wrapText="1"/>
    </xf>
    <xf numFmtId="0" fontId="6" fillId="0" borderId="0" xfId="70" applyFont="1" applyFill="1" applyBorder="1" applyAlignment="1">
      <alignment horizontal="center" vertical="center" textRotation="90" wrapText="1"/>
    </xf>
    <xf numFmtId="0" fontId="6" fillId="0" borderId="0" xfId="70" applyFont="1" applyBorder="1" applyAlignment="1">
      <alignment horizontal="center" vertical="center" textRotation="90" wrapText="1"/>
    </xf>
    <xf numFmtId="181" fontId="23" fillId="9" borderId="0" xfId="62" applyFont="1" applyFill="1" applyBorder="1" applyAlignment="1">
      <alignment horizontal="left" vertical="center" wrapText="1"/>
    </xf>
    <xf numFmtId="181" fontId="23" fillId="9" borderId="0" xfId="62" applyFont="1" applyFill="1" applyBorder="1" applyAlignment="1">
      <alignment horizontal="center" vertical="center" wrapText="1"/>
    </xf>
    <xf numFmtId="0" fontId="23" fillId="9" borderId="0" xfId="70" applyFont="1" applyFill="1" applyBorder="1" applyAlignment="1">
      <alignment horizontal="center" vertical="center" wrapText="1"/>
    </xf>
    <xf numFmtId="0" fontId="6" fillId="9" borderId="0" xfId="70" applyFont="1" applyFill="1" applyBorder="1" applyAlignment="1">
      <alignment horizontal="right" vertical="center" wrapText="1"/>
    </xf>
    <xf numFmtId="0" fontId="23" fillId="9" borderId="0" xfId="70" applyFont="1" applyFill="1" applyBorder="1">
      <alignment vertical="center"/>
    </xf>
    <xf numFmtId="0" fontId="6" fillId="30" borderId="0" xfId="66" applyFill="1">
      <alignment vertical="center"/>
    </xf>
    <xf numFmtId="0" fontId="74" fillId="30" borderId="0" xfId="66" applyFont="1" applyFill="1">
      <alignment vertical="center"/>
    </xf>
    <xf numFmtId="0" fontId="74" fillId="0" borderId="17" xfId="74" applyFont="1" applyFill="1" applyBorder="1" applyAlignment="1">
      <alignment horizontal="center" vertical="top" wrapText="1"/>
    </xf>
    <xf numFmtId="0" fontId="74" fillId="0" borderId="18" xfId="74" applyFont="1" applyFill="1" applyBorder="1" applyAlignment="1">
      <alignment horizontal="center" vertical="top" wrapText="1"/>
    </xf>
    <xf numFmtId="0" fontId="74" fillId="0" borderId="0" xfId="66" applyFont="1" applyFill="1">
      <alignment vertical="center"/>
    </xf>
    <xf numFmtId="0" fontId="70" fillId="0" borderId="19" xfId="74" applyFont="1" applyFill="1" applyBorder="1" applyAlignment="1">
      <alignment vertical="top" wrapText="1"/>
    </xf>
    <xf numFmtId="0" fontId="70" fillId="0" borderId="18" xfId="74" applyFont="1" applyFill="1" applyBorder="1" applyAlignment="1">
      <alignment horizontal="center" vertical="top" wrapText="1"/>
    </xf>
    <xf numFmtId="0" fontId="6" fillId="0" borderId="0" xfId="66" applyFill="1">
      <alignment vertical="center"/>
    </xf>
    <xf numFmtId="0" fontId="74" fillId="31" borderId="20" xfId="74" applyFont="1" applyFill="1" applyBorder="1" applyAlignment="1">
      <alignment vertical="top" wrapText="1"/>
    </xf>
    <xf numFmtId="4" fontId="74" fillId="31" borderId="21" xfId="66" applyNumberFormat="1" applyFont="1" applyFill="1" applyBorder="1">
      <alignment vertical="center"/>
    </xf>
    <xf numFmtId="0" fontId="74" fillId="0" borderId="22" xfId="74" applyFont="1" applyFill="1" applyBorder="1" applyAlignment="1">
      <alignment vertical="top" wrapText="1"/>
    </xf>
    <xf numFmtId="4" fontId="74" fillId="0" borderId="23" xfId="66" applyNumberFormat="1" applyFont="1" applyFill="1" applyBorder="1">
      <alignment vertical="center"/>
    </xf>
    <xf numFmtId="0" fontId="74" fillId="0" borderId="2" xfId="74" applyFont="1" applyFill="1" applyBorder="1" applyAlignment="1">
      <alignment vertical="top" wrapText="1"/>
    </xf>
    <xf numFmtId="4" fontId="74" fillId="0" borderId="24" xfId="66" applyNumberFormat="1" applyFont="1" applyFill="1" applyBorder="1">
      <alignment vertical="center"/>
    </xf>
    <xf numFmtId="0" fontId="75" fillId="0" borderId="2" xfId="74" applyFont="1" applyFill="1" applyBorder="1" applyAlignment="1">
      <alignment vertical="top" wrapText="1"/>
    </xf>
    <xf numFmtId="4" fontId="75" fillId="0" borderId="24" xfId="66" applyNumberFormat="1" applyFont="1" applyFill="1" applyBorder="1">
      <alignment vertical="center"/>
    </xf>
    <xf numFmtId="0" fontId="74" fillId="0" borderId="25" xfId="74" applyFont="1" applyFill="1" applyBorder="1" applyAlignment="1">
      <alignment vertical="top" wrapText="1"/>
    </xf>
    <xf numFmtId="4" fontId="74" fillId="0" borderId="26" xfId="66" applyNumberFormat="1" applyFont="1" applyFill="1" applyBorder="1">
      <alignment vertical="center"/>
    </xf>
    <xf numFmtId="4" fontId="74" fillId="0" borderId="1" xfId="66" applyNumberFormat="1" applyFont="1" applyFill="1" applyBorder="1">
      <alignment vertical="center"/>
    </xf>
    <xf numFmtId="0" fontId="6" fillId="30" borderId="0" xfId="66" applyFill="1" applyBorder="1">
      <alignment vertical="center"/>
    </xf>
    <xf numFmtId="0" fontId="70" fillId="32" borderId="0" xfId="74" applyFont="1" applyFill="1" applyBorder="1" applyAlignment="1">
      <alignment vertical="top"/>
    </xf>
    <xf numFmtId="0" fontId="6" fillId="30" borderId="0" xfId="74" applyFont="1" applyFill="1" applyBorder="1" applyAlignment="1">
      <alignment vertical="top"/>
    </xf>
    <xf numFmtId="0" fontId="70" fillId="30" borderId="0" xfId="74" applyFont="1" applyFill="1" applyBorder="1" applyAlignment="1">
      <alignment vertical="top"/>
    </xf>
    <xf numFmtId="0" fontId="70" fillId="30" borderId="0" xfId="74" applyFont="1" applyFill="1" applyBorder="1"/>
    <xf numFmtId="0" fontId="21" fillId="0" borderId="0" xfId="67" applyFont="1" applyBorder="1" applyAlignment="1">
      <alignment horizontal="center" vertical="center" wrapText="1"/>
    </xf>
  </cellXfs>
  <cellStyles count="78">
    <cellStyle name="2x indented GHG Textfiels" xfId="1"/>
    <cellStyle name="5x indented GHG Textfiels" xfId="2"/>
    <cellStyle name="Boden" xfId="3"/>
    <cellStyle name="Body text" xfId="75"/>
    <cellStyle name="Bold GHG Numbers (0.00)" xfId="4"/>
    <cellStyle name="Comma" xfId="16" builtinId="3"/>
    <cellStyle name="Comma [0]" xfId="6" builtinId="6"/>
    <cellStyle name="comment" xfId="5"/>
    <cellStyle name="dt" xfId="7"/>
    <cellStyle name="EcoTitel" xfId="8"/>
    <cellStyle name="EcoTitel 2" xfId="73"/>
    <cellStyle name="EcoZahl" xfId="9"/>
    <cellStyle name="EcoZahl 2" xfId="72"/>
    <cellStyle name="Euro" xfId="10"/>
    <cellStyle name="header" xfId="76"/>
    <cellStyle name="Header Total" xfId="77"/>
    <cellStyle name="Headline" xfId="11"/>
    <cellStyle name="Hyperlink" xfId="12" builtinId="8"/>
    <cellStyle name="Hyperlink 2" xfId="53"/>
    <cellStyle name="Hyperlink_EcoSpoldExample_Rohöl_v0.7" xfId="13"/>
    <cellStyle name="Hyperlink_SelectedResults-all" xfId="14"/>
    <cellStyle name="Hyperlink_SelectedResults-all 2" xfId="65"/>
    <cellStyle name="kg" xfId="15"/>
    <cellStyle name="Komma 2" xfId="60"/>
    <cellStyle name="Komma 2 2" xfId="71"/>
    <cellStyle name="l" xfId="17"/>
    <cellStyle name="Luft" xfId="18"/>
    <cellStyle name="m2" xfId="19"/>
    <cellStyle name="m2a" xfId="20"/>
    <cellStyle name="m3" xfId="21"/>
    <cellStyle name="Niels" xfId="22"/>
    <cellStyle name="NielsProz" xfId="23"/>
    <cellStyle name="NielsProzent" xfId="24"/>
    <cellStyle name="Normal" xfId="0" builtinId="0"/>
    <cellStyle name="Normal 2" xfId="63"/>
    <cellStyle name="Normal 3" xfId="67"/>
    <cellStyle name="Normal GHG Numbers (0.00)" xfId="25"/>
    <cellStyle name="Normal GHG Textfiels Bold" xfId="26"/>
    <cellStyle name="Normal GHG whole table" xfId="27"/>
    <cellStyle name="NormalTabelle" xfId="28"/>
    <cellStyle name="Percent" xfId="29" builtinId="5"/>
    <cellStyle name="Prozent 2" xfId="54"/>
    <cellStyle name="prozent+" xfId="30"/>
    <cellStyle name="Prüfung" xfId="31"/>
    <cellStyle name="Scientific" xfId="32"/>
    <cellStyle name="Standard 2" xfId="52"/>
    <cellStyle name="Standard 2 2" xfId="66"/>
    <cellStyle name="Standard 2 3" xfId="70"/>
    <cellStyle name="Standard 3" xfId="55"/>
    <cellStyle name="Standard 4" xfId="58"/>
    <cellStyle name="Standard 5" xfId="59"/>
    <cellStyle name="Standard 6" xfId="61"/>
    <cellStyle name="Standard_Bsp-Datenaustausch_S&amp;U" xfId="33"/>
    <cellStyle name="Standard_ecoinvent2000-names-3.9" xfId="34"/>
    <cellStyle name="Standard_EI99-XML-v0.33" xfId="35"/>
    <cellStyle name="Standard_EI99-XML-v0.33 2" xfId="64"/>
    <cellStyle name="Standard_neueingabe-EcoSpold" xfId="36"/>
    <cellStyle name="Standard_neueingabe-magnesium-1.10" xfId="37"/>
    <cellStyle name="Standard_neueingabe-magnesium-1.10 2" xfId="69"/>
    <cellStyle name="Standard_neueingabe-silicium-0.1" xfId="38"/>
    <cellStyle name="Standard_neueingabe-silicon-0.8" xfId="39"/>
    <cellStyle name="Standard_neueingabe-transport-0.5" xfId="40"/>
    <cellStyle name="Standard_neueingabe-transport-0.5 2" xfId="68"/>
    <cellStyle name="Standard_photovoltaics-2.2_0.1" xfId="41"/>
    <cellStyle name="Standard_Strommix_Land_XYZ" xfId="74"/>
    <cellStyle name="text" xfId="42"/>
    <cellStyle name="text 2" xfId="56"/>
    <cellStyle name="text 3" xfId="62"/>
    <cellStyle name="text_EcoSpold_Testdaten_RF_0.4" xfId="43"/>
    <cellStyle name="Text-Manual" xfId="44"/>
    <cellStyle name="unit" xfId="45"/>
    <cellStyle name="Wasser" xfId="46"/>
    <cellStyle name="wis" xfId="47"/>
    <cellStyle name="wissenschaft" xfId="48"/>
    <cellStyle name="wissenschaft+" xfId="49"/>
    <cellStyle name="wissenschaft-Eingabe" xfId="50"/>
    <cellStyle name="wissenschaft-Eingabe 2" xfId="57"/>
    <cellStyle name="zkh" xfId="51"/>
  </cellStyles>
  <dxfs count="190">
    <dxf>
      <fill>
        <patternFill patternType="lightUp">
          <fgColor rgb="FFFF0000"/>
        </patternFill>
      </fill>
    </dxf>
    <dxf>
      <fill>
        <patternFill patternType="lightUp">
          <fgColor rgb="FFFF0000"/>
        </patternFill>
      </fill>
    </dxf>
    <dxf>
      <fill>
        <patternFill patternType="lightUp">
          <fgColor rgb="FFFF0000"/>
        </patternFill>
      </fill>
    </dxf>
    <dxf>
      <fill>
        <patternFill patternType="lightUp">
          <fgColor rgb="FFFF0000"/>
        </patternFill>
      </fill>
    </dxf>
    <dxf>
      <fill>
        <patternFill patternType="lightUp">
          <fgColor rgb="FFFF0000"/>
        </patternFill>
      </fill>
    </dxf>
    <dxf>
      <fill>
        <patternFill patternType="lightUp">
          <fgColor rgb="FFFF0000"/>
        </patternFill>
      </fill>
    </dxf>
    <dxf>
      <fill>
        <patternFill patternType="lightUp">
          <fgColor rgb="FFFF0000"/>
        </patternFill>
      </fill>
    </dxf>
    <dxf>
      <fill>
        <patternFill patternType="lightUp">
          <fgColor rgb="FFFF0000"/>
        </patternFill>
      </fill>
    </dxf>
    <dxf>
      <fill>
        <patternFill patternType="lightUp">
          <fgColor rgb="FFFF0000"/>
        </patternFill>
      </fill>
    </dxf>
    <dxf>
      <fill>
        <patternFill patternType="lightUp">
          <fgColor rgb="FFFF0000"/>
        </patternFill>
      </fill>
    </dxf>
    <dxf>
      <border>
        <left/>
        <right/>
        <top style="thin">
          <color indexed="64"/>
        </top>
        <bottom/>
      </border>
    </dxf>
    <dxf>
      <border>
        <left/>
        <right/>
        <top style="thin">
          <color indexed="64"/>
        </top>
        <bottom/>
      </border>
    </dxf>
    <dxf>
      <fill>
        <patternFill patternType="none">
          <bgColor indexed="6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none">
          <bgColor indexed="65"/>
        </patternFill>
      </fill>
    </dxf>
    <dxf>
      <fill>
        <patternFill patternType="none">
          <bgColor indexed="65"/>
        </patternFill>
      </fill>
    </dxf>
    <dxf>
      <border>
        <left/>
        <right/>
        <top style="thin">
          <color indexed="64"/>
        </top>
        <bottom/>
      </border>
    </dxf>
    <dxf>
      <fill>
        <patternFill patternType="none">
          <bgColor indexed="65"/>
        </patternFill>
      </fill>
    </dxf>
    <dxf>
      <border>
        <left/>
        <right/>
        <top style="thin">
          <color indexed="64"/>
        </top>
        <bottom/>
      </border>
    </dxf>
    <dxf>
      <border>
        <left/>
        <right/>
        <top style="thin">
          <color indexed="64"/>
        </top>
        <bottom/>
      </border>
    </dxf>
    <dxf>
      <fill>
        <patternFill patternType="none">
          <bgColor indexed="65"/>
        </patternFill>
      </fill>
    </dxf>
    <dxf>
      <border>
        <left/>
        <right/>
        <top style="thin">
          <color indexed="64"/>
        </top>
        <bottom/>
      </border>
    </dxf>
    <dxf>
      <fill>
        <patternFill patternType="none">
          <bgColor indexed="65"/>
        </patternFill>
      </fill>
    </dxf>
    <dxf>
      <border>
        <left/>
        <right/>
        <top style="thin">
          <color indexed="64"/>
        </top>
        <bottom/>
      </border>
    </dxf>
    <dxf>
      <fill>
        <patternFill patternType="none">
          <bgColor indexed="65"/>
        </patternFill>
      </fill>
    </dxf>
    <dxf>
      <border>
        <left/>
        <right/>
        <top style="thin">
          <color indexed="64"/>
        </top>
        <bottom/>
      </border>
    </dxf>
    <dxf>
      <border>
        <left/>
        <right/>
        <top style="thin">
          <color indexed="64"/>
        </top>
        <bottom/>
      </border>
    </dxf>
    <dxf>
      <border>
        <left/>
        <right/>
        <top style="thin">
          <color indexed="64"/>
        </top>
        <bottom/>
      </border>
    </dxf>
    <dxf>
      <fill>
        <patternFill patternType="none">
          <bgColor indexed="65"/>
        </patternFill>
      </fill>
    </dxf>
    <dxf>
      <border>
        <left/>
        <right/>
        <top style="thin">
          <color indexed="64"/>
        </top>
        <bottom/>
      </border>
    </dxf>
    <dxf>
      <border>
        <left/>
        <right/>
        <top style="thin">
          <color indexed="64"/>
        </top>
        <bottom/>
      </border>
    </dxf>
    <dxf>
      <border>
        <left/>
        <right/>
        <top style="thin">
          <color indexed="64"/>
        </top>
        <bottom/>
      </border>
    </dxf>
    <dxf>
      <border>
        <left/>
        <right/>
        <top style="thin">
          <color indexed="64"/>
        </top>
        <bottom/>
      </border>
    </dxf>
    <dxf>
      <fill>
        <patternFill patternType="none">
          <bgColor indexed="65"/>
        </patternFill>
      </fill>
    </dxf>
    <dxf>
      <border>
        <left/>
        <right/>
        <top style="thin">
          <color indexed="64"/>
        </top>
        <bottom/>
      </border>
    </dxf>
    <dxf>
      <fill>
        <patternFill patternType="none">
          <bgColor indexed="6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border>
        <left/>
        <right/>
        <top style="thin">
          <color indexed="64"/>
        </top>
        <bottom/>
      </border>
    </dxf>
    <dxf>
      <border>
        <left/>
        <right/>
        <top style="thin">
          <color indexed="64"/>
        </top>
        <bottom/>
      </border>
    </dxf>
    <dxf>
      <border>
        <left/>
        <right/>
        <top style="thin">
          <color indexed="64"/>
        </top>
        <bottom/>
      </border>
    </dxf>
    <dxf>
      <border>
        <left/>
        <right/>
        <top style="thin">
          <color indexed="64"/>
        </top>
        <bottom/>
      </border>
    </dxf>
    <dxf>
      <border>
        <left/>
        <right/>
        <top style="thin">
          <color indexed="64"/>
        </top>
        <bottom/>
      </border>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border>
        <left/>
        <right/>
        <top style="thin">
          <color indexed="64"/>
        </top>
        <bottom/>
      </border>
    </dxf>
    <dxf>
      <fill>
        <patternFill>
          <bgColor indexed="10"/>
        </patternFill>
      </fill>
    </dxf>
    <dxf>
      <fill>
        <patternFill>
          <bgColor indexed="10"/>
        </patternFill>
      </fill>
    </dxf>
    <dxf>
      <border>
        <left/>
        <right/>
        <top style="thin">
          <color indexed="64"/>
        </top>
        <bottom/>
      </border>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externalLink" Target="externalLinks/externalLink8.xml"/><Relationship Id="rId84"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6.xml"/><Relationship Id="rId79" Type="http://schemas.openxmlformats.org/officeDocument/2006/relationships/externalLink" Target="externalLinks/externalLink1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externalLink" Target="externalLinks/externalLink14.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externalLink" Target="externalLinks/externalLink1.xml"/><Relationship Id="rId77" Type="http://schemas.openxmlformats.org/officeDocument/2006/relationships/externalLink" Target="externalLinks/externalLink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4.xml"/><Relationship Id="rId80" Type="http://schemas.openxmlformats.org/officeDocument/2006/relationships/externalLink" Target="externalLinks/externalLink12.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2.xml"/><Relationship Id="rId75" Type="http://schemas.openxmlformats.org/officeDocument/2006/relationships/externalLink" Target="externalLinks/externalLink7.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5.xml"/><Relationship Id="rId78" Type="http://schemas.openxmlformats.org/officeDocument/2006/relationships/externalLink" Target="externalLinks/externalLink10.xml"/><Relationship Id="rId81" Type="http://schemas.openxmlformats.org/officeDocument/2006/relationships/externalLink" Target="externalLinks/externalLink13.xml"/><Relationship Id="rId86"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1676400</xdr:colOff>
      <xdr:row>3</xdr:row>
      <xdr:rowOff>152400</xdr:rowOff>
    </xdr:to>
    <xdr:pic>
      <xdr:nvPicPr>
        <xdr:cNvPr id="46083" name="Picture 1" descr="EI2K logo smal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76400"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kte%20laufend/174%20Photovoltaic,%20IEA%20Task%2012/2013%20Global%20supply%20chain/EcoSpold/Global%20PV%20Supply%20Chain/174-photovoltaics-global-supply-chain-v1.7.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rojektablage/401%20Update%20Strommix%20v3.0/EcoSpold/_Asien/401-electricity-mix-taiwan-TW-v1.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rojektablage/401%20Update%20Strommix%20v3.0/EcoSpold/_Amerika/401-electricity-mix-united-states-US-v1.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Projektablage/401%20Update%20Strommix%20v3.0/EcoSpold/_Asien/401-electricity-mix-japan-JP-v1.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Bpsbalzers01\Gruppen\Ex\Produktionsanlagen\HAI%20400\specifications\throughput\HAI_throughpu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ecoinvent-v2.0-nam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70_Sales/40_Customer_Information/Nanowin,%20TW/NEWTON%20-%20Project%20Binder/Project%20Binder%20B%20-%20Internal%20Information/100%20-%20Overall%20Project%20Cost%20Calculation/01%20EV07-693%20KAI%201200%20Project%20Cost%20Calculat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jektablage/401%20Update%20Strommix%20v3.0/EcoSpold/_Asien/401-electricity-mix-china-CN-v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rojektablage/401%20Update%20Strommix%20v3.0/EcoSpold/_Europa/401-electricity-mix-germany-DE-v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rojektablage/401%20Update%20Strommix%20v3.0/EcoSpold/_Europa/401-electricity-mix-spain-ES-v1.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rojektablage/401%20Update%20Strommix%20v3.0/EcoSpold/_Asien/401-electricity-mix-india-IN-v1.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rojektablage/401%20Update%20Strommix%20v3.0/EcoSpold/_Asien/401-electricity-mix-south-korea-KR-v1.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rojektablage/401%20Update%20Strommix%20v3.0/EcoSpold/_Amerika/401-electricity-mix-mexico-MX-v1.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rojektablage/401%20Update%20Strommix%20v3.0/EcoSpold/_Asien/401-electricity-mix-malaysia-MY-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Import-Overview-1"/>
      <sheetName val="Import-Overview-2"/>
      <sheetName val="X-fluor"/>
      <sheetName val="PVFcheck"/>
      <sheetName val="MG-Si"/>
      <sheetName val="X-MG-Si"/>
      <sheetName val="X-MO-EG"/>
      <sheetName val="X-SoG-Siemens"/>
      <sheetName val="X-SoG-FBR"/>
      <sheetName val="X-Si-Market"/>
      <sheetName val="X-CZ-Si"/>
      <sheetName val="X-mc-Si"/>
      <sheetName val="X-Wafer"/>
      <sheetName val="X-Wafer-Market"/>
      <sheetName val="X-Ex Plant-Waf"/>
      <sheetName val="Wacker-Wafer"/>
      <sheetName val="X-cell"/>
      <sheetName val="X-Panel"/>
      <sheetName val="X-Panel-Market-RER"/>
      <sheetName val="X-Panel-Market-US"/>
      <sheetName val="Si-Effizienz"/>
      <sheetName val="X-paste"/>
      <sheetName val="Bill-of-Materials"/>
      <sheetName val="X-um-Si"/>
      <sheetName val="X-CIS"/>
      <sheetName val="X-a-Si"/>
      <sheetName val="X-CdTe"/>
      <sheetName val="X-CdTe-RER"/>
      <sheetName val="Supply-Chain-IEA-PVPS"/>
      <sheetName val="ModuleMarket"/>
      <sheetName val="X-cell-plant"/>
      <sheetName val="wastewater"/>
      <sheetName val="X-pan-plant"/>
      <sheetName val="old CdTe"/>
      <sheetName val="XXX-CdTe DE"/>
      <sheetName val="Fence"/>
      <sheetName val="X-openground"/>
      <sheetName val="X-Montage_neu"/>
      <sheetName val="XXX-Montage"/>
      <sheetName val="X-Montage_MontSoleil"/>
      <sheetName val="Freiflaeche"/>
      <sheetName val="X-electric"/>
      <sheetName val="Effizienz"/>
      <sheetName val="Effizienz-G"/>
      <sheetName val="Module-Efficiency"/>
      <sheetName val="Leistung"/>
      <sheetName val="X-Process"/>
      <sheetName val="X-CdTe-Plant"/>
      <sheetName val="X-sc-plants-old"/>
      <sheetName val="X-sc-plants-RER"/>
      <sheetName val="X-sc-plants-US"/>
      <sheetName val="X-sc-plants-APAC"/>
      <sheetName val="X-sc-plants-CN"/>
      <sheetName val="X-multi-plants-old"/>
      <sheetName val="X-multi-plants-RER"/>
      <sheetName val="X-multi-plants-US"/>
      <sheetName val="X-multi-plants-APAC"/>
      <sheetName val="X-multi-plants-CN"/>
      <sheetName val="X-a-plants"/>
      <sheetName val="Ertrag"/>
      <sheetName val="Mix_2"/>
      <sheetName val="Mix"/>
      <sheetName val="X-electricityCH_neu_old"/>
      <sheetName val="X-elecCH-old"/>
      <sheetName val="X-elecCH_scenario"/>
      <sheetName val="X-elecCH_old"/>
      <sheetName val="X-elecRER-old"/>
      <sheetName val="X-elec-CH"/>
      <sheetName val="X-elec-RER"/>
      <sheetName val="X-elec-US"/>
      <sheetName val="X-elec-APAC"/>
      <sheetName val="cell-shares"/>
      <sheetName val="cell technology shares"/>
      <sheetName val="installed_kW"/>
      <sheetName val="yields"/>
      <sheetName val="X-EG-unit"/>
      <sheetName val="X-Source"/>
      <sheetName val="X-Person"/>
      <sheetName val="Änderungen"/>
    </sheetNames>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Names"/>
      <sheetName val="Data-IEA-2008-non-OECD"/>
      <sheetName val="Data-Gross-EP-IEA-2008-OECD"/>
      <sheetName val="Data-Net-EP-IEA-2008-OECD"/>
      <sheetName val="Data-IAEA-nuclear-energy"/>
      <sheetName val="Inputdata"/>
      <sheetName val="Overview"/>
      <sheetName val="Table-TW"/>
      <sheetName val="ImportExport"/>
      <sheetName val="Technology selection"/>
      <sheetName val="SF6-Emissions"/>
      <sheetName val="specific emissions"/>
      <sheetName val="Production Mix"/>
      <sheetName val="Supply Mix"/>
      <sheetName val="Distribution Production Mix"/>
      <sheetName val="Distribution Supply Mix"/>
      <sheetName val="X-Process"/>
      <sheetName val="X-Source"/>
      <sheetName val="X-Person"/>
    </sheetNames>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Names"/>
      <sheetName val="Data-IEA-2008-non-OECD"/>
      <sheetName val="Data-Gross-EP-IEA-2008-OECD"/>
      <sheetName val="Data-Net-EP-IEA-2008-OECD"/>
      <sheetName val="Data-IAEA-nuclear-energy"/>
      <sheetName val="Inputdata"/>
      <sheetName val="Overview"/>
      <sheetName val="Table-US"/>
      <sheetName val="ImportExport"/>
      <sheetName val="Technology selection"/>
      <sheetName val="SF6-Emissions"/>
      <sheetName val="specific emissions"/>
      <sheetName val="Production Mix"/>
      <sheetName val="Supply Mix"/>
      <sheetName val="Distribution Production Mix"/>
      <sheetName val="Distribution Supply Mix"/>
      <sheetName val="X-Process"/>
      <sheetName val="X-Source"/>
      <sheetName val="X-Person"/>
    </sheetNames>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Names"/>
      <sheetName val="Data-IEA-2008-non-OECD"/>
      <sheetName val="Data-Gross-EP-IEA-2008-OECD"/>
      <sheetName val="Data-Net-EP-IEA-2008-OECD"/>
      <sheetName val="Data-IAEA-nuclear-energy"/>
      <sheetName val="Inputdata"/>
      <sheetName val="Overview"/>
      <sheetName val="Table-JP"/>
      <sheetName val="ImportExport"/>
      <sheetName val="Technology selection"/>
      <sheetName val="SF6-Emissions"/>
      <sheetName val="specific emissions"/>
      <sheetName val="Production Mix"/>
      <sheetName val="Supply Mix"/>
      <sheetName val="Distribution Production Mix"/>
      <sheetName val="Distribution Supply Mix"/>
      <sheetName val="X-Process"/>
      <sheetName val="X-Source"/>
      <sheetName val="X-Person"/>
    </sheetNames>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sheetNames>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s"/>
      <sheetName val="ObsoleteDS"/>
      <sheetName val="NamesElementary"/>
      <sheetName val="SPnames"/>
      <sheetName val="properties"/>
      <sheetName val="CategoryElementary"/>
      <sheetName val="X-Source"/>
      <sheetName val="X-Person"/>
      <sheetName val="Country"/>
      <sheetName val="Unit"/>
      <sheetName val="pedigree"/>
      <sheetName val="BasicUncertainty"/>
      <sheetName val="SDG^2 values"/>
      <sheetName val="LCIAübersetzung"/>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rev. index"/>
      <sheetName val="1 approval"/>
      <sheetName val="2 summary"/>
      <sheetName val="3 options"/>
      <sheetName val="4 material cost"/>
      <sheetName val="5 labour"/>
      <sheetName val="6 labour onsite"/>
      <sheetName val="7 sales deduction"/>
      <sheetName val="8 hourly rates"/>
      <sheetName val="A appendix"/>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Names"/>
      <sheetName val="Data-IEA-2008-non-OECD"/>
      <sheetName val="Data-Gross-EP-IEA-2008-OECD"/>
      <sheetName val="Data-Net-EP-IEA-2008-OECD"/>
      <sheetName val="Data-IAEA-nuclear-energy"/>
      <sheetName val="Inputdata"/>
      <sheetName val="Overview"/>
      <sheetName val="Table-CN"/>
      <sheetName val="ImportExport"/>
      <sheetName val="Technology selection"/>
      <sheetName val="SF6-Emissions"/>
      <sheetName val="specific emissions"/>
      <sheetName val="Production Mix"/>
      <sheetName val="Supply Mix"/>
      <sheetName val="Distribution Production Mix"/>
      <sheetName val="Distribution Supply Mix"/>
      <sheetName val="X-Process"/>
      <sheetName val="X-Source"/>
      <sheetName val="X-Person"/>
    </sheetNames>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Data-IEA-2008-non-OECD"/>
      <sheetName val="Data-Gross-EP-IEA-2008-OECD"/>
      <sheetName val="Data-Net-EP-IEA-2008-OECD"/>
      <sheetName val="Data-IAEA-nuclear-energy"/>
      <sheetName val="Inputdata"/>
      <sheetName val="Overview"/>
      <sheetName val="Table"/>
      <sheetName val="ImportExport"/>
      <sheetName val="Technology selection"/>
      <sheetName val="SF6-Emissions"/>
      <sheetName val="specific emissions"/>
      <sheetName val="Production Mix"/>
      <sheetName val="Supply Mix"/>
      <sheetName val="Distribution Production Mix"/>
      <sheetName val="Distribution Supply Mix"/>
      <sheetName val="X-Process"/>
      <sheetName val="X-Source"/>
      <sheetName val="X-Person"/>
    </sheetNames>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Data-IEA-2008-non-OECD"/>
      <sheetName val="Data-Gross-EP-IEA-2008-OECD"/>
      <sheetName val="Data-Net-EP-IEA-2008-OECD"/>
      <sheetName val="Data-IAEA-nuclear-energy"/>
      <sheetName val="Inputdata"/>
      <sheetName val="Overview"/>
      <sheetName val="Table-ES"/>
      <sheetName val="ImportExport"/>
      <sheetName val="Technology selection"/>
      <sheetName val="SF6-Emissions"/>
      <sheetName val="specific emissions"/>
      <sheetName val="Production Mix"/>
      <sheetName val="Supply Mix"/>
      <sheetName val="Distribution Production Mix"/>
      <sheetName val="Distribution Supply Mix"/>
      <sheetName val="X-Process"/>
      <sheetName val="X-Source"/>
      <sheetName val="X-Person"/>
    </sheetNames>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Names"/>
      <sheetName val="Data-IEA-2008-non-OECD"/>
      <sheetName val="Data-Gross-EP-IEA-2008-OECD"/>
      <sheetName val="Data-Net-EP-IEA-2008-OECD"/>
      <sheetName val="Data-IAEA-nuclear-energy"/>
      <sheetName val="Inputdata"/>
      <sheetName val="Overview"/>
      <sheetName val="Table-IN"/>
      <sheetName val="ImportExport"/>
      <sheetName val="Technology selection"/>
      <sheetName val="SF6-Emissions"/>
      <sheetName val="specific emissions"/>
      <sheetName val="Production Mix"/>
      <sheetName val="Supply Mix"/>
      <sheetName val="Distribution Production Mix"/>
      <sheetName val="Distribution Supply Mix"/>
      <sheetName val="X-Process"/>
      <sheetName val="X-Source"/>
      <sheetName val="X-Person"/>
    </sheetNames>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Names"/>
      <sheetName val="Data-IEA-2008-non-OECD"/>
      <sheetName val="Data-Gross-EP-IEA-2008-OECD"/>
      <sheetName val="Data-Net-EP-IEA-2008-OECD"/>
      <sheetName val="Data-IAEA-nuclear-energy"/>
      <sheetName val="Inputdata"/>
      <sheetName val="Overview"/>
      <sheetName val="Table-KR"/>
      <sheetName val="ImportExport"/>
      <sheetName val="Technology selection"/>
      <sheetName val="SF6-Emissions"/>
      <sheetName val="specific emissions"/>
      <sheetName val="Production Mix"/>
      <sheetName val="Supply Mix"/>
      <sheetName val="Distribution Production Mix"/>
      <sheetName val="Distribution Supply Mix"/>
      <sheetName val="X-Process"/>
      <sheetName val="X-Source"/>
      <sheetName val="X-Person"/>
    </sheetNames>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Names"/>
      <sheetName val="Data-IEA-2008-non-OECD"/>
      <sheetName val="Data-Gross-EP-IEA-2008-OECD"/>
      <sheetName val="Data-Net-EP-IEA-2008-OECD"/>
      <sheetName val="Data-IAEA-nuclear-energy"/>
      <sheetName val="Inputdata"/>
      <sheetName val="Overview"/>
      <sheetName val="Table-MX"/>
      <sheetName val="ImportExport"/>
      <sheetName val="Technology selection"/>
      <sheetName val="SF6-Emissions"/>
      <sheetName val="specific emissions"/>
      <sheetName val="Production Mix"/>
      <sheetName val="Supply Mix"/>
      <sheetName val="Distribution Production Mix"/>
      <sheetName val="Distribution Supply Mix"/>
      <sheetName val="X-Process"/>
      <sheetName val="X-Source"/>
      <sheetName val="X-Person"/>
    </sheetNames>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Names"/>
      <sheetName val="Data-IEA-2008-non-OECD"/>
      <sheetName val="Data-Gross-EP-IEA-2008-OECD"/>
      <sheetName val="Data-Net-EP-IEA-2008-OECD"/>
      <sheetName val="Data-IAEA-nuclear-energy"/>
      <sheetName val="Inputdata"/>
      <sheetName val="Overview"/>
      <sheetName val="Table-MY"/>
      <sheetName val="ImportExport"/>
      <sheetName val="Technology selection"/>
      <sheetName val="SF6-Emissions"/>
      <sheetName val="specific emissions"/>
      <sheetName val="Production Mix"/>
      <sheetName val="Supply Mix"/>
      <sheetName val="Distribution Production Mix"/>
      <sheetName val="Distribution Supply Mix"/>
      <sheetName val="X-Process"/>
      <sheetName val="X-Source"/>
      <sheetName val="X-Person"/>
    </sheetNames>
  </externalBook>
</externalLink>
</file>

<file path=xl/theme/theme1.xml><?xml version="1.0" encoding="utf-8"?>
<a:theme xmlns:a="http://schemas.openxmlformats.org/drawingml/2006/main" name="treeze-V8-white">
  <a:themeElements>
    <a:clrScheme name="Benutzerdefiniert 2">
      <a:dk1>
        <a:srgbClr val="213138"/>
      </a:dk1>
      <a:lt1>
        <a:srgbClr val="F5F4F3"/>
      </a:lt1>
      <a:dk2>
        <a:srgbClr val="41545D"/>
      </a:dk2>
      <a:lt2>
        <a:srgbClr val="BCDADE"/>
      </a:lt2>
      <a:accent1>
        <a:srgbClr val="229DCE"/>
      </a:accent1>
      <a:accent2>
        <a:srgbClr val="A0003A"/>
      </a:accent2>
      <a:accent3>
        <a:srgbClr val="E47823"/>
      </a:accent3>
      <a:accent4>
        <a:srgbClr val="62AED5"/>
      </a:accent4>
      <a:accent5>
        <a:srgbClr val="CA6E78"/>
      </a:accent5>
      <a:accent6>
        <a:srgbClr val="F1B573"/>
      </a:accent6>
      <a:hlink>
        <a:srgbClr val="A0003A"/>
      </a:hlink>
      <a:folHlink>
        <a:srgbClr val="E47823"/>
      </a:folHlink>
    </a:clrScheme>
    <a:fontScheme name="Larissa">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su-services.ch/" TargetMode="External"/><Relationship Id="rId2" Type="http://schemas.openxmlformats.org/officeDocument/2006/relationships/hyperlink" Target="http://www.ecoinvent.ch/" TargetMode="External"/><Relationship Id="rId1" Type="http://schemas.openxmlformats.org/officeDocument/2006/relationships/hyperlink" Target="mailto:stucki@esu-services.ch"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3" Type="http://schemas.openxmlformats.org/officeDocument/2006/relationships/hyperlink" Target="mailto:esu-services@ecoinvent.org" TargetMode="External"/><Relationship Id="rId7" Type="http://schemas.openxmlformats.org/officeDocument/2006/relationships/printerSettings" Target="../printerSettings/printerSettings35.bin"/><Relationship Id="rId2" Type="http://schemas.openxmlformats.org/officeDocument/2006/relationships/hyperlink" Target="mailto:e.a.alsema@chem.uu.nl" TargetMode="External"/><Relationship Id="rId1" Type="http://schemas.openxmlformats.org/officeDocument/2006/relationships/hyperlink" Target="mailto:psi@ecoinvent.ch" TargetMode="External"/><Relationship Id="rId6" Type="http://schemas.openxmlformats.org/officeDocument/2006/relationships/hyperlink" Target="mailto:frischknecht@treeze.ch" TargetMode="External"/><Relationship Id="rId5" Type="http://schemas.openxmlformats.org/officeDocument/2006/relationships/hyperlink" Target="mailto:itten@treeze.ch" TargetMode="External"/><Relationship Id="rId4" Type="http://schemas.openxmlformats.org/officeDocument/2006/relationships/hyperlink" Target="mailto:psi@ecoinvent.org" TargetMode="External"/></Relationships>
</file>

<file path=xl/worksheets/_rels/sheet38.xml.rels><?xml version="1.0" encoding="UTF-8" standalone="yes"?>
<Relationships xmlns="http://schemas.openxmlformats.org/package/2006/relationships"><Relationship Id="rId3" Type="http://schemas.openxmlformats.org/officeDocument/2006/relationships/hyperlink" Target="http://www.esu-services.ch/" TargetMode="External"/><Relationship Id="rId2" Type="http://schemas.openxmlformats.org/officeDocument/2006/relationships/hyperlink" Target="http://www.ecoinvent.ch/" TargetMode="External"/><Relationship Id="rId1" Type="http://schemas.openxmlformats.org/officeDocument/2006/relationships/hyperlink" Target="mailto:esu-services@ecoinvent.ch" TargetMode="External"/><Relationship Id="rId4"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3" Type="http://schemas.openxmlformats.org/officeDocument/2006/relationships/hyperlink" Target="mailto:itten@esu-services.ch" TargetMode="External"/><Relationship Id="rId2" Type="http://schemas.openxmlformats.org/officeDocument/2006/relationships/hyperlink" Target="mailto:frischknecht@esu-services.ch" TargetMode="External"/><Relationship Id="rId1" Type="http://schemas.openxmlformats.org/officeDocument/2006/relationships/hyperlink" Target="mailto:buesser@esu-services.ch" TargetMode="External"/><Relationship Id="rId5" Type="http://schemas.openxmlformats.org/officeDocument/2006/relationships/printerSettings" Target="../printerSettings/printerSettings46.bin"/><Relationship Id="rId4" Type="http://schemas.openxmlformats.org/officeDocument/2006/relationships/hyperlink" Target="mailto:wyss@esu-services.ch"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53.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G44"/>
  <sheetViews>
    <sheetView tabSelected="1" workbookViewId="0">
      <pane ySplit="2" topLeftCell="A3" activePane="bottomLeft" state="frozen"/>
      <selection activeCell="B18" sqref="B18"/>
      <selection pane="bottomLeft" activeCell="B12" sqref="B12"/>
    </sheetView>
  </sheetViews>
  <sheetFormatPr defaultColWidth="10.85546875" defaultRowHeight="12.75"/>
  <cols>
    <col min="1" max="1" width="33.5703125" style="456" customWidth="1"/>
    <col min="2" max="2" width="105" style="456" customWidth="1"/>
    <col min="3" max="16384" width="10.85546875" style="426"/>
  </cols>
  <sheetData>
    <row r="1" spans="1:7" ht="27.75">
      <c r="A1" s="424"/>
      <c r="B1" s="425" t="s">
        <v>559</v>
      </c>
    </row>
    <row r="2" spans="1:7" s="430" customFormat="1" ht="58.5" customHeight="1">
      <c r="A2" s="427"/>
      <c r="B2" s="428" t="s">
        <v>560</v>
      </c>
      <c r="C2" s="429"/>
      <c r="D2" s="429"/>
      <c r="E2" s="429"/>
      <c r="F2" s="429"/>
      <c r="G2" s="429"/>
    </row>
    <row r="3" spans="1:7" s="434" customFormat="1" ht="15">
      <c r="A3" s="431">
        <v>41855</v>
      </c>
      <c r="B3" s="432" t="s">
        <v>229</v>
      </c>
      <c r="C3" s="433"/>
    </row>
    <row r="4" spans="1:7" ht="16.5" customHeight="1">
      <c r="A4" s="424"/>
      <c r="B4" s="435"/>
    </row>
    <row r="5" spans="1:7" s="438" customFormat="1" ht="45">
      <c r="A5" s="436" t="s">
        <v>561</v>
      </c>
      <c r="B5" s="437" t="s">
        <v>562</v>
      </c>
    </row>
    <row r="6" spans="1:7" s="438" customFormat="1" ht="15">
      <c r="A6" s="436" t="s">
        <v>564</v>
      </c>
      <c r="B6" s="437" t="s">
        <v>565</v>
      </c>
    </row>
    <row r="7" spans="1:7" ht="15">
      <c r="A7" s="436" t="s">
        <v>566</v>
      </c>
      <c r="B7" s="424" t="s">
        <v>567</v>
      </c>
    </row>
    <row r="8" spans="1:7" ht="15">
      <c r="A8" s="436" t="s">
        <v>568</v>
      </c>
      <c r="B8" s="424" t="s">
        <v>717</v>
      </c>
      <c r="C8" s="439"/>
    </row>
    <row r="9" spans="1:7" ht="15">
      <c r="A9" s="436"/>
      <c r="B9" s="440" t="s">
        <v>569</v>
      </c>
      <c r="C9" s="439"/>
    </row>
    <row r="10" spans="1:7" ht="15">
      <c r="A10" s="424"/>
      <c r="B10" s="424" t="s">
        <v>570</v>
      </c>
    </row>
    <row r="11" spans="1:7" ht="15">
      <c r="A11" s="424"/>
      <c r="B11" s="424" t="s">
        <v>571</v>
      </c>
    </row>
    <row r="12" spans="1:7" ht="15">
      <c r="A12" s="424"/>
      <c r="B12" s="424" t="s">
        <v>572</v>
      </c>
    </row>
    <row r="13" spans="1:7" ht="15">
      <c r="A13" s="424"/>
      <c r="B13" s="424" t="s">
        <v>573</v>
      </c>
    </row>
    <row r="14" spans="1:7" ht="15">
      <c r="A14" s="424"/>
      <c r="B14" s="441" t="s">
        <v>574</v>
      </c>
    </row>
    <row r="15" spans="1:7" ht="15">
      <c r="A15" s="424"/>
      <c r="B15" s="442" t="s">
        <v>575</v>
      </c>
    </row>
    <row r="16" spans="1:7" ht="30">
      <c r="A16" s="443" t="s">
        <v>576</v>
      </c>
      <c r="B16" s="444" t="s">
        <v>193</v>
      </c>
    </row>
    <row r="17" spans="1:3" ht="15">
      <c r="A17" s="424"/>
      <c r="B17" s="445" t="s">
        <v>194</v>
      </c>
    </row>
    <row r="18" spans="1:3" ht="15">
      <c r="A18" s="424"/>
      <c r="B18" s="445" t="s">
        <v>195</v>
      </c>
    </row>
    <row r="19" spans="1:3" ht="15">
      <c r="A19" s="424"/>
      <c r="B19" s="445" t="s">
        <v>196</v>
      </c>
    </row>
    <row r="20" spans="1:3" s="438" customFormat="1" ht="23.25">
      <c r="A20" s="446" t="s">
        <v>197</v>
      </c>
      <c r="B20" s="447"/>
      <c r="C20" s="448"/>
    </row>
    <row r="21" spans="1:3" s="438" customFormat="1" ht="45">
      <c r="A21" s="443" t="s">
        <v>198</v>
      </c>
      <c r="B21" s="449" t="s">
        <v>199</v>
      </c>
      <c r="C21" s="450"/>
    </row>
    <row r="22" spans="1:3" s="438" customFormat="1" ht="45">
      <c r="A22" s="443"/>
      <c r="B22" s="449" t="s">
        <v>200</v>
      </c>
      <c r="C22" s="450"/>
    </row>
    <row r="23" spans="1:3" s="438" customFormat="1" ht="45">
      <c r="A23" s="443" t="s">
        <v>201</v>
      </c>
      <c r="B23" s="449" t="s">
        <v>582</v>
      </c>
      <c r="C23" s="450"/>
    </row>
    <row r="24" spans="1:3" s="438" customFormat="1" ht="30">
      <c r="A24" s="451" t="s">
        <v>583</v>
      </c>
      <c r="B24" s="452" t="s">
        <v>230</v>
      </c>
      <c r="C24" s="450"/>
    </row>
    <row r="25" spans="1:3" s="438" customFormat="1" ht="30">
      <c r="A25" s="451"/>
      <c r="B25" s="452" t="s">
        <v>231</v>
      </c>
      <c r="C25" s="453"/>
    </row>
    <row r="26" spans="1:3" s="438" customFormat="1" ht="30">
      <c r="A26" s="451"/>
      <c r="B26" s="452" t="s">
        <v>232</v>
      </c>
      <c r="C26" s="450"/>
    </row>
    <row r="27" spans="1:3" s="438" customFormat="1" ht="30">
      <c r="A27" s="451"/>
      <c r="B27" s="452" t="s">
        <v>584</v>
      </c>
      <c r="C27" s="454"/>
    </row>
    <row r="28" spans="1:3" s="438" customFormat="1" ht="30">
      <c r="A28" s="451"/>
      <c r="B28" s="452" t="s">
        <v>585</v>
      </c>
      <c r="C28" s="454"/>
    </row>
    <row r="29" spans="1:3" s="438" customFormat="1" ht="15">
      <c r="A29" s="451"/>
      <c r="B29" s="452"/>
      <c r="C29" s="454"/>
    </row>
    <row r="30" spans="1:3" ht="30">
      <c r="A30" s="451" t="s">
        <v>586</v>
      </c>
      <c r="B30" s="452" t="s">
        <v>587</v>
      </c>
    </row>
    <row r="31" spans="1:3" ht="15">
      <c r="A31" s="451"/>
      <c r="B31" s="452" t="s">
        <v>588</v>
      </c>
    </row>
    <row r="32" spans="1:3" ht="15">
      <c r="A32" s="451"/>
      <c r="B32" s="452" t="s">
        <v>589</v>
      </c>
    </row>
    <row r="33" spans="1:2" ht="15">
      <c r="A33" s="451"/>
      <c r="B33" s="452" t="s">
        <v>590</v>
      </c>
    </row>
    <row r="34" spans="1:2" ht="15">
      <c r="A34" s="451"/>
      <c r="B34" s="452" t="s">
        <v>591</v>
      </c>
    </row>
    <row r="35" spans="1:2" ht="30">
      <c r="A35" s="451"/>
      <c r="B35" s="452" t="s">
        <v>592</v>
      </c>
    </row>
    <row r="36" spans="1:2" ht="15">
      <c r="A36" s="451"/>
      <c r="B36" s="452"/>
    </row>
    <row r="37" spans="1:2" ht="30">
      <c r="A37" s="451" t="s">
        <v>593</v>
      </c>
      <c r="B37" s="452" t="s">
        <v>594</v>
      </c>
    </row>
    <row r="38" spans="1:2" ht="30">
      <c r="A38" s="451"/>
      <c r="B38" s="452" t="s">
        <v>595</v>
      </c>
    </row>
    <row r="39" spans="1:2" ht="30">
      <c r="A39" s="451"/>
      <c r="B39" s="452" t="s">
        <v>596</v>
      </c>
    </row>
    <row r="41" spans="1:2" ht="15">
      <c r="A41" s="452" t="s">
        <v>228</v>
      </c>
      <c r="B41" s="455" t="s">
        <v>749</v>
      </c>
    </row>
    <row r="44" spans="1:2" ht="15">
      <c r="B44" s="455" t="s">
        <v>749</v>
      </c>
    </row>
  </sheetData>
  <phoneticPr fontId="16" type="noConversion"/>
  <hyperlinks>
    <hyperlink ref="B14" r:id="rId1"/>
    <hyperlink ref="B15" r:id="rId2"/>
    <hyperlink ref="B9" r:id="rId3"/>
  </hyperlinks>
  <pageMargins left="0.78740157499999996" right="0.78740157499999996" top="0.984251969" bottom="0.984251969" header="0.4921259845" footer="0.4921259845"/>
  <pageSetup paperSize="9" scale="68" orientation="portrait" horizontalDpi="1200" verticalDpi="1200"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0">
    <pageSetUpPr fitToPage="1"/>
  </sheetPr>
  <dimension ref="A1:AM23"/>
  <sheetViews>
    <sheetView zoomScale="75" workbookViewId="0">
      <selection activeCell="J46" sqref="J46"/>
    </sheetView>
  </sheetViews>
  <sheetFormatPr defaultColWidth="11.42578125" defaultRowHeight="12" outlineLevelCol="1"/>
  <cols>
    <col min="1" max="1" width="11.5703125" style="7" customWidth="1" outlineLevel="1"/>
    <col min="2" max="2" width="9.7109375" style="158" customWidth="1"/>
    <col min="3" max="3" width="3.7109375" style="159" hidden="1" customWidth="1"/>
    <col min="4" max="4" width="3.140625" style="7" hidden="1" customWidth="1"/>
    <col min="5" max="5" width="2.7109375" style="7" hidden="1" customWidth="1"/>
    <col min="6" max="6" width="33.85546875" style="8" customWidth="1"/>
    <col min="7" max="7" width="6" style="7" customWidth="1"/>
    <col min="8" max="8" width="6.42578125" style="7" hidden="1" customWidth="1" outlineLevel="1"/>
    <col min="9" max="9" width="19.42578125" style="7" hidden="1" customWidth="1" outlineLevel="1"/>
    <col min="10" max="10" width="3.28515625" style="7" customWidth="1" collapsed="1"/>
    <col min="11" max="11" width="5.140625" style="7" customWidth="1"/>
    <col min="12" max="12" width="11.42578125" style="7"/>
    <col min="13" max="13" width="2.42578125" style="140" hidden="1" customWidth="1" outlineLevel="1"/>
    <col min="14" max="14" width="4.28515625" style="140" hidden="1" customWidth="1" outlineLevel="1"/>
    <col min="15" max="15" width="37.85546875" style="140" hidden="1" customWidth="1" outlineLevel="1"/>
    <col min="16" max="16" width="11.42578125" style="7" collapsed="1"/>
    <col min="17" max="17" width="2.42578125" style="140" hidden="1" customWidth="1" outlineLevel="1"/>
    <col min="18" max="18" width="4.28515625" style="140" hidden="1" customWidth="1" outlineLevel="1"/>
    <col min="19" max="19" width="37.85546875" style="140" hidden="1" customWidth="1" outlineLevel="1"/>
    <col min="20" max="20" width="11.42578125" style="7" collapsed="1"/>
    <col min="21" max="21" width="2.42578125" style="140" hidden="1" customWidth="1" outlineLevel="1"/>
    <col min="22" max="22" width="4.28515625" style="140" hidden="1" customWidth="1" outlineLevel="1"/>
    <col min="23" max="23" width="37.85546875" style="140" hidden="1" customWidth="1" outlineLevel="1"/>
    <col min="24" max="24" width="11.42578125" style="7" collapsed="1"/>
    <col min="25" max="25" width="2.42578125" style="140" hidden="1" customWidth="1" outlineLevel="1"/>
    <col min="26" max="26" width="4.28515625" style="140" hidden="1" customWidth="1" outlineLevel="1"/>
    <col min="27" max="27" width="37.85546875" style="140" hidden="1" customWidth="1" outlineLevel="1"/>
    <col min="28" max="28" width="11.42578125" style="7" collapsed="1"/>
    <col min="29" max="29" width="2.42578125" style="140" hidden="1" customWidth="1" outlineLevel="1"/>
    <col min="30" max="30" width="4.28515625" style="140" hidden="1" customWidth="1" outlineLevel="1"/>
    <col min="31" max="31" width="37.85546875" style="140" hidden="1" customWidth="1" outlineLevel="1"/>
    <col min="32" max="32" width="11.42578125" style="7" collapsed="1"/>
    <col min="33" max="33" width="2.42578125" style="140" customWidth="1" outlineLevel="1"/>
    <col min="34" max="34" width="4.28515625" style="140" customWidth="1" outlineLevel="1"/>
    <col min="35" max="35" width="37.85546875" style="140" customWidth="1" outlineLevel="1"/>
    <col min="36" max="36" width="4.140625" style="479" customWidth="1"/>
    <col min="37" max="37" width="11.42578125" style="7"/>
    <col min="40" max="16384" width="11.42578125" style="7"/>
  </cols>
  <sheetData>
    <row r="1" spans="1:36">
      <c r="A1" s="36"/>
      <c r="B1" s="34"/>
      <c r="C1" s="35"/>
      <c r="D1" s="36"/>
      <c r="E1" s="36"/>
      <c r="F1" s="37" t="s">
        <v>510</v>
      </c>
      <c r="G1" s="36"/>
      <c r="H1" s="36"/>
      <c r="I1" s="36"/>
      <c r="J1" s="36"/>
      <c r="K1" s="36"/>
      <c r="L1" s="615" t="s">
        <v>957</v>
      </c>
      <c r="M1" s="22"/>
      <c r="N1" s="22"/>
      <c r="O1" s="22"/>
      <c r="P1" s="615" t="s">
        <v>958</v>
      </c>
      <c r="Q1" s="22"/>
      <c r="R1" s="22"/>
      <c r="S1" s="22"/>
      <c r="T1" s="615" t="s">
        <v>897</v>
      </c>
      <c r="U1" s="22"/>
      <c r="V1" s="22"/>
      <c r="W1" s="22"/>
      <c r="X1" s="615" t="s">
        <v>898</v>
      </c>
      <c r="Y1" s="22"/>
      <c r="Z1" s="22"/>
      <c r="AA1" s="22"/>
      <c r="AB1" s="615" t="s">
        <v>899</v>
      </c>
      <c r="AC1" s="22"/>
      <c r="AD1" s="22"/>
      <c r="AE1" s="22"/>
      <c r="AF1" s="615" t="s">
        <v>900</v>
      </c>
      <c r="AG1" s="22"/>
      <c r="AH1" s="22"/>
      <c r="AI1" s="22"/>
    </row>
    <row r="2" spans="1:36">
      <c r="A2" s="36"/>
      <c r="B2" s="147"/>
      <c r="C2" s="35" t="s">
        <v>511</v>
      </c>
      <c r="D2" s="147">
        <v>3503</v>
      </c>
      <c r="E2" s="147">
        <v>3504</v>
      </c>
      <c r="F2" s="147">
        <v>3702</v>
      </c>
      <c r="G2" s="147">
        <v>3703</v>
      </c>
      <c r="H2" s="147">
        <v>3506</v>
      </c>
      <c r="I2" s="147">
        <v>3507</v>
      </c>
      <c r="J2" s="147">
        <v>3508</v>
      </c>
      <c r="K2" s="147">
        <v>3706</v>
      </c>
      <c r="L2" s="147">
        <v>3707</v>
      </c>
      <c r="M2" s="23">
        <v>3708</v>
      </c>
      <c r="N2" s="23">
        <v>3709</v>
      </c>
      <c r="O2" s="134">
        <v>3792</v>
      </c>
      <c r="P2" s="147">
        <v>3707</v>
      </c>
      <c r="Q2" s="23">
        <v>3708</v>
      </c>
      <c r="R2" s="23">
        <v>3709</v>
      </c>
      <c r="S2" s="134">
        <v>3792</v>
      </c>
      <c r="T2" s="147">
        <v>3707</v>
      </c>
      <c r="U2" s="23">
        <v>3708</v>
      </c>
      <c r="V2" s="23">
        <v>3709</v>
      </c>
      <c r="W2" s="134">
        <v>3792</v>
      </c>
      <c r="X2" s="147">
        <v>3707</v>
      </c>
      <c r="Y2" s="23">
        <v>3708</v>
      </c>
      <c r="Z2" s="23">
        <v>3709</v>
      </c>
      <c r="AA2" s="134">
        <v>3792</v>
      </c>
      <c r="AB2" s="147">
        <v>3707</v>
      </c>
      <c r="AC2" s="23">
        <v>3708</v>
      </c>
      <c r="AD2" s="23">
        <v>3709</v>
      </c>
      <c r="AE2" s="134">
        <v>3792</v>
      </c>
      <c r="AF2" s="147">
        <v>3707</v>
      </c>
      <c r="AG2" s="23">
        <v>3708</v>
      </c>
      <c r="AH2" s="23">
        <v>3709</v>
      </c>
      <c r="AI2" s="134">
        <v>3792</v>
      </c>
      <c r="AJ2" s="480"/>
    </row>
    <row r="3" spans="1:36" ht="60" customHeight="1">
      <c r="A3" s="36" t="s">
        <v>398</v>
      </c>
      <c r="B3" s="166"/>
      <c r="C3" s="35">
        <v>401</v>
      </c>
      <c r="D3" s="167" t="s">
        <v>514</v>
      </c>
      <c r="E3" s="167" t="s">
        <v>515</v>
      </c>
      <c r="F3" s="132" t="s">
        <v>516</v>
      </c>
      <c r="G3" s="41" t="s">
        <v>517</v>
      </c>
      <c r="H3" s="41" t="s">
        <v>518</v>
      </c>
      <c r="I3" s="41" t="s">
        <v>519</v>
      </c>
      <c r="J3" s="41" t="s">
        <v>520</v>
      </c>
      <c r="K3" s="41" t="s">
        <v>394</v>
      </c>
      <c r="L3" s="177" t="s">
        <v>1264</v>
      </c>
      <c r="M3" s="25" t="s">
        <v>265</v>
      </c>
      <c r="N3" s="25" t="s">
        <v>266</v>
      </c>
      <c r="O3" s="136" t="s">
        <v>548</v>
      </c>
      <c r="P3" s="177" t="s">
        <v>1265</v>
      </c>
      <c r="Q3" s="25" t="s">
        <v>265</v>
      </c>
      <c r="R3" s="25" t="s">
        <v>266</v>
      </c>
      <c r="S3" s="136" t="s">
        <v>548</v>
      </c>
      <c r="T3" s="177" t="s">
        <v>1264</v>
      </c>
      <c r="U3" s="25" t="s">
        <v>265</v>
      </c>
      <c r="V3" s="25" t="s">
        <v>266</v>
      </c>
      <c r="W3" s="136" t="s">
        <v>548</v>
      </c>
      <c r="X3" s="177" t="s">
        <v>1265</v>
      </c>
      <c r="Y3" s="25" t="s">
        <v>265</v>
      </c>
      <c r="Z3" s="25" t="s">
        <v>266</v>
      </c>
      <c r="AA3" s="136" t="s">
        <v>548</v>
      </c>
      <c r="AB3" s="177" t="s">
        <v>1264</v>
      </c>
      <c r="AC3" s="25" t="s">
        <v>265</v>
      </c>
      <c r="AD3" s="25" t="s">
        <v>266</v>
      </c>
      <c r="AE3" s="136" t="s">
        <v>548</v>
      </c>
      <c r="AF3" s="177" t="s">
        <v>1265</v>
      </c>
      <c r="AG3" s="25" t="s">
        <v>265</v>
      </c>
      <c r="AH3" s="25" t="s">
        <v>266</v>
      </c>
      <c r="AI3" s="136" t="s">
        <v>548</v>
      </c>
      <c r="AJ3" s="481"/>
    </row>
    <row r="4" spans="1:36" ht="12" customHeight="1">
      <c r="A4" s="36"/>
      <c r="B4" s="166"/>
      <c r="C4" s="35">
        <v>662</v>
      </c>
      <c r="D4" s="13"/>
      <c r="E4" s="13"/>
      <c r="F4" s="132" t="s">
        <v>517</v>
      </c>
      <c r="G4" s="132"/>
      <c r="H4" s="132"/>
      <c r="I4" s="132"/>
      <c r="J4" s="132"/>
      <c r="K4" s="132"/>
      <c r="L4" s="177" t="s">
        <v>521</v>
      </c>
      <c r="M4" s="27"/>
      <c r="N4" s="27"/>
      <c r="O4" s="201"/>
      <c r="P4" s="177" t="s">
        <v>521</v>
      </c>
      <c r="Q4" s="27"/>
      <c r="R4" s="27"/>
      <c r="S4" s="201"/>
      <c r="T4" s="177" t="s">
        <v>465</v>
      </c>
      <c r="U4" s="27"/>
      <c r="V4" s="27"/>
      <c r="W4" s="201"/>
      <c r="X4" s="177" t="s">
        <v>465</v>
      </c>
      <c r="Y4" s="27"/>
      <c r="Z4" s="27"/>
      <c r="AA4" s="201"/>
      <c r="AB4" s="177" t="s">
        <v>956</v>
      </c>
      <c r="AC4" s="27"/>
      <c r="AD4" s="27"/>
      <c r="AE4" s="201"/>
      <c r="AF4" s="177" t="s">
        <v>956</v>
      </c>
      <c r="AG4" s="27"/>
      <c r="AH4" s="27"/>
      <c r="AI4" s="201"/>
      <c r="AJ4" s="482"/>
    </row>
    <row r="5" spans="1:36">
      <c r="A5" s="36"/>
      <c r="B5" s="166"/>
      <c r="C5" s="35">
        <v>493</v>
      </c>
      <c r="D5" s="13"/>
      <c r="E5" s="13"/>
      <c r="F5" s="132" t="s">
        <v>520</v>
      </c>
      <c r="G5" s="132"/>
      <c r="H5" s="132"/>
      <c r="I5" s="132"/>
      <c r="J5" s="132"/>
      <c r="K5" s="132"/>
      <c r="L5" s="177">
        <v>0</v>
      </c>
      <c r="M5" s="27"/>
      <c r="N5" s="27"/>
      <c r="O5" s="201"/>
      <c r="P5" s="177">
        <v>0</v>
      </c>
      <c r="Q5" s="27"/>
      <c r="R5" s="27"/>
      <c r="S5" s="201"/>
      <c r="T5" s="177">
        <v>0</v>
      </c>
      <c r="U5" s="27"/>
      <c r="V5" s="27"/>
      <c r="W5" s="201"/>
      <c r="X5" s="177">
        <v>0</v>
      </c>
      <c r="Y5" s="27"/>
      <c r="Z5" s="27"/>
      <c r="AA5" s="201"/>
      <c r="AB5" s="177">
        <v>0</v>
      </c>
      <c r="AC5" s="27"/>
      <c r="AD5" s="27"/>
      <c r="AE5" s="201"/>
      <c r="AF5" s="177">
        <v>0</v>
      </c>
      <c r="AG5" s="27"/>
      <c r="AH5" s="27"/>
      <c r="AI5" s="201"/>
      <c r="AJ5" s="482"/>
    </row>
    <row r="6" spans="1:36">
      <c r="A6" s="36"/>
      <c r="B6" s="166"/>
      <c r="C6" s="35">
        <v>403</v>
      </c>
      <c r="D6" s="13"/>
      <c r="E6" s="13"/>
      <c r="F6" s="132" t="s">
        <v>394</v>
      </c>
      <c r="G6" s="352"/>
      <c r="H6" s="132"/>
      <c r="I6" s="132"/>
      <c r="J6" s="132"/>
      <c r="K6" s="132"/>
      <c r="L6" s="177" t="s">
        <v>396</v>
      </c>
      <c r="M6" s="27"/>
      <c r="N6" s="27"/>
      <c r="O6" s="201"/>
      <c r="P6" s="177" t="s">
        <v>396</v>
      </c>
      <c r="Q6" s="27"/>
      <c r="R6" s="27"/>
      <c r="S6" s="201"/>
      <c r="T6" s="177" t="s">
        <v>396</v>
      </c>
      <c r="U6" s="27"/>
      <c r="V6" s="27"/>
      <c r="W6" s="201"/>
      <c r="X6" s="177" t="s">
        <v>396</v>
      </c>
      <c r="Y6" s="27"/>
      <c r="Z6" s="27"/>
      <c r="AA6" s="201"/>
      <c r="AB6" s="177" t="s">
        <v>396</v>
      </c>
      <c r="AC6" s="27"/>
      <c r="AD6" s="27"/>
      <c r="AE6" s="201"/>
      <c r="AF6" s="177" t="s">
        <v>396</v>
      </c>
      <c r="AG6" s="27"/>
      <c r="AH6" s="27"/>
      <c r="AI6" s="201"/>
      <c r="AJ6" s="482"/>
    </row>
    <row r="7" spans="1:36">
      <c r="A7" s="478" t="s">
        <v>957</v>
      </c>
      <c r="B7" s="146"/>
      <c r="C7" s="169"/>
      <c r="D7" s="11" t="s">
        <v>402</v>
      </c>
      <c r="E7" s="170">
        <v>0</v>
      </c>
      <c r="F7" s="145" t="s">
        <v>1264</v>
      </c>
      <c r="G7" s="16" t="s">
        <v>521</v>
      </c>
      <c r="H7" s="14" t="s">
        <v>402</v>
      </c>
      <c r="I7" s="14" t="s">
        <v>402</v>
      </c>
      <c r="J7" s="15">
        <v>0</v>
      </c>
      <c r="K7" s="16" t="s">
        <v>396</v>
      </c>
      <c r="L7" s="606">
        <v>1</v>
      </c>
      <c r="M7" s="29"/>
      <c r="N7" s="1"/>
      <c r="O7" s="139"/>
      <c r="P7" s="606">
        <v>0</v>
      </c>
      <c r="Q7" s="29"/>
      <c r="R7" s="1"/>
      <c r="S7" s="139"/>
      <c r="T7" s="606">
        <v>0</v>
      </c>
      <c r="U7" s="29"/>
      <c r="V7" s="1"/>
      <c r="W7" s="139"/>
      <c r="X7" s="606">
        <v>0</v>
      </c>
      <c r="Y7" s="29"/>
      <c r="Z7" s="1"/>
      <c r="AA7" s="139"/>
      <c r="AB7" s="606">
        <v>0</v>
      </c>
      <c r="AC7" s="29"/>
      <c r="AD7" s="1"/>
      <c r="AE7" s="139"/>
      <c r="AF7" s="606">
        <v>0</v>
      </c>
      <c r="AG7" s="29"/>
      <c r="AH7" s="1"/>
      <c r="AI7" s="139"/>
      <c r="AJ7" s="483"/>
    </row>
    <row r="8" spans="1:36" ht="24">
      <c r="A8" s="478" t="s">
        <v>958</v>
      </c>
      <c r="B8" s="146"/>
      <c r="C8" s="169"/>
      <c r="D8" s="11" t="s">
        <v>402</v>
      </c>
      <c r="E8" s="170">
        <v>0</v>
      </c>
      <c r="F8" s="145" t="s">
        <v>1265</v>
      </c>
      <c r="G8" s="16" t="s">
        <v>521</v>
      </c>
      <c r="H8" s="14" t="s">
        <v>402</v>
      </c>
      <c r="I8" s="14" t="s">
        <v>402</v>
      </c>
      <c r="J8" s="15">
        <v>0</v>
      </c>
      <c r="K8" s="16" t="s">
        <v>396</v>
      </c>
      <c r="L8" s="606">
        <v>0</v>
      </c>
      <c r="M8" s="29"/>
      <c r="N8" s="1"/>
      <c r="O8" s="139"/>
      <c r="P8" s="606">
        <v>1</v>
      </c>
      <c r="Q8" s="29"/>
      <c r="R8" s="1"/>
      <c r="S8" s="139"/>
      <c r="T8" s="606">
        <v>0</v>
      </c>
      <c r="U8" s="29"/>
      <c r="V8" s="1"/>
      <c r="W8" s="139"/>
      <c r="X8" s="606">
        <v>0</v>
      </c>
      <c r="Y8" s="29"/>
      <c r="Z8" s="1"/>
      <c r="AA8" s="139"/>
      <c r="AB8" s="606">
        <v>0</v>
      </c>
      <c r="AC8" s="29"/>
      <c r="AD8" s="1"/>
      <c r="AE8" s="139"/>
      <c r="AF8" s="606">
        <v>0</v>
      </c>
      <c r="AG8" s="29"/>
      <c r="AH8" s="1"/>
      <c r="AI8" s="139"/>
      <c r="AJ8" s="483"/>
    </row>
    <row r="9" spans="1:36">
      <c r="A9" s="478" t="s">
        <v>897</v>
      </c>
      <c r="B9" s="146"/>
      <c r="C9" s="169"/>
      <c r="D9" s="11" t="s">
        <v>402</v>
      </c>
      <c r="E9" s="170">
        <v>0</v>
      </c>
      <c r="F9" s="145" t="s">
        <v>1264</v>
      </c>
      <c r="G9" s="16" t="s">
        <v>465</v>
      </c>
      <c r="H9" s="14" t="s">
        <v>402</v>
      </c>
      <c r="I9" s="14" t="s">
        <v>402</v>
      </c>
      <c r="J9" s="15">
        <v>0</v>
      </c>
      <c r="K9" s="16" t="s">
        <v>396</v>
      </c>
      <c r="L9" s="606">
        <v>0</v>
      </c>
      <c r="M9" s="29"/>
      <c r="N9" s="1"/>
      <c r="O9" s="139"/>
      <c r="P9" s="606">
        <v>0</v>
      </c>
      <c r="Q9" s="29"/>
      <c r="R9" s="1"/>
      <c r="S9" s="139"/>
      <c r="T9" s="606">
        <v>1</v>
      </c>
      <c r="U9" s="29"/>
      <c r="V9" s="1"/>
      <c r="W9" s="139"/>
      <c r="X9" s="606">
        <v>0</v>
      </c>
      <c r="Y9" s="29"/>
      <c r="Z9" s="1"/>
      <c r="AA9" s="139"/>
      <c r="AB9" s="606">
        <v>0</v>
      </c>
      <c r="AC9" s="29"/>
      <c r="AD9" s="1"/>
      <c r="AE9" s="139"/>
      <c r="AF9" s="606">
        <v>0</v>
      </c>
      <c r="AG9" s="29"/>
      <c r="AH9" s="1"/>
      <c r="AI9" s="139"/>
      <c r="AJ9" s="483"/>
    </row>
    <row r="10" spans="1:36" ht="24">
      <c r="A10" s="478" t="s">
        <v>898</v>
      </c>
      <c r="B10" s="146"/>
      <c r="C10" s="169"/>
      <c r="D10" s="11" t="s">
        <v>402</v>
      </c>
      <c r="E10" s="170">
        <v>0</v>
      </c>
      <c r="F10" s="145" t="s">
        <v>1265</v>
      </c>
      <c r="G10" s="16" t="s">
        <v>465</v>
      </c>
      <c r="H10" s="14" t="s">
        <v>402</v>
      </c>
      <c r="I10" s="14" t="s">
        <v>402</v>
      </c>
      <c r="J10" s="15">
        <v>0</v>
      </c>
      <c r="K10" s="16" t="s">
        <v>396</v>
      </c>
      <c r="L10" s="606">
        <v>0</v>
      </c>
      <c r="M10" s="29"/>
      <c r="N10" s="1"/>
      <c r="O10" s="139"/>
      <c r="P10" s="606">
        <v>0</v>
      </c>
      <c r="Q10" s="29"/>
      <c r="R10" s="1"/>
      <c r="S10" s="139"/>
      <c r="T10" s="606">
        <v>0</v>
      </c>
      <c r="U10" s="29"/>
      <c r="V10" s="1"/>
      <c r="W10" s="139"/>
      <c r="X10" s="606">
        <v>1</v>
      </c>
      <c r="Y10" s="29"/>
      <c r="Z10" s="1"/>
      <c r="AA10" s="139"/>
      <c r="AB10" s="606">
        <v>0</v>
      </c>
      <c r="AC10" s="29"/>
      <c r="AD10" s="1"/>
      <c r="AE10" s="139"/>
      <c r="AF10" s="606">
        <v>0</v>
      </c>
      <c r="AG10" s="29"/>
      <c r="AH10" s="1"/>
      <c r="AI10" s="139"/>
      <c r="AJ10" s="483"/>
    </row>
    <row r="11" spans="1:36">
      <c r="A11" s="478" t="s">
        <v>899</v>
      </c>
      <c r="B11" s="146"/>
      <c r="C11" s="169"/>
      <c r="D11" s="11" t="s">
        <v>402</v>
      </c>
      <c r="E11" s="170">
        <v>0</v>
      </c>
      <c r="F11" s="145" t="s">
        <v>1264</v>
      </c>
      <c r="G11" s="16" t="s">
        <v>956</v>
      </c>
      <c r="H11" s="14" t="s">
        <v>402</v>
      </c>
      <c r="I11" s="14" t="s">
        <v>402</v>
      </c>
      <c r="J11" s="15">
        <v>0</v>
      </c>
      <c r="K11" s="16" t="s">
        <v>396</v>
      </c>
      <c r="L11" s="606">
        <v>0</v>
      </c>
      <c r="M11" s="29"/>
      <c r="N11" s="1"/>
      <c r="O11" s="139"/>
      <c r="P11" s="606">
        <v>0</v>
      </c>
      <c r="Q11" s="29"/>
      <c r="R11" s="1"/>
      <c r="S11" s="139"/>
      <c r="T11" s="606">
        <v>0</v>
      </c>
      <c r="U11" s="29"/>
      <c r="V11" s="1"/>
      <c r="W11" s="139"/>
      <c r="X11" s="606">
        <v>0</v>
      </c>
      <c r="Y11" s="29"/>
      <c r="Z11" s="1"/>
      <c r="AA11" s="139"/>
      <c r="AB11" s="606">
        <v>1</v>
      </c>
      <c r="AC11" s="29"/>
      <c r="AD11" s="1"/>
      <c r="AE11" s="139"/>
      <c r="AF11" s="606">
        <v>0</v>
      </c>
      <c r="AG11" s="29"/>
      <c r="AH11" s="1"/>
      <c r="AI11" s="139"/>
      <c r="AJ11" s="483"/>
    </row>
    <row r="12" spans="1:36" ht="24">
      <c r="A12" s="478" t="s">
        <v>900</v>
      </c>
      <c r="B12" s="146"/>
      <c r="C12" s="169"/>
      <c r="D12" s="11" t="s">
        <v>402</v>
      </c>
      <c r="E12" s="170">
        <v>0</v>
      </c>
      <c r="F12" s="145" t="s">
        <v>1265</v>
      </c>
      <c r="G12" s="16" t="s">
        <v>956</v>
      </c>
      <c r="H12" s="14" t="s">
        <v>402</v>
      </c>
      <c r="I12" s="14" t="s">
        <v>402</v>
      </c>
      <c r="J12" s="15">
        <v>0</v>
      </c>
      <c r="K12" s="16" t="s">
        <v>396</v>
      </c>
      <c r="L12" s="606">
        <v>0</v>
      </c>
      <c r="M12" s="29"/>
      <c r="N12" s="1"/>
      <c r="O12" s="139"/>
      <c r="P12" s="606">
        <v>0</v>
      </c>
      <c r="Q12" s="29"/>
      <c r="R12" s="1"/>
      <c r="S12" s="139"/>
      <c r="T12" s="606">
        <v>0</v>
      </c>
      <c r="U12" s="29"/>
      <c r="V12" s="1"/>
      <c r="W12" s="139"/>
      <c r="X12" s="606">
        <v>0</v>
      </c>
      <c r="Y12" s="29"/>
      <c r="Z12" s="1"/>
      <c r="AA12" s="139"/>
      <c r="AB12" s="606">
        <v>0</v>
      </c>
      <c r="AC12" s="29"/>
      <c r="AD12" s="1"/>
      <c r="AE12" s="139"/>
      <c r="AF12" s="606">
        <v>1</v>
      </c>
      <c r="AG12" s="29"/>
      <c r="AH12" s="1"/>
      <c r="AI12" s="139"/>
      <c r="AJ12" s="483"/>
    </row>
    <row r="13" spans="1:36" ht="12.75">
      <c r="A13" s="2">
        <v>1626</v>
      </c>
      <c r="B13" s="37" t="s">
        <v>658</v>
      </c>
      <c r="C13" s="151" t="s">
        <v>525</v>
      </c>
      <c r="D13" s="152" t="s">
        <v>526</v>
      </c>
      <c r="E13" s="153" t="s">
        <v>402</v>
      </c>
      <c r="F13" s="144" t="s">
        <v>1120</v>
      </c>
      <c r="G13" s="125" t="s">
        <v>521</v>
      </c>
      <c r="H13" s="154" t="s">
        <v>402</v>
      </c>
      <c r="I13" s="123" t="s">
        <v>402</v>
      </c>
      <c r="J13" s="124">
        <v>0</v>
      </c>
      <c r="K13" s="125" t="s">
        <v>396</v>
      </c>
      <c r="L13" s="155">
        <v>0.88831818780455685</v>
      </c>
      <c r="M13" s="29">
        <v>1</v>
      </c>
      <c r="N13" s="1">
        <v>1.5639895531526171</v>
      </c>
      <c r="O13" s="31" t="s">
        <v>1266</v>
      </c>
      <c r="P13" s="155">
        <v>0</v>
      </c>
      <c r="Q13" s="29">
        <v>1</v>
      </c>
      <c r="R13" s="1">
        <v>1.5639895531526171</v>
      </c>
      <c r="S13" s="31" t="s">
        <v>1266</v>
      </c>
      <c r="T13" s="155">
        <v>0</v>
      </c>
      <c r="U13" s="29">
        <v>1</v>
      </c>
      <c r="V13" s="1">
        <v>1.5639895531526171</v>
      </c>
      <c r="W13" s="31" t="s">
        <v>1266</v>
      </c>
      <c r="X13" s="155">
        <v>0</v>
      </c>
      <c r="Y13" s="29">
        <v>1</v>
      </c>
      <c r="Z13" s="1">
        <v>1.5639895531526171</v>
      </c>
      <c r="AA13" s="31" t="s">
        <v>1266</v>
      </c>
      <c r="AB13" s="155">
        <v>0</v>
      </c>
      <c r="AC13" s="29">
        <v>1</v>
      </c>
      <c r="AD13" s="1">
        <v>1.5639895531526171</v>
      </c>
      <c r="AE13" s="31" t="s">
        <v>1266</v>
      </c>
      <c r="AF13" s="155">
        <v>0</v>
      </c>
      <c r="AG13" s="29">
        <v>1</v>
      </c>
      <c r="AH13" s="1">
        <v>1.5639895531526171</v>
      </c>
      <c r="AI13" s="31" t="s">
        <v>1266</v>
      </c>
      <c r="AJ13" s="484"/>
    </row>
    <row r="14" spans="1:36" ht="12.75">
      <c r="A14" s="2">
        <v>1619</v>
      </c>
      <c r="B14" s="37"/>
      <c r="C14" s="151" t="s">
        <v>525</v>
      </c>
      <c r="D14" s="152" t="s">
        <v>526</v>
      </c>
      <c r="E14" s="153" t="s">
        <v>402</v>
      </c>
      <c r="F14" s="144" t="s">
        <v>1119</v>
      </c>
      <c r="G14" s="125" t="s">
        <v>521</v>
      </c>
      <c r="H14" s="154" t="s">
        <v>402</v>
      </c>
      <c r="I14" s="123" t="s">
        <v>402</v>
      </c>
      <c r="J14" s="124">
        <v>0</v>
      </c>
      <c r="K14" s="125" t="s">
        <v>396</v>
      </c>
      <c r="L14" s="155">
        <v>0</v>
      </c>
      <c r="M14" s="29">
        <v>1</v>
      </c>
      <c r="N14" s="1">
        <v>1.5639895531526171</v>
      </c>
      <c r="O14" s="31" t="s">
        <v>1266</v>
      </c>
      <c r="P14" s="155">
        <v>0.88831818780455685</v>
      </c>
      <c r="Q14" s="29">
        <v>1</v>
      </c>
      <c r="R14" s="1">
        <v>1.5639895531526171</v>
      </c>
      <c r="S14" s="31" t="s">
        <v>1266</v>
      </c>
      <c r="T14" s="155">
        <v>0</v>
      </c>
      <c r="U14" s="29">
        <v>1</v>
      </c>
      <c r="V14" s="1">
        <v>1.5639895531526171</v>
      </c>
      <c r="W14" s="31" t="s">
        <v>1266</v>
      </c>
      <c r="X14" s="155">
        <v>0</v>
      </c>
      <c r="Y14" s="29">
        <v>1</v>
      </c>
      <c r="Z14" s="1">
        <v>1.5639895531526171</v>
      </c>
      <c r="AA14" s="31" t="s">
        <v>1266</v>
      </c>
      <c r="AB14" s="155">
        <v>0</v>
      </c>
      <c r="AC14" s="29">
        <v>1</v>
      </c>
      <c r="AD14" s="1">
        <v>1.5639895531526171</v>
      </c>
      <c r="AE14" s="31" t="s">
        <v>1266</v>
      </c>
      <c r="AF14" s="155">
        <v>0</v>
      </c>
      <c r="AG14" s="29">
        <v>1</v>
      </c>
      <c r="AH14" s="1">
        <v>1.5639895531526171</v>
      </c>
      <c r="AI14" s="31" t="s">
        <v>1266</v>
      </c>
      <c r="AJ14" s="484"/>
    </row>
    <row r="15" spans="1:36" ht="12.75">
      <c r="A15" s="637" t="s">
        <v>758</v>
      </c>
      <c r="B15" s="37"/>
      <c r="C15" s="151" t="s">
        <v>525</v>
      </c>
      <c r="D15" s="152" t="s">
        <v>526</v>
      </c>
      <c r="E15" s="153" t="s">
        <v>402</v>
      </c>
      <c r="F15" s="144" t="s">
        <v>1120</v>
      </c>
      <c r="G15" s="125" t="s">
        <v>1105</v>
      </c>
      <c r="H15" s="154" t="s">
        <v>402</v>
      </c>
      <c r="I15" s="123" t="s">
        <v>402</v>
      </c>
      <c r="J15" s="124">
        <v>0</v>
      </c>
      <c r="K15" s="125" t="s">
        <v>396</v>
      </c>
      <c r="L15" s="155">
        <v>0.11168181219544311</v>
      </c>
      <c r="M15" s="29">
        <v>1</v>
      </c>
      <c r="N15" s="1">
        <v>1.5639895531526171</v>
      </c>
      <c r="O15" s="31" t="s">
        <v>1267</v>
      </c>
      <c r="P15" s="155">
        <v>0</v>
      </c>
      <c r="Q15" s="29">
        <v>1</v>
      </c>
      <c r="R15" s="1">
        <v>1.5639895531526171</v>
      </c>
      <c r="S15" s="31" t="s">
        <v>1267</v>
      </c>
      <c r="T15" s="155">
        <v>0.66228893058161353</v>
      </c>
      <c r="U15" s="29">
        <v>1</v>
      </c>
      <c r="V15" s="1">
        <v>1.5639895531526171</v>
      </c>
      <c r="W15" s="31" t="s">
        <v>1267</v>
      </c>
      <c r="X15" s="155">
        <v>0</v>
      </c>
      <c r="Y15" s="29">
        <v>1</v>
      </c>
      <c r="Z15" s="1">
        <v>1.5639895531526171</v>
      </c>
      <c r="AA15" s="31" t="s">
        <v>1267</v>
      </c>
      <c r="AB15" s="155">
        <v>0.26559382896661793</v>
      </c>
      <c r="AC15" s="29">
        <v>1</v>
      </c>
      <c r="AD15" s="1">
        <v>1.5639895531526171</v>
      </c>
      <c r="AE15" s="31" t="s">
        <v>1267</v>
      </c>
      <c r="AF15" s="155">
        <v>0</v>
      </c>
      <c r="AG15" s="29">
        <v>1</v>
      </c>
      <c r="AH15" s="1">
        <v>1.5639895531526171</v>
      </c>
      <c r="AI15" s="31" t="s">
        <v>1267</v>
      </c>
      <c r="AJ15" s="484"/>
    </row>
    <row r="16" spans="1:36" ht="12.75">
      <c r="A16" s="638" t="s">
        <v>759</v>
      </c>
      <c r="B16" s="37"/>
      <c r="C16" s="151" t="s">
        <v>525</v>
      </c>
      <c r="D16" s="152" t="s">
        <v>526</v>
      </c>
      <c r="E16" s="153" t="s">
        <v>402</v>
      </c>
      <c r="F16" s="144" t="s">
        <v>1119</v>
      </c>
      <c r="G16" s="125" t="s">
        <v>1105</v>
      </c>
      <c r="H16" s="154" t="s">
        <v>402</v>
      </c>
      <c r="I16" s="123" t="s">
        <v>402</v>
      </c>
      <c r="J16" s="124">
        <v>0</v>
      </c>
      <c r="K16" s="125" t="s">
        <v>396</v>
      </c>
      <c r="L16" s="155">
        <v>0</v>
      </c>
      <c r="M16" s="29">
        <v>1</v>
      </c>
      <c r="N16" s="1">
        <v>1.5639895531526171</v>
      </c>
      <c r="O16" s="31" t="s">
        <v>1267</v>
      </c>
      <c r="P16" s="155">
        <v>0.11168181219544311</v>
      </c>
      <c r="Q16" s="29">
        <v>1</v>
      </c>
      <c r="R16" s="1">
        <v>1.5639895531526171</v>
      </c>
      <c r="S16" s="31" t="s">
        <v>1267</v>
      </c>
      <c r="T16" s="155">
        <v>0</v>
      </c>
      <c r="U16" s="29">
        <v>1</v>
      </c>
      <c r="V16" s="1">
        <v>1.5639895531526171</v>
      </c>
      <c r="W16" s="31" t="s">
        <v>1267</v>
      </c>
      <c r="X16" s="155">
        <v>0.66228893058161353</v>
      </c>
      <c r="Y16" s="29">
        <v>1</v>
      </c>
      <c r="Z16" s="1">
        <v>1.5639895531526171</v>
      </c>
      <c r="AA16" s="31" t="s">
        <v>1267</v>
      </c>
      <c r="AB16" s="155">
        <v>0</v>
      </c>
      <c r="AC16" s="29">
        <v>1</v>
      </c>
      <c r="AD16" s="1">
        <v>1.5639895531526171</v>
      </c>
      <c r="AE16" s="31" t="s">
        <v>1267</v>
      </c>
      <c r="AF16" s="155">
        <v>0.26559382896661793</v>
      </c>
      <c r="AG16" s="29">
        <v>1</v>
      </c>
      <c r="AH16" s="1">
        <v>1.5639895531526171</v>
      </c>
      <c r="AI16" s="31" t="s">
        <v>1267</v>
      </c>
      <c r="AJ16" s="484"/>
    </row>
    <row r="17" spans="1:36" ht="12.75">
      <c r="A17" s="637" t="s">
        <v>881</v>
      </c>
      <c r="B17" s="37"/>
      <c r="C17" s="151" t="s">
        <v>525</v>
      </c>
      <c r="D17" s="152" t="s">
        <v>526</v>
      </c>
      <c r="E17" s="153" t="s">
        <v>402</v>
      </c>
      <c r="F17" s="144" t="s">
        <v>1120</v>
      </c>
      <c r="G17" s="125" t="s">
        <v>465</v>
      </c>
      <c r="H17" s="154" t="s">
        <v>402</v>
      </c>
      <c r="I17" s="123" t="s">
        <v>402</v>
      </c>
      <c r="J17" s="124">
        <v>0</v>
      </c>
      <c r="K17" s="125" t="s">
        <v>396</v>
      </c>
      <c r="L17" s="155">
        <v>0</v>
      </c>
      <c r="M17" s="29">
        <v>1</v>
      </c>
      <c r="N17" s="1">
        <v>1.5639895531526171</v>
      </c>
      <c r="O17" s="31" t="s">
        <v>1268</v>
      </c>
      <c r="P17" s="155">
        <v>0</v>
      </c>
      <c r="Q17" s="29">
        <v>1</v>
      </c>
      <c r="R17" s="1">
        <v>1.5639895531526171</v>
      </c>
      <c r="S17" s="31" t="s">
        <v>1268</v>
      </c>
      <c r="T17" s="155">
        <v>0.33771106941838647</v>
      </c>
      <c r="U17" s="29">
        <v>1</v>
      </c>
      <c r="V17" s="1">
        <v>1.5639895531526171</v>
      </c>
      <c r="W17" s="31" t="s">
        <v>1268</v>
      </c>
      <c r="X17" s="155">
        <v>0</v>
      </c>
      <c r="Y17" s="29">
        <v>1</v>
      </c>
      <c r="Z17" s="1">
        <v>1.5639895531526171</v>
      </c>
      <c r="AA17" s="31" t="s">
        <v>1268</v>
      </c>
      <c r="AB17" s="155">
        <v>0</v>
      </c>
      <c r="AC17" s="29">
        <v>1</v>
      </c>
      <c r="AD17" s="1">
        <v>1.5639895531526171</v>
      </c>
      <c r="AE17" s="31" t="s">
        <v>1268</v>
      </c>
      <c r="AF17" s="155">
        <v>0</v>
      </c>
      <c r="AG17" s="29">
        <v>1</v>
      </c>
      <c r="AH17" s="1">
        <v>1.5639895531526171</v>
      </c>
      <c r="AI17" s="31" t="s">
        <v>1268</v>
      </c>
      <c r="AJ17" s="484"/>
    </row>
    <row r="18" spans="1:36" ht="12.75">
      <c r="A18" s="638" t="s">
        <v>882</v>
      </c>
      <c r="B18" s="37"/>
      <c r="C18" s="151" t="s">
        <v>525</v>
      </c>
      <c r="D18" s="152" t="s">
        <v>526</v>
      </c>
      <c r="E18" s="153" t="s">
        <v>402</v>
      </c>
      <c r="F18" s="144" t="s">
        <v>1119</v>
      </c>
      <c r="G18" s="125" t="s">
        <v>465</v>
      </c>
      <c r="H18" s="154" t="s">
        <v>402</v>
      </c>
      <c r="I18" s="123" t="s">
        <v>402</v>
      </c>
      <c r="J18" s="124">
        <v>0</v>
      </c>
      <c r="K18" s="125" t="s">
        <v>396</v>
      </c>
      <c r="L18" s="155">
        <v>0</v>
      </c>
      <c r="M18" s="29">
        <v>1</v>
      </c>
      <c r="N18" s="1">
        <v>1.5639895531526171</v>
      </c>
      <c r="O18" s="31" t="s">
        <v>1268</v>
      </c>
      <c r="P18" s="586">
        <v>0</v>
      </c>
      <c r="Q18" s="29">
        <v>1</v>
      </c>
      <c r="R18" s="1">
        <v>1.5639895531526171</v>
      </c>
      <c r="S18" s="31" t="s">
        <v>1268</v>
      </c>
      <c r="T18" s="155">
        <v>0</v>
      </c>
      <c r="U18" s="29">
        <v>1</v>
      </c>
      <c r="V18" s="1">
        <v>1.5639895531526171</v>
      </c>
      <c r="W18" s="31" t="s">
        <v>1268</v>
      </c>
      <c r="X18" s="155">
        <v>0.33771106941838647</v>
      </c>
      <c r="Y18" s="29">
        <v>1</v>
      </c>
      <c r="Z18" s="1">
        <v>1.5639895531526171</v>
      </c>
      <c r="AA18" s="31" t="s">
        <v>1268</v>
      </c>
      <c r="AB18" s="155">
        <v>0</v>
      </c>
      <c r="AC18" s="29">
        <v>1</v>
      </c>
      <c r="AD18" s="1">
        <v>1.5639895531526171</v>
      </c>
      <c r="AE18" s="31" t="s">
        <v>1268</v>
      </c>
      <c r="AF18" s="155">
        <v>0</v>
      </c>
      <c r="AG18" s="29">
        <v>1</v>
      </c>
      <c r="AH18" s="1">
        <v>1.5639895531526171</v>
      </c>
      <c r="AI18" s="31" t="s">
        <v>1268</v>
      </c>
      <c r="AJ18" s="484"/>
    </row>
    <row r="19" spans="1:36" ht="12.75">
      <c r="A19" s="639" t="s">
        <v>883</v>
      </c>
      <c r="B19" s="37"/>
      <c r="C19" s="151" t="s">
        <v>525</v>
      </c>
      <c r="D19" s="152" t="s">
        <v>526</v>
      </c>
      <c r="E19" s="153" t="s">
        <v>402</v>
      </c>
      <c r="F19" s="144" t="s">
        <v>1120</v>
      </c>
      <c r="G19" s="125" t="s">
        <v>956</v>
      </c>
      <c r="H19" s="154" t="s">
        <v>402</v>
      </c>
      <c r="I19" s="123" t="s">
        <v>402</v>
      </c>
      <c r="J19" s="124">
        <v>0</v>
      </c>
      <c r="K19" s="125" t="s">
        <v>396</v>
      </c>
      <c r="L19" s="155">
        <v>0</v>
      </c>
      <c r="M19" s="29">
        <v>1</v>
      </c>
      <c r="N19" s="1">
        <v>1.5639895531526171</v>
      </c>
      <c r="O19" s="31" t="s">
        <v>1269</v>
      </c>
      <c r="P19" s="155">
        <v>0</v>
      </c>
      <c r="Q19" s="29">
        <v>1</v>
      </c>
      <c r="R19" s="1">
        <v>1.5639895531526171</v>
      </c>
      <c r="S19" s="31" t="s">
        <v>1269</v>
      </c>
      <c r="T19" s="155">
        <v>0</v>
      </c>
      <c r="U19" s="29">
        <v>1</v>
      </c>
      <c r="V19" s="1">
        <v>1.5639895531526171</v>
      </c>
      <c r="W19" s="31" t="s">
        <v>1269</v>
      </c>
      <c r="X19" s="155">
        <v>0</v>
      </c>
      <c r="Y19" s="29">
        <v>1</v>
      </c>
      <c r="Z19" s="1">
        <v>1.5639895531526171</v>
      </c>
      <c r="AA19" s="31" t="s">
        <v>1269</v>
      </c>
      <c r="AB19" s="155">
        <v>0.73440617103338213</v>
      </c>
      <c r="AC19" s="29">
        <v>1</v>
      </c>
      <c r="AD19" s="1">
        <v>1.5639895531526171</v>
      </c>
      <c r="AE19" s="31" t="s">
        <v>1269</v>
      </c>
      <c r="AF19" s="155">
        <v>0</v>
      </c>
      <c r="AG19" s="29">
        <v>1</v>
      </c>
      <c r="AH19" s="1">
        <v>1.5639895531526171</v>
      </c>
      <c r="AI19" s="31" t="s">
        <v>1269</v>
      </c>
      <c r="AJ19" s="484"/>
    </row>
    <row r="20" spans="1:36" ht="12.75">
      <c r="A20" s="639" t="s">
        <v>884</v>
      </c>
      <c r="B20" s="37"/>
      <c r="C20" s="151" t="s">
        <v>525</v>
      </c>
      <c r="D20" s="152" t="s">
        <v>526</v>
      </c>
      <c r="E20" s="153" t="s">
        <v>402</v>
      </c>
      <c r="F20" s="144" t="s">
        <v>1119</v>
      </c>
      <c r="G20" s="125" t="s">
        <v>956</v>
      </c>
      <c r="H20" s="154" t="s">
        <v>402</v>
      </c>
      <c r="I20" s="123" t="s">
        <v>402</v>
      </c>
      <c r="J20" s="124">
        <v>0</v>
      </c>
      <c r="K20" s="125" t="s">
        <v>396</v>
      </c>
      <c r="L20" s="155">
        <v>0</v>
      </c>
      <c r="M20" s="29">
        <v>1</v>
      </c>
      <c r="N20" s="1">
        <v>1.5639895531526171</v>
      </c>
      <c r="O20" s="31" t="s">
        <v>1269</v>
      </c>
      <c r="P20" s="155">
        <v>0</v>
      </c>
      <c r="Q20" s="29">
        <v>1</v>
      </c>
      <c r="R20" s="1">
        <v>1.5639895531526171</v>
      </c>
      <c r="S20" s="31" t="s">
        <v>1269</v>
      </c>
      <c r="T20" s="155">
        <v>0</v>
      </c>
      <c r="U20" s="29">
        <v>1</v>
      </c>
      <c r="V20" s="1">
        <v>1.5639895531526171</v>
      </c>
      <c r="W20" s="31" t="s">
        <v>1269</v>
      </c>
      <c r="X20" s="155">
        <v>0</v>
      </c>
      <c r="Y20" s="29">
        <v>1</v>
      </c>
      <c r="Z20" s="1">
        <v>1.5639895531526171</v>
      </c>
      <c r="AA20" s="31" t="s">
        <v>1269</v>
      </c>
      <c r="AB20" s="155">
        <v>0</v>
      </c>
      <c r="AC20" s="29">
        <v>1</v>
      </c>
      <c r="AD20" s="1">
        <v>1.5639895531526171</v>
      </c>
      <c r="AE20" s="31" t="s">
        <v>1269</v>
      </c>
      <c r="AF20" s="155">
        <v>0.73440617103338213</v>
      </c>
      <c r="AG20" s="29">
        <v>1</v>
      </c>
      <c r="AH20" s="1">
        <v>1.5639895531526171</v>
      </c>
      <c r="AI20" s="31" t="s">
        <v>1269</v>
      </c>
      <c r="AJ20" s="484"/>
    </row>
    <row r="21" spans="1:36" ht="39.75" customHeight="1">
      <c r="A21" s="2">
        <v>1824</v>
      </c>
      <c r="B21" s="37" t="s">
        <v>152</v>
      </c>
      <c r="C21" s="151" t="s">
        <v>525</v>
      </c>
      <c r="D21" s="152" t="s">
        <v>526</v>
      </c>
      <c r="E21" s="153" t="s">
        <v>402</v>
      </c>
      <c r="F21" s="144" t="s">
        <v>85</v>
      </c>
      <c r="G21" s="125" t="s">
        <v>86</v>
      </c>
      <c r="H21" s="154" t="s">
        <v>402</v>
      </c>
      <c r="I21" s="123" t="s">
        <v>402</v>
      </c>
      <c r="J21" s="124">
        <v>0</v>
      </c>
      <c r="K21" s="125" t="s">
        <v>397</v>
      </c>
      <c r="L21" s="415">
        <v>1.0405722197097322</v>
      </c>
      <c r="M21" s="29">
        <v>1</v>
      </c>
      <c r="N21" s="1">
        <v>2.0949941301068096</v>
      </c>
      <c r="O21" s="31" t="s">
        <v>1070</v>
      </c>
      <c r="P21" s="415">
        <v>1.0405722197097322</v>
      </c>
      <c r="Q21" s="29">
        <v>1</v>
      </c>
      <c r="R21" s="1">
        <v>2.0949941301068096</v>
      </c>
      <c r="S21" s="31" t="s">
        <v>1070</v>
      </c>
      <c r="T21" s="415">
        <v>6.4056582875647292</v>
      </c>
      <c r="U21" s="29">
        <v>1</v>
      </c>
      <c r="V21" s="1">
        <v>2.0949941301068096</v>
      </c>
      <c r="W21" s="31" t="s">
        <v>1070</v>
      </c>
      <c r="X21" s="415">
        <v>6.4056582875647292</v>
      </c>
      <c r="Y21" s="29">
        <v>1</v>
      </c>
      <c r="Z21" s="1">
        <v>2.0949941301068096</v>
      </c>
      <c r="AA21" s="31" t="s">
        <v>1070</v>
      </c>
      <c r="AB21" s="415">
        <v>0.56730953416677754</v>
      </c>
      <c r="AC21" s="29">
        <v>1</v>
      </c>
      <c r="AD21" s="1">
        <v>2.0949941301068096</v>
      </c>
      <c r="AE21" s="31" t="s">
        <v>1070</v>
      </c>
      <c r="AF21" s="415">
        <v>0.56730953416677754</v>
      </c>
      <c r="AG21" s="29">
        <v>1</v>
      </c>
      <c r="AH21" s="1">
        <v>2.0949941301068096</v>
      </c>
      <c r="AI21" s="31" t="s">
        <v>1070</v>
      </c>
      <c r="AJ21" s="484"/>
    </row>
    <row r="22" spans="1:36" ht="12.75">
      <c r="A22" s="157">
        <v>1841</v>
      </c>
      <c r="B22" s="37"/>
      <c r="C22" s="151" t="s">
        <v>525</v>
      </c>
      <c r="D22" s="152" t="s">
        <v>526</v>
      </c>
      <c r="E22" s="153" t="s">
        <v>402</v>
      </c>
      <c r="F22" s="144" t="s">
        <v>62</v>
      </c>
      <c r="G22" s="125" t="s">
        <v>521</v>
      </c>
      <c r="H22" s="154" t="s">
        <v>402</v>
      </c>
      <c r="I22" s="123" t="s">
        <v>402</v>
      </c>
      <c r="J22" s="124">
        <v>0</v>
      </c>
      <c r="K22" s="125" t="s">
        <v>397</v>
      </c>
      <c r="L22" s="415">
        <v>9.3200000000000005E-2</v>
      </c>
      <c r="M22" s="29">
        <v>1</v>
      </c>
      <c r="N22" s="1">
        <v>2.0949941301068096</v>
      </c>
      <c r="O22" s="31" t="s">
        <v>1071</v>
      </c>
      <c r="P22" s="415">
        <v>9.3200000000000005E-2</v>
      </c>
      <c r="Q22" s="29">
        <v>1</v>
      </c>
      <c r="R22" s="1">
        <v>2.0949941301068096</v>
      </c>
      <c r="S22" s="31" t="s">
        <v>1071</v>
      </c>
      <c r="T22" s="415">
        <v>9.3200000000000005E-2</v>
      </c>
      <c r="U22" s="29">
        <v>1</v>
      </c>
      <c r="V22" s="1">
        <v>2.0949941301068096</v>
      </c>
      <c r="W22" s="31" t="s">
        <v>1071</v>
      </c>
      <c r="X22" s="415">
        <v>9.3200000000000005E-2</v>
      </c>
      <c r="Y22" s="29">
        <v>1</v>
      </c>
      <c r="Z22" s="1">
        <v>2.0949941301068096</v>
      </c>
      <c r="AA22" s="31" t="s">
        <v>1071</v>
      </c>
      <c r="AB22" s="415">
        <v>9.3200000000000005E-2</v>
      </c>
      <c r="AC22" s="29">
        <v>1</v>
      </c>
      <c r="AD22" s="1">
        <v>2.0949941301068096</v>
      </c>
      <c r="AE22" s="31" t="s">
        <v>1071</v>
      </c>
      <c r="AF22" s="415">
        <v>9.3200000000000005E-2</v>
      </c>
      <c r="AG22" s="29">
        <v>1</v>
      </c>
      <c r="AH22" s="1">
        <v>2.0949941301068096</v>
      </c>
      <c r="AI22" s="31" t="s">
        <v>1071</v>
      </c>
      <c r="AJ22" s="484"/>
    </row>
    <row r="23" spans="1:36" ht="12.75">
      <c r="A23" s="416">
        <v>2987</v>
      </c>
      <c r="B23" s="37"/>
      <c r="C23" s="151" t="s">
        <v>525</v>
      </c>
      <c r="D23" s="152" t="s">
        <v>526</v>
      </c>
      <c r="E23" s="153" t="s">
        <v>402</v>
      </c>
      <c r="F23" s="144" t="s">
        <v>59</v>
      </c>
      <c r="G23" s="125" t="s">
        <v>521</v>
      </c>
      <c r="H23" s="154" t="s">
        <v>402</v>
      </c>
      <c r="I23" s="123" t="s">
        <v>402</v>
      </c>
      <c r="J23" s="124">
        <v>0</v>
      </c>
      <c r="K23" s="125" t="s">
        <v>397</v>
      </c>
      <c r="L23" s="415">
        <v>2.3300000000000001E-2</v>
      </c>
      <c r="M23" s="29">
        <v>1</v>
      </c>
      <c r="N23" s="1">
        <v>2.0949941301068096</v>
      </c>
      <c r="O23" s="31" t="s">
        <v>60</v>
      </c>
      <c r="P23" s="415">
        <v>2.3300000000000001E-2</v>
      </c>
      <c r="Q23" s="29">
        <v>1</v>
      </c>
      <c r="R23" s="1">
        <v>2.0949941301068096</v>
      </c>
      <c r="S23" s="31" t="s">
        <v>60</v>
      </c>
      <c r="T23" s="415">
        <v>2.3300000000000001E-2</v>
      </c>
      <c r="U23" s="29">
        <v>1</v>
      </c>
      <c r="V23" s="1">
        <v>2.0949941301068096</v>
      </c>
      <c r="W23" s="31" t="s">
        <v>60</v>
      </c>
      <c r="X23" s="415">
        <v>2.3300000000000001E-2</v>
      </c>
      <c r="Y23" s="29">
        <v>1</v>
      </c>
      <c r="Z23" s="1">
        <v>2.0949941301068096</v>
      </c>
      <c r="AA23" s="31" t="s">
        <v>60</v>
      </c>
      <c r="AB23" s="415">
        <v>2.3300000000000001E-2</v>
      </c>
      <c r="AC23" s="29">
        <v>1</v>
      </c>
      <c r="AD23" s="1">
        <v>2.0949941301068096</v>
      </c>
      <c r="AE23" s="31" t="s">
        <v>60</v>
      </c>
      <c r="AF23" s="415">
        <v>2.3300000000000001E-2</v>
      </c>
      <c r="AG23" s="29">
        <v>1</v>
      </c>
      <c r="AH23" s="1">
        <v>2.0949941301068096</v>
      </c>
      <c r="AI23" s="31" t="s">
        <v>60</v>
      </c>
      <c r="AJ23" s="484"/>
    </row>
  </sheetData>
  <dataValidations count="1">
    <dataValidation allowBlank="1" showInputMessage="1" showErrorMessage="1" prompt="always 1" sqref="L7:L12 P7:P12 T7:T12 X7:X12 AB7:AB12 AF7:AF12"/>
  </dataValidations>
  <pageMargins left="0.78740157499999996" right="0.78740157499999996" top="0.984251969" bottom="0.984251969" header="0.4921259845" footer="0.4921259845"/>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0">
    <pageSetUpPr fitToPage="1"/>
  </sheetPr>
  <dimension ref="A1:AW111"/>
  <sheetViews>
    <sheetView topLeftCell="A49" zoomScale="85" zoomScaleNormal="85" workbookViewId="0">
      <selection activeCell="J46" sqref="J46"/>
    </sheetView>
  </sheetViews>
  <sheetFormatPr defaultColWidth="11.42578125" defaultRowHeight="12" outlineLevelRow="2" outlineLevelCol="1"/>
  <cols>
    <col min="1" max="1" width="10.140625" style="7" customWidth="1" outlineLevel="1"/>
    <col min="2" max="2" width="13.28515625" style="158" customWidth="1"/>
    <col min="3" max="3" width="3.7109375" style="159" hidden="1" customWidth="1" outlineLevel="1"/>
    <col min="4" max="4" width="3.140625" style="7" hidden="1" customWidth="1" outlineLevel="1"/>
    <col min="5" max="5" width="2.7109375" style="7" hidden="1" customWidth="1" outlineLevel="1"/>
    <col min="6" max="6" width="41.42578125" style="8" customWidth="1" collapsed="1"/>
    <col min="7" max="7" width="6" style="7" customWidth="1"/>
    <col min="8" max="8" width="5.7109375" style="7" hidden="1" customWidth="1" outlineLevel="1"/>
    <col min="9" max="9" width="19.42578125" style="7" hidden="1" customWidth="1" outlineLevel="1"/>
    <col min="10" max="10" width="4.140625" style="7" bestFit="1" customWidth="1" collapsed="1"/>
    <col min="11" max="11" width="5.140625" style="7" customWidth="1"/>
    <col min="12" max="12" width="11.85546875" style="7" customWidth="1"/>
    <col min="13" max="13" width="2.42578125" style="32" hidden="1" customWidth="1" outlineLevel="1"/>
    <col min="14" max="14" width="4.28515625" style="32" hidden="1" customWidth="1" outlineLevel="1"/>
    <col min="15" max="15" width="30.85546875" style="140" hidden="1" customWidth="1" outlineLevel="1"/>
    <col min="16" max="16" width="11.85546875" style="7" customWidth="1" collapsed="1"/>
    <col min="17" max="17" width="2.42578125" style="32" hidden="1" customWidth="1" outlineLevel="1"/>
    <col min="18" max="18" width="6.5703125" style="32" hidden="1" customWidth="1" outlineLevel="1"/>
    <col min="19" max="19" width="30.85546875" style="140" hidden="1" customWidth="1" outlineLevel="1"/>
    <col min="20" max="20" width="11.85546875" style="7" customWidth="1" collapsed="1"/>
    <col min="21" max="21" width="2.42578125" style="32" hidden="1" customWidth="1" outlineLevel="1"/>
    <col min="22" max="22" width="4.28515625" style="32" hidden="1" customWidth="1" outlineLevel="1"/>
    <col min="23" max="23" width="30.85546875" style="140" hidden="1" customWidth="1" outlineLevel="1"/>
    <col min="24" max="24" width="11.85546875" style="7" customWidth="1" collapsed="1"/>
    <col min="25" max="25" width="2.42578125" style="32" hidden="1" customWidth="1" outlineLevel="1"/>
    <col min="26" max="26" width="6.5703125" style="32" hidden="1" customWidth="1" outlineLevel="1"/>
    <col min="27" max="27" width="30.85546875" style="140" hidden="1" customWidth="1" outlineLevel="1"/>
    <col min="28" max="28" width="11.85546875" style="7" customWidth="1" collapsed="1"/>
    <col min="29" max="29" width="2.42578125" style="32" hidden="1" customWidth="1" outlineLevel="1"/>
    <col min="30" max="30" width="4.28515625" style="32" hidden="1" customWidth="1" outlineLevel="1"/>
    <col min="31" max="31" width="30.85546875" style="140" hidden="1" customWidth="1" outlineLevel="1"/>
    <col min="32" max="32" width="11.85546875" style="7" customWidth="1" collapsed="1"/>
    <col min="33" max="33" width="2.42578125" style="32" hidden="1" customWidth="1" outlineLevel="1"/>
    <col min="34" max="34" width="4.28515625" style="32" hidden="1" customWidth="1" outlineLevel="1"/>
    <col min="35" max="35" width="30.85546875" style="140" hidden="1" customWidth="1" outlineLevel="1"/>
    <col min="36" max="36" width="11.85546875" style="7" customWidth="1" collapsed="1"/>
    <col min="37" max="37" width="2.42578125" style="32" hidden="1" customWidth="1" outlineLevel="1"/>
    <col min="38" max="38" width="4.28515625" style="32" hidden="1" customWidth="1" outlineLevel="1"/>
    <col min="39" max="39" width="30.85546875" style="140" hidden="1" customWidth="1" outlineLevel="1"/>
    <col min="40" max="40" width="11.85546875" style="7" customWidth="1" collapsed="1"/>
    <col min="41" max="41" width="2.42578125" style="32" customWidth="1" outlineLevel="1"/>
    <col min="42" max="42" width="6.140625" style="32" customWidth="1" outlineLevel="1"/>
    <col min="43" max="43" width="45" style="33" customWidth="1" outlineLevel="1"/>
    <col min="44" max="44" width="10.7109375" style="211" customWidth="1"/>
    <col min="45" max="45" width="12.140625" style="7" customWidth="1"/>
    <col min="46" max="46" width="2.42578125" style="32" hidden="1" customWidth="1" outlineLevel="1"/>
    <col min="47" max="47" width="7.140625" style="32" hidden="1" customWidth="1" outlineLevel="1"/>
    <col min="48" max="48" width="45" style="33" hidden="1" customWidth="1" outlineLevel="1"/>
    <col min="49" max="49" width="10.7109375" style="211" customWidth="1" collapsed="1"/>
    <col min="50" max="16384" width="11.42578125" style="7"/>
  </cols>
  <sheetData>
    <row r="1" spans="1:49">
      <c r="A1" s="36"/>
      <c r="B1" s="34"/>
      <c r="C1" s="35"/>
      <c r="D1" s="36"/>
      <c r="E1" s="36"/>
      <c r="F1" s="37" t="s">
        <v>510</v>
      </c>
      <c r="G1" s="36"/>
      <c r="H1" s="36"/>
      <c r="I1" s="36"/>
      <c r="J1" s="36"/>
      <c r="K1" s="36"/>
      <c r="L1" s="146" t="s">
        <v>761</v>
      </c>
      <c r="M1" s="22"/>
      <c r="N1" s="22"/>
      <c r="O1" s="22"/>
      <c r="P1" s="146" t="s">
        <v>760</v>
      </c>
      <c r="Q1" s="22"/>
      <c r="R1" s="22"/>
      <c r="S1" s="22"/>
      <c r="T1" s="615" t="s">
        <v>886</v>
      </c>
      <c r="U1" s="22"/>
      <c r="V1" s="22"/>
      <c r="W1" s="22"/>
      <c r="X1" s="615" t="s">
        <v>885</v>
      </c>
      <c r="Y1" s="22"/>
      <c r="Z1" s="22"/>
      <c r="AA1" s="22"/>
      <c r="AB1" s="615" t="s">
        <v>888</v>
      </c>
      <c r="AC1" s="22"/>
      <c r="AD1" s="22"/>
      <c r="AE1" s="22"/>
      <c r="AF1" s="615" t="s">
        <v>887</v>
      </c>
      <c r="AG1" s="22"/>
      <c r="AH1" s="22"/>
      <c r="AI1" s="22"/>
      <c r="AJ1" s="146">
        <v>1618</v>
      </c>
      <c r="AK1" s="22"/>
      <c r="AL1" s="22"/>
      <c r="AM1" s="22"/>
      <c r="AN1" s="122">
        <v>1625</v>
      </c>
      <c r="AO1" s="22"/>
      <c r="AP1" s="22"/>
      <c r="AQ1" s="22"/>
      <c r="AR1" s="261"/>
      <c r="AS1" s="146">
        <v>32064</v>
      </c>
      <c r="AT1" s="22"/>
      <c r="AU1" s="22"/>
      <c r="AV1" s="22"/>
      <c r="AW1" s="261"/>
    </row>
    <row r="2" spans="1:49" ht="24.75" customHeight="1">
      <c r="A2" s="36"/>
      <c r="B2" s="147"/>
      <c r="C2" s="35" t="s">
        <v>511</v>
      </c>
      <c r="D2" s="147">
        <v>3503</v>
      </c>
      <c r="E2" s="147">
        <v>3504</v>
      </c>
      <c r="F2" s="147">
        <v>3702</v>
      </c>
      <c r="G2" s="147">
        <v>3703</v>
      </c>
      <c r="H2" s="147">
        <v>3506</v>
      </c>
      <c r="I2" s="147">
        <v>3507</v>
      </c>
      <c r="J2" s="147">
        <v>3508</v>
      </c>
      <c r="K2" s="147">
        <v>3706</v>
      </c>
      <c r="L2" s="147">
        <v>3707</v>
      </c>
      <c r="M2" s="23">
        <v>3708</v>
      </c>
      <c r="N2" s="23">
        <v>3709</v>
      </c>
      <c r="O2" s="134">
        <v>3792</v>
      </c>
      <c r="P2" s="147">
        <v>3707</v>
      </c>
      <c r="Q2" s="23">
        <v>3708</v>
      </c>
      <c r="R2" s="23">
        <v>3709</v>
      </c>
      <c r="S2" s="134">
        <v>3792</v>
      </c>
      <c r="T2" s="147">
        <v>3707</v>
      </c>
      <c r="U2" s="23">
        <v>3708</v>
      </c>
      <c r="V2" s="23">
        <v>3709</v>
      </c>
      <c r="W2" s="134">
        <v>3792</v>
      </c>
      <c r="X2" s="147">
        <v>3707</v>
      </c>
      <c r="Y2" s="23">
        <v>3708</v>
      </c>
      <c r="Z2" s="23">
        <v>3709</v>
      </c>
      <c r="AA2" s="134">
        <v>3792</v>
      </c>
      <c r="AB2" s="147">
        <v>3707</v>
      </c>
      <c r="AC2" s="23">
        <v>3708</v>
      </c>
      <c r="AD2" s="23">
        <v>3709</v>
      </c>
      <c r="AE2" s="134">
        <v>3792</v>
      </c>
      <c r="AF2" s="147">
        <v>3707</v>
      </c>
      <c r="AG2" s="23">
        <v>3708</v>
      </c>
      <c r="AH2" s="23">
        <v>3709</v>
      </c>
      <c r="AI2" s="134">
        <v>3792</v>
      </c>
      <c r="AJ2" s="147">
        <v>3707</v>
      </c>
      <c r="AK2" s="23">
        <v>3708</v>
      </c>
      <c r="AL2" s="23">
        <v>3709</v>
      </c>
      <c r="AM2" s="134">
        <v>3792</v>
      </c>
      <c r="AN2" s="147">
        <v>3707</v>
      </c>
      <c r="AO2" s="23">
        <v>3708</v>
      </c>
      <c r="AP2" s="23">
        <v>3709</v>
      </c>
      <c r="AQ2" s="24">
        <v>3792</v>
      </c>
      <c r="AR2" s="262"/>
      <c r="AS2" s="147">
        <v>3707</v>
      </c>
      <c r="AT2" s="23">
        <v>3708</v>
      </c>
      <c r="AU2" s="23">
        <v>3709</v>
      </c>
      <c r="AV2" s="24">
        <v>3792</v>
      </c>
      <c r="AW2" s="262"/>
    </row>
    <row r="3" spans="1:49" ht="79.5" customHeight="1">
      <c r="A3" s="36" t="s">
        <v>398</v>
      </c>
      <c r="B3" s="166"/>
      <c r="C3" s="35">
        <v>401</v>
      </c>
      <c r="D3" s="167" t="s">
        <v>514</v>
      </c>
      <c r="E3" s="167" t="s">
        <v>515</v>
      </c>
      <c r="F3" s="132" t="s">
        <v>516</v>
      </c>
      <c r="G3" s="41" t="s">
        <v>517</v>
      </c>
      <c r="H3" s="41" t="s">
        <v>518</v>
      </c>
      <c r="I3" s="41" t="s">
        <v>519</v>
      </c>
      <c r="J3" s="41" t="s">
        <v>520</v>
      </c>
      <c r="K3" s="41" t="s">
        <v>394</v>
      </c>
      <c r="L3" s="178" t="s">
        <v>1121</v>
      </c>
      <c r="M3" s="25" t="s">
        <v>265</v>
      </c>
      <c r="N3" s="25" t="s">
        <v>266</v>
      </c>
      <c r="O3" s="136" t="s">
        <v>548</v>
      </c>
      <c r="P3" s="178" t="s">
        <v>1122</v>
      </c>
      <c r="Q3" s="25" t="s">
        <v>265</v>
      </c>
      <c r="R3" s="25" t="s">
        <v>266</v>
      </c>
      <c r="S3" s="136" t="s">
        <v>548</v>
      </c>
      <c r="T3" s="178" t="s">
        <v>1121</v>
      </c>
      <c r="U3" s="25" t="s">
        <v>203</v>
      </c>
      <c r="V3" s="25" t="s">
        <v>378</v>
      </c>
      <c r="W3" s="136" t="s">
        <v>155</v>
      </c>
      <c r="X3" s="178" t="s">
        <v>1122</v>
      </c>
      <c r="Y3" s="25" t="s">
        <v>265</v>
      </c>
      <c r="Z3" s="25" t="s">
        <v>266</v>
      </c>
      <c r="AA3" s="136" t="s">
        <v>548</v>
      </c>
      <c r="AB3" s="178" t="s">
        <v>1121</v>
      </c>
      <c r="AC3" s="25" t="s">
        <v>740</v>
      </c>
      <c r="AD3" s="25" t="s">
        <v>204</v>
      </c>
      <c r="AE3" s="136" t="s">
        <v>741</v>
      </c>
      <c r="AF3" s="178" t="s">
        <v>1122</v>
      </c>
      <c r="AG3" s="25" t="s">
        <v>435</v>
      </c>
      <c r="AH3" s="25" t="s">
        <v>155</v>
      </c>
      <c r="AI3" s="136" t="s">
        <v>155</v>
      </c>
      <c r="AJ3" s="178" t="s">
        <v>1121</v>
      </c>
      <c r="AK3" s="25" t="s">
        <v>265</v>
      </c>
      <c r="AL3" s="25" t="s">
        <v>266</v>
      </c>
      <c r="AM3" s="136" t="s">
        <v>548</v>
      </c>
      <c r="AN3" s="178" t="s">
        <v>1122</v>
      </c>
      <c r="AO3" s="25" t="s">
        <v>265</v>
      </c>
      <c r="AP3" s="25" t="s">
        <v>266</v>
      </c>
      <c r="AQ3" s="128" t="s">
        <v>548</v>
      </c>
      <c r="AR3" s="713" t="s">
        <v>336</v>
      </c>
      <c r="AS3" s="178" t="s">
        <v>1270</v>
      </c>
      <c r="AT3" s="25" t="s">
        <v>265</v>
      </c>
      <c r="AU3" s="25" t="s">
        <v>266</v>
      </c>
      <c r="AV3" s="128" t="s">
        <v>548</v>
      </c>
      <c r="AW3" s="713" t="s">
        <v>336</v>
      </c>
    </row>
    <row r="4" spans="1:49" ht="12" customHeight="1">
      <c r="A4" s="36"/>
      <c r="B4" s="166"/>
      <c r="C4" s="35">
        <v>662</v>
      </c>
      <c r="D4" s="9"/>
      <c r="E4" s="9"/>
      <c r="F4" s="132" t="s">
        <v>517</v>
      </c>
      <c r="G4" s="132"/>
      <c r="H4" s="132"/>
      <c r="I4" s="132"/>
      <c r="J4" s="132"/>
      <c r="K4" s="132"/>
      <c r="L4" s="178" t="s">
        <v>1105</v>
      </c>
      <c r="M4" s="129">
        <v>0</v>
      </c>
      <c r="N4" s="129">
        <v>0</v>
      </c>
      <c r="O4" s="138">
        <v>0</v>
      </c>
      <c r="P4" s="178" t="s">
        <v>1105</v>
      </c>
      <c r="Q4" s="129">
        <v>0</v>
      </c>
      <c r="R4" s="129">
        <v>0</v>
      </c>
      <c r="S4" s="138">
        <v>0</v>
      </c>
      <c r="T4" s="178" t="s">
        <v>465</v>
      </c>
      <c r="U4" s="129" t="s">
        <v>521</v>
      </c>
      <c r="V4" s="129" t="s">
        <v>521</v>
      </c>
      <c r="W4" s="138" t="s">
        <v>210</v>
      </c>
      <c r="X4" s="178" t="s">
        <v>465</v>
      </c>
      <c r="Y4" s="129">
        <v>0</v>
      </c>
      <c r="Z4" s="129">
        <v>0</v>
      </c>
      <c r="AA4" s="138">
        <v>0</v>
      </c>
      <c r="AB4" s="178" t="s">
        <v>956</v>
      </c>
      <c r="AC4" s="129" t="s">
        <v>521</v>
      </c>
      <c r="AD4" s="129" t="s">
        <v>521</v>
      </c>
      <c r="AE4" s="138" t="s">
        <v>521</v>
      </c>
      <c r="AF4" s="178" t="s">
        <v>956</v>
      </c>
      <c r="AG4" s="129">
        <v>0</v>
      </c>
      <c r="AH4" s="129" t="s">
        <v>51</v>
      </c>
      <c r="AI4" s="138" t="s">
        <v>210</v>
      </c>
      <c r="AJ4" s="178" t="s">
        <v>521</v>
      </c>
      <c r="AK4" s="129">
        <v>0</v>
      </c>
      <c r="AL4" s="129">
        <v>0</v>
      </c>
      <c r="AM4" s="138">
        <v>0</v>
      </c>
      <c r="AN4" s="178" t="s">
        <v>521</v>
      </c>
      <c r="AO4" s="129"/>
      <c r="AP4" s="129"/>
      <c r="AQ4" s="130">
        <v>0</v>
      </c>
      <c r="AR4" s="714"/>
      <c r="AS4" s="178" t="s">
        <v>521</v>
      </c>
      <c r="AT4" s="129"/>
      <c r="AU4" s="129"/>
      <c r="AV4" s="130"/>
      <c r="AW4" s="714"/>
    </row>
    <row r="5" spans="1:49">
      <c r="A5" s="36"/>
      <c r="B5" s="166"/>
      <c r="C5" s="35">
        <v>493</v>
      </c>
      <c r="D5" s="9"/>
      <c r="E5" s="9"/>
      <c r="F5" s="132" t="s">
        <v>520</v>
      </c>
      <c r="G5" s="132"/>
      <c r="H5" s="132"/>
      <c r="I5" s="132"/>
      <c r="J5" s="132"/>
      <c r="K5" s="132"/>
      <c r="L5" s="178">
        <v>0</v>
      </c>
      <c r="M5" s="129">
        <v>0</v>
      </c>
      <c r="N5" s="129">
        <v>0</v>
      </c>
      <c r="O5" s="138">
        <v>0</v>
      </c>
      <c r="P5" s="178">
        <v>0</v>
      </c>
      <c r="Q5" s="129">
        <v>0</v>
      </c>
      <c r="R5" s="129">
        <v>0</v>
      </c>
      <c r="S5" s="138">
        <v>0</v>
      </c>
      <c r="T5" s="178">
        <v>0</v>
      </c>
      <c r="U5" s="129">
        <v>0</v>
      </c>
      <c r="V5" s="129">
        <v>0</v>
      </c>
      <c r="W5" s="138">
        <v>0</v>
      </c>
      <c r="X5" s="178">
        <v>0</v>
      </c>
      <c r="Y5" s="129">
        <v>0</v>
      </c>
      <c r="Z5" s="129">
        <v>0</v>
      </c>
      <c r="AA5" s="138">
        <v>0</v>
      </c>
      <c r="AB5" s="178">
        <v>0</v>
      </c>
      <c r="AC5" s="129">
        <v>0</v>
      </c>
      <c r="AD5" s="129">
        <v>0</v>
      </c>
      <c r="AE5" s="138">
        <v>0</v>
      </c>
      <c r="AF5" s="178">
        <v>0</v>
      </c>
      <c r="AG5" s="129">
        <v>0</v>
      </c>
      <c r="AH5" s="129">
        <v>0</v>
      </c>
      <c r="AI5" s="138">
        <v>0</v>
      </c>
      <c r="AJ5" s="178">
        <v>0</v>
      </c>
      <c r="AK5" s="129">
        <v>0</v>
      </c>
      <c r="AL5" s="129">
        <v>0</v>
      </c>
      <c r="AM5" s="138">
        <v>0</v>
      </c>
      <c r="AN5" s="178">
        <v>0</v>
      </c>
      <c r="AO5" s="129"/>
      <c r="AP5" s="129"/>
      <c r="AQ5" s="130">
        <v>0</v>
      </c>
      <c r="AR5" s="714"/>
      <c r="AS5" s="178">
        <v>0</v>
      </c>
      <c r="AT5" s="129"/>
      <c r="AU5" s="129"/>
      <c r="AV5" s="130"/>
      <c r="AW5" s="714"/>
    </row>
    <row r="6" spans="1:49" ht="12.75" customHeight="1">
      <c r="A6" s="36"/>
      <c r="B6" s="166"/>
      <c r="C6" s="35">
        <v>403</v>
      </c>
      <c r="D6" s="9"/>
      <c r="E6" s="9"/>
      <c r="F6" s="132" t="s">
        <v>394</v>
      </c>
      <c r="G6" s="352"/>
      <c r="H6" s="132"/>
      <c r="I6" s="132"/>
      <c r="J6" s="132"/>
      <c r="K6" s="132"/>
      <c r="L6" s="178" t="s">
        <v>396</v>
      </c>
      <c r="M6" s="129">
        <v>0</v>
      </c>
      <c r="N6" s="129">
        <v>0</v>
      </c>
      <c r="O6" s="138">
        <v>0</v>
      </c>
      <c r="P6" s="178" t="s">
        <v>396</v>
      </c>
      <c r="Q6" s="129">
        <v>0</v>
      </c>
      <c r="R6" s="129">
        <v>0</v>
      </c>
      <c r="S6" s="138">
        <v>0</v>
      </c>
      <c r="T6" s="178" t="s">
        <v>396</v>
      </c>
      <c r="U6" s="129" t="s">
        <v>396</v>
      </c>
      <c r="V6" s="129" t="s">
        <v>396</v>
      </c>
      <c r="W6" s="138" t="s">
        <v>396</v>
      </c>
      <c r="X6" s="178" t="s">
        <v>396</v>
      </c>
      <c r="Y6" s="129">
        <v>0</v>
      </c>
      <c r="Z6" s="129">
        <v>0</v>
      </c>
      <c r="AA6" s="138">
        <v>0</v>
      </c>
      <c r="AB6" s="178" t="s">
        <v>396</v>
      </c>
      <c r="AC6" s="129" t="s">
        <v>522</v>
      </c>
      <c r="AD6" s="129" t="s">
        <v>522</v>
      </c>
      <c r="AE6" s="138" t="s">
        <v>522</v>
      </c>
      <c r="AF6" s="178" t="s">
        <v>396</v>
      </c>
      <c r="AG6" s="129">
        <v>0</v>
      </c>
      <c r="AH6" s="129" t="s">
        <v>522</v>
      </c>
      <c r="AI6" s="138" t="s">
        <v>522</v>
      </c>
      <c r="AJ6" s="178" t="s">
        <v>396</v>
      </c>
      <c r="AK6" s="129">
        <v>0</v>
      </c>
      <c r="AL6" s="129">
        <v>0</v>
      </c>
      <c r="AM6" s="138">
        <v>0</v>
      </c>
      <c r="AN6" s="178" t="s">
        <v>396</v>
      </c>
      <c r="AO6" s="129"/>
      <c r="AP6" s="129"/>
      <c r="AQ6" s="130">
        <v>0</v>
      </c>
      <c r="AR6" s="714"/>
      <c r="AS6" s="178" t="s">
        <v>396</v>
      </c>
      <c r="AT6" s="129"/>
      <c r="AU6" s="129"/>
      <c r="AV6" s="130"/>
      <c r="AW6" s="714"/>
    </row>
    <row r="7" spans="1:49" ht="23.25" customHeight="1" outlineLevel="1">
      <c r="A7" s="471" t="s">
        <v>760</v>
      </c>
      <c r="B7" s="189"/>
      <c r="C7" s="169"/>
      <c r="D7" s="11" t="s">
        <v>402</v>
      </c>
      <c r="E7" s="170">
        <v>0</v>
      </c>
      <c r="F7" s="145" t="s">
        <v>1122</v>
      </c>
      <c r="G7" s="16" t="s">
        <v>1105</v>
      </c>
      <c r="H7" s="14" t="s">
        <v>402</v>
      </c>
      <c r="I7" s="14" t="s">
        <v>402</v>
      </c>
      <c r="J7" s="15">
        <v>0</v>
      </c>
      <c r="K7" s="16" t="s">
        <v>396</v>
      </c>
      <c r="L7" s="606">
        <v>0</v>
      </c>
      <c r="M7" s="214"/>
      <c r="N7" s="230"/>
      <c r="O7" s="214"/>
      <c r="P7" s="606">
        <v>1</v>
      </c>
      <c r="Q7" s="229"/>
      <c r="R7" s="230"/>
      <c r="S7" s="214"/>
      <c r="T7" s="606">
        <v>0</v>
      </c>
      <c r="U7" s="214"/>
      <c r="V7" s="230"/>
      <c r="W7" s="214"/>
      <c r="X7" s="606">
        <v>0</v>
      </c>
      <c r="Y7" s="214"/>
      <c r="Z7" s="230"/>
      <c r="AA7" s="214"/>
      <c r="AB7" s="606">
        <v>0</v>
      </c>
      <c r="AC7" s="214"/>
      <c r="AD7" s="230"/>
      <c r="AE7" s="214"/>
      <c r="AF7" s="606">
        <v>0</v>
      </c>
      <c r="AG7" s="214"/>
      <c r="AH7" s="230"/>
      <c r="AI7" s="214"/>
      <c r="AJ7" s="606">
        <v>0</v>
      </c>
      <c r="AK7" s="229"/>
      <c r="AL7" s="230"/>
      <c r="AM7" s="214"/>
      <c r="AN7" s="606">
        <v>0</v>
      </c>
      <c r="AO7" s="29"/>
      <c r="AP7" s="1"/>
      <c r="AQ7" s="31"/>
      <c r="AR7" s="31"/>
      <c r="AS7" s="606">
        <v>0</v>
      </c>
      <c r="AT7" s="29"/>
      <c r="AU7" s="1"/>
      <c r="AV7" s="31"/>
      <c r="AW7" s="31"/>
    </row>
    <row r="8" spans="1:49" ht="23.25" customHeight="1" outlineLevel="1">
      <c r="A8" s="471" t="s">
        <v>761</v>
      </c>
      <c r="B8" s="189"/>
      <c r="C8" s="169"/>
      <c r="D8" s="11" t="s">
        <v>402</v>
      </c>
      <c r="E8" s="170">
        <v>0</v>
      </c>
      <c r="F8" s="145" t="s">
        <v>1121</v>
      </c>
      <c r="G8" s="16" t="s">
        <v>1105</v>
      </c>
      <c r="H8" s="14" t="s">
        <v>402</v>
      </c>
      <c r="I8" s="14" t="s">
        <v>402</v>
      </c>
      <c r="J8" s="15">
        <v>0</v>
      </c>
      <c r="K8" s="16" t="s">
        <v>396</v>
      </c>
      <c r="L8" s="606">
        <v>1</v>
      </c>
      <c r="M8" s="214"/>
      <c r="N8" s="230"/>
      <c r="O8" s="214"/>
      <c r="P8" s="606">
        <v>0</v>
      </c>
      <c r="Q8" s="214"/>
      <c r="R8" s="229"/>
      <c r="S8" s="229"/>
      <c r="T8" s="606">
        <v>0</v>
      </c>
      <c r="U8" s="214"/>
      <c r="V8" s="230"/>
      <c r="W8" s="214"/>
      <c r="X8" s="606">
        <v>0</v>
      </c>
      <c r="Y8" s="214"/>
      <c r="Z8" s="230"/>
      <c r="AA8" s="214"/>
      <c r="AB8" s="606">
        <v>0</v>
      </c>
      <c r="AC8" s="214"/>
      <c r="AD8" s="230"/>
      <c r="AE8" s="214"/>
      <c r="AF8" s="606">
        <v>0</v>
      </c>
      <c r="AG8" s="214"/>
      <c r="AH8" s="230"/>
      <c r="AI8" s="214"/>
      <c r="AJ8" s="606">
        <v>0</v>
      </c>
      <c r="AK8" s="229"/>
      <c r="AL8" s="230"/>
      <c r="AM8" s="214"/>
      <c r="AN8" s="606">
        <v>0</v>
      </c>
      <c r="AO8" s="29"/>
      <c r="AP8" s="1"/>
      <c r="AQ8" s="31"/>
      <c r="AR8" s="31"/>
      <c r="AS8" s="606">
        <v>0</v>
      </c>
      <c r="AT8" s="29"/>
      <c r="AU8" s="1"/>
      <c r="AV8" s="31"/>
      <c r="AW8" s="31"/>
    </row>
    <row r="9" spans="1:49" ht="23.25" customHeight="1" outlineLevel="1">
      <c r="A9" s="471" t="s">
        <v>885</v>
      </c>
      <c r="B9" s="189"/>
      <c r="C9" s="169"/>
      <c r="D9" s="11" t="s">
        <v>402</v>
      </c>
      <c r="E9" s="170">
        <v>0</v>
      </c>
      <c r="F9" s="145" t="s">
        <v>1122</v>
      </c>
      <c r="G9" s="16" t="s">
        <v>465</v>
      </c>
      <c r="H9" s="14" t="s">
        <v>402</v>
      </c>
      <c r="I9" s="14" t="s">
        <v>402</v>
      </c>
      <c r="J9" s="15">
        <v>0</v>
      </c>
      <c r="K9" s="16" t="s">
        <v>396</v>
      </c>
      <c r="L9" s="606">
        <v>0</v>
      </c>
      <c r="M9" s="214"/>
      <c r="N9" s="230"/>
      <c r="O9" s="214"/>
      <c r="P9" s="606">
        <v>0</v>
      </c>
      <c r="Q9" s="229"/>
      <c r="R9" s="230"/>
      <c r="S9" s="214"/>
      <c r="T9" s="606">
        <v>0</v>
      </c>
      <c r="U9" s="214"/>
      <c r="V9" s="230"/>
      <c r="W9" s="214"/>
      <c r="X9" s="606">
        <v>1</v>
      </c>
      <c r="Y9" s="214"/>
      <c r="Z9" s="230"/>
      <c r="AA9" s="214"/>
      <c r="AB9" s="606">
        <v>0</v>
      </c>
      <c r="AC9" s="214"/>
      <c r="AD9" s="230"/>
      <c r="AE9" s="214"/>
      <c r="AF9" s="606">
        <v>0</v>
      </c>
      <c r="AG9" s="214"/>
      <c r="AH9" s="230"/>
      <c r="AI9" s="214"/>
      <c r="AJ9" s="606">
        <v>0</v>
      </c>
      <c r="AK9" s="229"/>
      <c r="AL9" s="230"/>
      <c r="AM9" s="214"/>
      <c r="AN9" s="606">
        <v>0</v>
      </c>
      <c r="AO9" s="29"/>
      <c r="AP9" s="1"/>
      <c r="AQ9" s="31"/>
      <c r="AR9" s="31"/>
      <c r="AS9" s="606">
        <v>0</v>
      </c>
      <c r="AT9" s="29"/>
      <c r="AU9" s="1"/>
      <c r="AV9" s="31"/>
      <c r="AW9" s="31"/>
    </row>
    <row r="10" spans="1:49" ht="23.25" customHeight="1" outlineLevel="1">
      <c r="A10" s="471" t="s">
        <v>886</v>
      </c>
      <c r="B10" s="189"/>
      <c r="C10" s="169"/>
      <c r="D10" s="11" t="s">
        <v>402</v>
      </c>
      <c r="E10" s="170">
        <v>0</v>
      </c>
      <c r="F10" s="145" t="s">
        <v>1121</v>
      </c>
      <c r="G10" s="16" t="s">
        <v>465</v>
      </c>
      <c r="H10" s="14" t="s">
        <v>402</v>
      </c>
      <c r="I10" s="14" t="s">
        <v>402</v>
      </c>
      <c r="J10" s="15">
        <v>0</v>
      </c>
      <c r="K10" s="16" t="s">
        <v>396</v>
      </c>
      <c r="L10" s="606">
        <v>0</v>
      </c>
      <c r="M10" s="214"/>
      <c r="N10" s="230"/>
      <c r="O10" s="214"/>
      <c r="P10" s="606">
        <v>0</v>
      </c>
      <c r="Q10" s="214"/>
      <c r="R10" s="229"/>
      <c r="S10" s="229"/>
      <c r="T10" s="606">
        <v>1</v>
      </c>
      <c r="U10" s="214"/>
      <c r="V10" s="230"/>
      <c r="W10" s="214"/>
      <c r="X10" s="606">
        <v>0</v>
      </c>
      <c r="Y10" s="214"/>
      <c r="Z10" s="230"/>
      <c r="AA10" s="214"/>
      <c r="AB10" s="606">
        <v>0</v>
      </c>
      <c r="AC10" s="214"/>
      <c r="AD10" s="230"/>
      <c r="AE10" s="214"/>
      <c r="AF10" s="606">
        <v>0</v>
      </c>
      <c r="AG10" s="214"/>
      <c r="AH10" s="230"/>
      <c r="AI10" s="214"/>
      <c r="AJ10" s="606">
        <v>0</v>
      </c>
      <c r="AK10" s="229"/>
      <c r="AL10" s="230"/>
      <c r="AM10" s="214"/>
      <c r="AN10" s="606">
        <v>0</v>
      </c>
      <c r="AO10" s="29"/>
      <c r="AP10" s="1"/>
      <c r="AQ10" s="31"/>
      <c r="AR10" s="31"/>
      <c r="AS10" s="606">
        <v>0</v>
      </c>
      <c r="AT10" s="29"/>
      <c r="AU10" s="1"/>
      <c r="AV10" s="31"/>
      <c r="AW10" s="31"/>
    </row>
    <row r="11" spans="1:49" ht="23.25" customHeight="1" outlineLevel="1">
      <c r="A11" s="471" t="s">
        <v>887</v>
      </c>
      <c r="B11" s="189"/>
      <c r="C11" s="169"/>
      <c r="D11" s="11" t="s">
        <v>402</v>
      </c>
      <c r="E11" s="170">
        <v>0</v>
      </c>
      <c r="F11" s="145" t="s">
        <v>1122</v>
      </c>
      <c r="G11" s="16" t="s">
        <v>956</v>
      </c>
      <c r="H11" s="14" t="s">
        <v>402</v>
      </c>
      <c r="I11" s="14" t="s">
        <v>402</v>
      </c>
      <c r="J11" s="15">
        <v>0</v>
      </c>
      <c r="K11" s="16" t="s">
        <v>396</v>
      </c>
      <c r="L11" s="606">
        <v>0</v>
      </c>
      <c r="M11" s="214"/>
      <c r="N11" s="230"/>
      <c r="O11" s="214"/>
      <c r="P11" s="606">
        <v>0</v>
      </c>
      <c r="Q11" s="229"/>
      <c r="R11" s="230"/>
      <c r="S11" s="214"/>
      <c r="T11" s="606">
        <v>0</v>
      </c>
      <c r="U11" s="214"/>
      <c r="V11" s="230"/>
      <c r="W11" s="214"/>
      <c r="X11" s="606">
        <v>0</v>
      </c>
      <c r="Y11" s="214"/>
      <c r="Z11" s="230"/>
      <c r="AA11" s="214"/>
      <c r="AB11" s="606">
        <v>0</v>
      </c>
      <c r="AC11" s="214"/>
      <c r="AD11" s="230"/>
      <c r="AE11" s="214"/>
      <c r="AF11" s="606">
        <v>1</v>
      </c>
      <c r="AG11" s="214"/>
      <c r="AH11" s="230"/>
      <c r="AI11" s="214"/>
      <c r="AJ11" s="606">
        <v>0</v>
      </c>
      <c r="AK11" s="229"/>
      <c r="AL11" s="230"/>
      <c r="AM11" s="214"/>
      <c r="AN11" s="606">
        <v>0</v>
      </c>
      <c r="AO11" s="29"/>
      <c r="AP11" s="1"/>
      <c r="AQ11" s="31"/>
      <c r="AR11" s="31"/>
      <c r="AS11" s="606">
        <v>0</v>
      </c>
      <c r="AT11" s="29"/>
      <c r="AU11" s="1"/>
      <c r="AV11" s="31"/>
      <c r="AW11" s="31"/>
    </row>
    <row r="12" spans="1:49" ht="23.25" customHeight="1" outlineLevel="1">
      <c r="A12" s="471" t="s">
        <v>888</v>
      </c>
      <c r="B12" s="189"/>
      <c r="C12" s="169"/>
      <c r="D12" s="11" t="s">
        <v>402</v>
      </c>
      <c r="E12" s="170">
        <v>0</v>
      </c>
      <c r="F12" s="145" t="s">
        <v>1121</v>
      </c>
      <c r="G12" s="16" t="s">
        <v>956</v>
      </c>
      <c r="H12" s="14" t="s">
        <v>402</v>
      </c>
      <c r="I12" s="14" t="s">
        <v>402</v>
      </c>
      <c r="J12" s="15">
        <v>0</v>
      </c>
      <c r="K12" s="16" t="s">
        <v>396</v>
      </c>
      <c r="L12" s="606">
        <v>0</v>
      </c>
      <c r="M12" s="214"/>
      <c r="N12" s="230"/>
      <c r="O12" s="214"/>
      <c r="P12" s="606">
        <v>0</v>
      </c>
      <c r="Q12" s="214"/>
      <c r="R12" s="229"/>
      <c r="S12" s="229"/>
      <c r="T12" s="606">
        <v>0</v>
      </c>
      <c r="U12" s="214"/>
      <c r="V12" s="230"/>
      <c r="W12" s="214"/>
      <c r="X12" s="606">
        <v>0</v>
      </c>
      <c r="Y12" s="214"/>
      <c r="Z12" s="230"/>
      <c r="AA12" s="214"/>
      <c r="AB12" s="606">
        <v>1</v>
      </c>
      <c r="AC12" s="214"/>
      <c r="AD12" s="230"/>
      <c r="AE12" s="214"/>
      <c r="AF12" s="606">
        <v>0</v>
      </c>
      <c r="AG12" s="214"/>
      <c r="AH12" s="230"/>
      <c r="AI12" s="214"/>
      <c r="AJ12" s="606">
        <v>0</v>
      </c>
      <c r="AK12" s="229"/>
      <c r="AL12" s="230"/>
      <c r="AM12" s="214"/>
      <c r="AN12" s="606">
        <v>0</v>
      </c>
      <c r="AO12" s="29"/>
      <c r="AP12" s="1"/>
      <c r="AQ12" s="31"/>
      <c r="AR12" s="31"/>
      <c r="AS12" s="606">
        <v>0</v>
      </c>
      <c r="AT12" s="29"/>
      <c r="AU12" s="1"/>
      <c r="AV12" s="31"/>
      <c r="AW12" s="31"/>
    </row>
    <row r="13" spans="1:49" outlineLevel="1">
      <c r="A13" s="189">
        <v>1618</v>
      </c>
      <c r="B13" s="168" t="s">
        <v>523</v>
      </c>
      <c r="C13" s="169"/>
      <c r="D13" s="11" t="s">
        <v>402</v>
      </c>
      <c r="E13" s="170">
        <v>0</v>
      </c>
      <c r="F13" s="145" t="s">
        <v>1121</v>
      </c>
      <c r="G13" s="16" t="s">
        <v>521</v>
      </c>
      <c r="H13" s="14" t="s">
        <v>402</v>
      </c>
      <c r="I13" s="14" t="s">
        <v>402</v>
      </c>
      <c r="J13" s="15">
        <v>0</v>
      </c>
      <c r="K13" s="16" t="s">
        <v>396</v>
      </c>
      <c r="L13" s="606">
        <v>0</v>
      </c>
      <c r="M13" s="229"/>
      <c r="N13" s="230"/>
      <c r="O13" s="214"/>
      <c r="P13" s="606">
        <v>0</v>
      </c>
      <c r="Q13" s="229"/>
      <c r="R13" s="230"/>
      <c r="S13" s="214"/>
      <c r="T13" s="606">
        <v>0</v>
      </c>
      <c r="U13" s="229"/>
      <c r="V13" s="230"/>
      <c r="W13" s="214"/>
      <c r="X13" s="606">
        <v>0</v>
      </c>
      <c r="Y13" s="229"/>
      <c r="Z13" s="230"/>
      <c r="AA13" s="214"/>
      <c r="AB13" s="606">
        <v>0</v>
      </c>
      <c r="AC13" s="229"/>
      <c r="AD13" s="230"/>
      <c r="AE13" s="214"/>
      <c r="AF13" s="606">
        <v>0</v>
      </c>
      <c r="AG13" s="229"/>
      <c r="AH13" s="230"/>
      <c r="AI13" s="214"/>
      <c r="AJ13" s="606">
        <v>1</v>
      </c>
      <c r="AK13" s="229"/>
      <c r="AL13" s="230"/>
      <c r="AM13" s="214"/>
      <c r="AN13" s="606">
        <v>0</v>
      </c>
      <c r="AO13" s="29"/>
      <c r="AP13" s="1"/>
      <c r="AQ13" s="31"/>
      <c r="AR13" s="31"/>
      <c r="AS13" s="606">
        <v>0</v>
      </c>
      <c r="AT13" s="29"/>
      <c r="AU13" s="1"/>
      <c r="AV13" s="31"/>
      <c r="AW13" s="31"/>
    </row>
    <row r="14" spans="1:49" outlineLevel="1">
      <c r="A14" s="189">
        <v>1625</v>
      </c>
      <c r="B14" s="189"/>
      <c r="C14" s="169"/>
      <c r="D14" s="11" t="s">
        <v>402</v>
      </c>
      <c r="E14" s="170">
        <v>0</v>
      </c>
      <c r="F14" s="145" t="s">
        <v>1122</v>
      </c>
      <c r="G14" s="16" t="s">
        <v>521</v>
      </c>
      <c r="H14" s="14" t="s">
        <v>402</v>
      </c>
      <c r="I14" s="14" t="s">
        <v>402</v>
      </c>
      <c r="J14" s="15">
        <v>0</v>
      </c>
      <c r="K14" s="16" t="s">
        <v>396</v>
      </c>
      <c r="L14" s="606">
        <v>0</v>
      </c>
      <c r="M14" s="229"/>
      <c r="N14" s="230"/>
      <c r="O14" s="214"/>
      <c r="P14" s="606">
        <v>0</v>
      </c>
      <c r="Q14" s="229"/>
      <c r="R14" s="230"/>
      <c r="S14" s="214"/>
      <c r="T14" s="606">
        <v>0</v>
      </c>
      <c r="U14" s="229"/>
      <c r="V14" s="230"/>
      <c r="W14" s="214"/>
      <c r="X14" s="606">
        <v>0</v>
      </c>
      <c r="Y14" s="229"/>
      <c r="Z14" s="230"/>
      <c r="AA14" s="214"/>
      <c r="AB14" s="606">
        <v>0</v>
      </c>
      <c r="AC14" s="229"/>
      <c r="AD14" s="230"/>
      <c r="AE14" s="214"/>
      <c r="AF14" s="606">
        <v>0</v>
      </c>
      <c r="AG14" s="229"/>
      <c r="AH14" s="230"/>
      <c r="AI14" s="214"/>
      <c r="AJ14" s="606">
        <v>0</v>
      </c>
      <c r="AK14" s="229"/>
      <c r="AL14" s="230"/>
      <c r="AM14" s="214"/>
      <c r="AN14" s="606">
        <v>1</v>
      </c>
      <c r="AO14" s="29"/>
      <c r="AP14" s="1"/>
      <c r="AQ14" s="31"/>
      <c r="AR14" s="31"/>
      <c r="AS14" s="606">
        <v>0</v>
      </c>
      <c r="AT14" s="29"/>
      <c r="AU14" s="1"/>
      <c r="AV14" s="31"/>
      <c r="AW14" s="31"/>
    </row>
    <row r="15" spans="1:49" ht="23.25" customHeight="1" outlineLevel="1">
      <c r="A15" s="226">
        <v>32064</v>
      </c>
      <c r="B15" s="189"/>
      <c r="C15" s="169"/>
      <c r="D15" s="11" t="s">
        <v>402</v>
      </c>
      <c r="E15" s="170">
        <v>0</v>
      </c>
      <c r="F15" s="145" t="s">
        <v>1270</v>
      </c>
      <c r="G15" s="16" t="s">
        <v>521</v>
      </c>
      <c r="H15" s="14" t="s">
        <v>402</v>
      </c>
      <c r="I15" s="14" t="s">
        <v>402</v>
      </c>
      <c r="J15" s="15">
        <v>0</v>
      </c>
      <c r="K15" s="16" t="s">
        <v>396</v>
      </c>
      <c r="L15" s="606">
        <v>0</v>
      </c>
      <c r="M15" s="229"/>
      <c r="N15" s="230"/>
      <c r="O15" s="214"/>
      <c r="P15" s="606">
        <v>0</v>
      </c>
      <c r="Q15" s="229"/>
      <c r="R15" s="230"/>
      <c r="S15" s="214"/>
      <c r="T15" s="606">
        <v>0</v>
      </c>
      <c r="U15" s="229"/>
      <c r="V15" s="230"/>
      <c r="W15" s="214"/>
      <c r="X15" s="606">
        <v>0</v>
      </c>
      <c r="Y15" s="229"/>
      <c r="Z15" s="230"/>
      <c r="AA15" s="214"/>
      <c r="AB15" s="606">
        <v>0</v>
      </c>
      <c r="AC15" s="229"/>
      <c r="AD15" s="230"/>
      <c r="AE15" s="214"/>
      <c r="AF15" s="606">
        <v>0</v>
      </c>
      <c r="AG15" s="229"/>
      <c r="AH15" s="230"/>
      <c r="AI15" s="214"/>
      <c r="AJ15" s="606">
        <v>0</v>
      </c>
      <c r="AK15" s="229"/>
      <c r="AL15" s="230"/>
      <c r="AM15" s="214"/>
      <c r="AN15" s="606">
        <v>0</v>
      </c>
      <c r="AO15" s="29"/>
      <c r="AP15" s="1"/>
      <c r="AQ15" s="31"/>
      <c r="AR15" s="31"/>
      <c r="AS15" s="606">
        <v>1</v>
      </c>
      <c r="AT15" s="29"/>
      <c r="AU15" s="1"/>
      <c r="AV15" s="31"/>
      <c r="AW15" s="31"/>
    </row>
    <row r="16" spans="1:49" ht="12" customHeight="1" outlineLevel="1" collapsed="1">
      <c r="A16" s="116">
        <v>1450</v>
      </c>
      <c r="B16" s="163" t="s">
        <v>707</v>
      </c>
      <c r="C16" s="151" t="s">
        <v>525</v>
      </c>
      <c r="D16" s="374" t="s">
        <v>527</v>
      </c>
      <c r="E16" s="153" t="s">
        <v>402</v>
      </c>
      <c r="F16" s="144" t="s">
        <v>1163</v>
      </c>
      <c r="G16" s="125" t="s">
        <v>402</v>
      </c>
      <c r="H16" s="164" t="s">
        <v>273</v>
      </c>
      <c r="I16" s="123" t="s">
        <v>1117</v>
      </c>
      <c r="J16" s="124" t="s">
        <v>402</v>
      </c>
      <c r="K16" s="125" t="s">
        <v>409</v>
      </c>
      <c r="L16" s="165">
        <v>0</v>
      </c>
      <c r="M16" s="29">
        <v>1</v>
      </c>
      <c r="N16" s="1">
        <v>1.0744244531716256</v>
      </c>
      <c r="O16" s="31" t="s">
        <v>1271</v>
      </c>
      <c r="P16" s="165">
        <v>0</v>
      </c>
      <c r="Q16" s="29">
        <v>1</v>
      </c>
      <c r="R16" s="1">
        <v>1.0744244531716256</v>
      </c>
      <c r="S16" s="31" t="s">
        <v>1271</v>
      </c>
      <c r="T16" s="165">
        <v>0</v>
      </c>
      <c r="U16" s="29">
        <v>1</v>
      </c>
      <c r="V16" s="1">
        <v>1.0744244531716256</v>
      </c>
      <c r="W16" s="31" t="s">
        <v>1271</v>
      </c>
      <c r="X16" s="165">
        <v>0</v>
      </c>
      <c r="Y16" s="29">
        <v>1</v>
      </c>
      <c r="Z16" s="1">
        <v>1.0744244531716256</v>
      </c>
      <c r="AA16" s="31" t="s">
        <v>1271</v>
      </c>
      <c r="AB16" s="165">
        <v>0</v>
      </c>
      <c r="AC16" s="29">
        <v>1</v>
      </c>
      <c r="AD16" s="1">
        <v>1.0744244531716256</v>
      </c>
      <c r="AE16" s="31" t="s">
        <v>1271</v>
      </c>
      <c r="AF16" s="165">
        <v>0</v>
      </c>
      <c r="AG16" s="29">
        <v>1</v>
      </c>
      <c r="AH16" s="1">
        <v>1.0744244531716256</v>
      </c>
      <c r="AI16" s="31" t="s">
        <v>1271</v>
      </c>
      <c r="AJ16" s="165">
        <v>0</v>
      </c>
      <c r="AK16" s="29">
        <v>1</v>
      </c>
      <c r="AL16" s="1">
        <v>1.0744244531716256</v>
      </c>
      <c r="AM16" s="31" t="s">
        <v>1271</v>
      </c>
      <c r="AN16" s="165">
        <v>0</v>
      </c>
      <c r="AO16" s="29">
        <v>1</v>
      </c>
      <c r="AP16" s="1">
        <v>1.0744244531716256</v>
      </c>
      <c r="AQ16" s="31" t="s">
        <v>1271</v>
      </c>
      <c r="AR16" s="31"/>
      <c r="AS16" s="165">
        <v>0</v>
      </c>
      <c r="AT16" s="29">
        <v>1</v>
      </c>
      <c r="AU16" s="1">
        <v>1.0744244531716256</v>
      </c>
      <c r="AV16" s="31" t="s">
        <v>1271</v>
      </c>
      <c r="AW16" s="31"/>
    </row>
    <row r="17" spans="1:49" s="689" customFormat="1" ht="21.75" customHeight="1">
      <c r="A17" s="693">
        <v>679</v>
      </c>
      <c r="B17" s="671" t="s">
        <v>525</v>
      </c>
      <c r="C17" s="672" t="s">
        <v>525</v>
      </c>
      <c r="D17" s="673" t="s">
        <v>526</v>
      </c>
      <c r="E17" s="674" t="s">
        <v>402</v>
      </c>
      <c r="F17" s="675" t="s">
        <v>111</v>
      </c>
      <c r="G17" s="676" t="s">
        <v>521</v>
      </c>
      <c r="H17" s="677" t="s">
        <v>402</v>
      </c>
      <c r="I17" s="715" t="s">
        <v>402</v>
      </c>
      <c r="J17" s="679">
        <v>0</v>
      </c>
      <c r="K17" s="676" t="s">
        <v>395</v>
      </c>
      <c r="L17" s="680">
        <v>170.94017094017096</v>
      </c>
      <c r="M17" s="681">
        <v>1</v>
      </c>
      <c r="N17" s="682">
        <v>1.0744244531716256</v>
      </c>
      <c r="O17" s="684" t="s">
        <v>1271</v>
      </c>
      <c r="P17" s="680">
        <v>251.06837606837607</v>
      </c>
      <c r="Q17" s="681">
        <v>1</v>
      </c>
      <c r="R17" s="682">
        <v>1.0744244531716256</v>
      </c>
      <c r="S17" s="684" t="s">
        <v>1271</v>
      </c>
      <c r="T17" s="680">
        <v>170.94017094017096</v>
      </c>
      <c r="U17" s="681">
        <v>1</v>
      </c>
      <c r="V17" s="682">
        <v>1.0744244531716256</v>
      </c>
      <c r="W17" s="684" t="s">
        <v>1271</v>
      </c>
      <c r="X17" s="680">
        <v>251.06837606837607</v>
      </c>
      <c r="Y17" s="681">
        <v>1</v>
      </c>
      <c r="Z17" s="682">
        <v>1.0744244531716256</v>
      </c>
      <c r="AA17" s="684" t="s">
        <v>1271</v>
      </c>
      <c r="AB17" s="680">
        <v>170.94017094017096</v>
      </c>
      <c r="AC17" s="681">
        <v>1</v>
      </c>
      <c r="AD17" s="682">
        <v>1.0744244531716256</v>
      </c>
      <c r="AE17" s="684" t="s">
        <v>1271</v>
      </c>
      <c r="AF17" s="680">
        <v>251.06837606837607</v>
      </c>
      <c r="AG17" s="681">
        <v>1</v>
      </c>
      <c r="AH17" s="682">
        <v>1.0744244531716256</v>
      </c>
      <c r="AI17" s="684" t="s">
        <v>1271</v>
      </c>
      <c r="AJ17" s="680">
        <v>170.94017094017096</v>
      </c>
      <c r="AK17" s="681">
        <v>1</v>
      </c>
      <c r="AL17" s="682">
        <v>1.0744244531716256</v>
      </c>
      <c r="AM17" s="684" t="s">
        <v>1271</v>
      </c>
      <c r="AN17" s="680">
        <v>251.06837606837607</v>
      </c>
      <c r="AO17" s="681">
        <v>1</v>
      </c>
      <c r="AP17" s="682">
        <v>1.0744244531716256</v>
      </c>
      <c r="AQ17" s="684" t="s">
        <v>1271</v>
      </c>
      <c r="AR17" s="684"/>
      <c r="AS17" s="680">
        <v>251.06837606837607</v>
      </c>
      <c r="AT17" s="681">
        <v>1</v>
      </c>
      <c r="AU17" s="682">
        <v>1.0744244531716256</v>
      </c>
      <c r="AV17" s="684" t="s">
        <v>1271</v>
      </c>
      <c r="AW17" s="684"/>
    </row>
    <row r="18" spans="1:49" ht="24.75" customHeight="1">
      <c r="A18" s="669" t="s">
        <v>1079</v>
      </c>
      <c r="B18" s="163" t="s">
        <v>524</v>
      </c>
      <c r="C18" s="151" t="s">
        <v>525</v>
      </c>
      <c r="D18" s="152" t="s">
        <v>526</v>
      </c>
      <c r="E18" s="153" t="s">
        <v>402</v>
      </c>
      <c r="F18" s="144" t="s">
        <v>1210</v>
      </c>
      <c r="G18" s="125" t="s">
        <v>1211</v>
      </c>
      <c r="H18" s="164" t="s">
        <v>402</v>
      </c>
      <c r="I18" s="123" t="s">
        <v>402</v>
      </c>
      <c r="J18" s="124">
        <v>0</v>
      </c>
      <c r="K18" s="125" t="s">
        <v>678</v>
      </c>
      <c r="L18" s="165">
        <v>0</v>
      </c>
      <c r="M18" s="29">
        <v>1</v>
      </c>
      <c r="N18" s="1">
        <v>1.0744244531716256</v>
      </c>
      <c r="O18" s="31" t="s">
        <v>1271</v>
      </c>
      <c r="P18" s="165">
        <v>0</v>
      </c>
      <c r="Q18" s="29">
        <v>1</v>
      </c>
      <c r="R18" s="1">
        <v>1.0744244531716256</v>
      </c>
      <c r="S18" s="31" t="s">
        <v>1271</v>
      </c>
      <c r="T18" s="165">
        <v>0</v>
      </c>
      <c r="U18" s="29">
        <v>1</v>
      </c>
      <c r="V18" s="1">
        <v>1.0744244531716256</v>
      </c>
      <c r="W18" s="31" t="s">
        <v>1271</v>
      </c>
      <c r="X18" s="165">
        <v>0</v>
      </c>
      <c r="Y18" s="29">
        <v>1</v>
      </c>
      <c r="Z18" s="1">
        <v>1.0744244531716256</v>
      </c>
      <c r="AA18" s="31" t="s">
        <v>1271</v>
      </c>
      <c r="AB18" s="165">
        <v>0</v>
      </c>
      <c r="AC18" s="29">
        <v>1</v>
      </c>
      <c r="AD18" s="1">
        <v>1.0744244531716256</v>
      </c>
      <c r="AE18" s="31" t="s">
        <v>1271</v>
      </c>
      <c r="AF18" s="165">
        <v>0</v>
      </c>
      <c r="AG18" s="29">
        <v>1</v>
      </c>
      <c r="AH18" s="1">
        <v>1.0744244531716256</v>
      </c>
      <c r="AI18" s="31" t="s">
        <v>1271</v>
      </c>
      <c r="AJ18" s="165">
        <v>14.381985535831689</v>
      </c>
      <c r="AK18" s="29">
        <v>1</v>
      </c>
      <c r="AL18" s="1">
        <v>1.0744244531716256</v>
      </c>
      <c r="AM18" s="31" t="s">
        <v>1271</v>
      </c>
      <c r="AN18" s="165">
        <v>14.381985535831689</v>
      </c>
      <c r="AO18" s="29">
        <v>1</v>
      </c>
      <c r="AP18" s="1">
        <v>1.0744244531716256</v>
      </c>
      <c r="AQ18" s="31" t="s">
        <v>1271</v>
      </c>
      <c r="AR18" s="31"/>
      <c r="AS18" s="165">
        <v>14.381985535831689</v>
      </c>
      <c r="AT18" s="29">
        <v>1</v>
      </c>
      <c r="AU18" s="1">
        <v>1.0744244531716256</v>
      </c>
      <c r="AV18" s="31" t="s">
        <v>1271</v>
      </c>
      <c r="AW18" s="31"/>
    </row>
    <row r="19" spans="1:49" ht="24.75" customHeight="1" outlineLevel="1">
      <c r="A19" s="226">
        <v>32004</v>
      </c>
      <c r="B19" s="163" t="s">
        <v>524</v>
      </c>
      <c r="C19" s="151" t="s">
        <v>525</v>
      </c>
      <c r="D19" s="152" t="s">
        <v>526</v>
      </c>
      <c r="E19" s="153" t="s">
        <v>402</v>
      </c>
      <c r="F19" s="144" t="s">
        <v>1133</v>
      </c>
      <c r="G19" s="125" t="s">
        <v>1105</v>
      </c>
      <c r="H19" s="164" t="s">
        <v>402</v>
      </c>
      <c r="I19" s="123" t="s">
        <v>402</v>
      </c>
      <c r="J19" s="124">
        <v>0</v>
      </c>
      <c r="K19" s="125" t="s">
        <v>678</v>
      </c>
      <c r="L19" s="165">
        <v>14.381985535831689</v>
      </c>
      <c r="M19" s="29">
        <v>1</v>
      </c>
      <c r="N19" s="1">
        <v>1.0744244531716256</v>
      </c>
      <c r="O19" s="31" t="s">
        <v>1271</v>
      </c>
      <c r="P19" s="165">
        <v>14.381985535831689</v>
      </c>
      <c r="Q19" s="29">
        <v>1</v>
      </c>
      <c r="R19" s="1">
        <v>1.0744244531716256</v>
      </c>
      <c r="S19" s="31" t="s">
        <v>1271</v>
      </c>
      <c r="T19" s="165">
        <v>0</v>
      </c>
      <c r="U19" s="29">
        <v>1</v>
      </c>
      <c r="V19" s="1">
        <v>1.0744244531716256</v>
      </c>
      <c r="W19" s="31" t="s">
        <v>1271</v>
      </c>
      <c r="X19" s="165">
        <v>0</v>
      </c>
      <c r="Y19" s="29">
        <v>1</v>
      </c>
      <c r="Z19" s="1">
        <v>1.0744244531716256</v>
      </c>
      <c r="AA19" s="31" t="s">
        <v>1271</v>
      </c>
      <c r="AB19" s="165">
        <v>0</v>
      </c>
      <c r="AC19" s="29">
        <v>1</v>
      </c>
      <c r="AD19" s="1">
        <v>1.0744244531716256</v>
      </c>
      <c r="AE19" s="31" t="s">
        <v>1271</v>
      </c>
      <c r="AF19" s="165">
        <v>0</v>
      </c>
      <c r="AG19" s="29">
        <v>1</v>
      </c>
      <c r="AH19" s="1">
        <v>1.0744244531716256</v>
      </c>
      <c r="AI19" s="31" t="s">
        <v>1271</v>
      </c>
      <c r="AJ19" s="165">
        <v>0</v>
      </c>
      <c r="AK19" s="29">
        <v>1</v>
      </c>
      <c r="AL19" s="1">
        <v>1.0744244531716256</v>
      </c>
      <c r="AM19" s="31" t="s">
        <v>1271</v>
      </c>
      <c r="AN19" s="165">
        <v>0</v>
      </c>
      <c r="AO19" s="29">
        <v>1</v>
      </c>
      <c r="AP19" s="1">
        <v>1.0744244531716256</v>
      </c>
      <c r="AQ19" s="31" t="s">
        <v>1271</v>
      </c>
      <c r="AR19" s="31"/>
      <c r="AS19" s="165">
        <v>0</v>
      </c>
      <c r="AT19" s="29">
        <v>1</v>
      </c>
      <c r="AU19" s="1">
        <v>1.0744244531716256</v>
      </c>
      <c r="AV19" s="31" t="s">
        <v>1271</v>
      </c>
      <c r="AW19" s="31"/>
    </row>
    <row r="20" spans="1:49" ht="24.75" customHeight="1" outlineLevel="1">
      <c r="A20" s="226" t="s">
        <v>866</v>
      </c>
      <c r="B20" s="163" t="s">
        <v>524</v>
      </c>
      <c r="C20" s="151" t="s">
        <v>525</v>
      </c>
      <c r="D20" s="152" t="s">
        <v>526</v>
      </c>
      <c r="E20" s="153" t="s">
        <v>402</v>
      </c>
      <c r="F20" s="144" t="s">
        <v>1133</v>
      </c>
      <c r="G20" s="125" t="s">
        <v>465</v>
      </c>
      <c r="H20" s="164" t="s">
        <v>402</v>
      </c>
      <c r="I20" s="123" t="s">
        <v>402</v>
      </c>
      <c r="J20" s="124">
        <v>0</v>
      </c>
      <c r="K20" s="125" t="s">
        <v>678</v>
      </c>
      <c r="L20" s="165">
        <v>0</v>
      </c>
      <c r="M20" s="29">
        <v>1</v>
      </c>
      <c r="N20" s="1">
        <v>1.0744244531716256</v>
      </c>
      <c r="O20" s="31" t="s">
        <v>1271</v>
      </c>
      <c r="P20" s="165">
        <v>0</v>
      </c>
      <c r="Q20" s="29">
        <v>1</v>
      </c>
      <c r="R20" s="1">
        <v>1.0744244531716256</v>
      </c>
      <c r="S20" s="31" t="s">
        <v>1271</v>
      </c>
      <c r="T20" s="165">
        <v>14.381985535831689</v>
      </c>
      <c r="U20" s="29">
        <v>1</v>
      </c>
      <c r="V20" s="1">
        <v>1.0744244531716256</v>
      </c>
      <c r="W20" s="31" t="s">
        <v>1271</v>
      </c>
      <c r="X20" s="165">
        <v>14.381985535831689</v>
      </c>
      <c r="Y20" s="29">
        <v>1</v>
      </c>
      <c r="Z20" s="1">
        <v>1.0744244531716256</v>
      </c>
      <c r="AA20" s="31" t="s">
        <v>1271</v>
      </c>
      <c r="AB20" s="165">
        <v>0</v>
      </c>
      <c r="AC20" s="29">
        <v>1</v>
      </c>
      <c r="AD20" s="1">
        <v>1.0744244531716256</v>
      </c>
      <c r="AE20" s="31" t="s">
        <v>1271</v>
      </c>
      <c r="AF20" s="165">
        <v>0</v>
      </c>
      <c r="AG20" s="29">
        <v>1</v>
      </c>
      <c r="AH20" s="1">
        <v>1.0744244531716256</v>
      </c>
      <c r="AI20" s="31" t="s">
        <v>1271</v>
      </c>
      <c r="AJ20" s="165">
        <v>0</v>
      </c>
      <c r="AK20" s="29">
        <v>1</v>
      </c>
      <c r="AL20" s="1">
        <v>1.0744244531716256</v>
      </c>
      <c r="AM20" s="31" t="s">
        <v>1271</v>
      </c>
      <c r="AN20" s="165">
        <v>0</v>
      </c>
      <c r="AO20" s="29">
        <v>1</v>
      </c>
      <c r="AP20" s="1">
        <v>1.0744244531716256</v>
      </c>
      <c r="AQ20" s="31" t="s">
        <v>1271</v>
      </c>
      <c r="AR20" s="31"/>
      <c r="AS20" s="165">
        <v>0</v>
      </c>
      <c r="AT20" s="29">
        <v>1</v>
      </c>
      <c r="AU20" s="1">
        <v>1.0744244531716256</v>
      </c>
      <c r="AV20" s="31" t="s">
        <v>1271</v>
      </c>
      <c r="AW20" s="31"/>
    </row>
    <row r="21" spans="1:49" ht="24.75" customHeight="1" outlineLevel="1">
      <c r="A21" s="226" t="s">
        <v>880</v>
      </c>
      <c r="B21" s="163" t="s">
        <v>524</v>
      </c>
      <c r="C21" s="151" t="s">
        <v>525</v>
      </c>
      <c r="D21" s="152" t="s">
        <v>526</v>
      </c>
      <c r="E21" s="153" t="s">
        <v>402</v>
      </c>
      <c r="F21" s="144" t="s">
        <v>1133</v>
      </c>
      <c r="G21" s="125" t="s">
        <v>496</v>
      </c>
      <c r="H21" s="164" t="s">
        <v>402</v>
      </c>
      <c r="I21" s="123" t="s">
        <v>402</v>
      </c>
      <c r="J21" s="124">
        <v>0</v>
      </c>
      <c r="K21" s="125" t="s">
        <v>678</v>
      </c>
      <c r="L21" s="165">
        <v>0</v>
      </c>
      <c r="M21" s="29">
        <v>1</v>
      </c>
      <c r="N21" s="1">
        <v>1.0744244531716256</v>
      </c>
      <c r="O21" s="31" t="s">
        <v>1271</v>
      </c>
      <c r="P21" s="165">
        <v>0</v>
      </c>
      <c r="Q21" s="29">
        <v>1</v>
      </c>
      <c r="R21" s="1">
        <v>1.0744244531716256</v>
      </c>
      <c r="S21" s="31" t="s">
        <v>1271</v>
      </c>
      <c r="T21" s="165">
        <v>0</v>
      </c>
      <c r="U21" s="29">
        <v>1</v>
      </c>
      <c r="V21" s="1">
        <v>1.0744244531716256</v>
      </c>
      <c r="W21" s="31" t="s">
        <v>1271</v>
      </c>
      <c r="X21" s="165">
        <v>0</v>
      </c>
      <c r="Y21" s="29">
        <v>1</v>
      </c>
      <c r="Z21" s="1">
        <v>1.0744244531716256</v>
      </c>
      <c r="AA21" s="31" t="s">
        <v>1271</v>
      </c>
      <c r="AB21" s="165">
        <v>14.381985535831689</v>
      </c>
      <c r="AC21" s="29">
        <v>1</v>
      </c>
      <c r="AD21" s="1">
        <v>1.0744244531716256</v>
      </c>
      <c r="AE21" s="31" t="s">
        <v>1271</v>
      </c>
      <c r="AF21" s="165">
        <v>14.381985535831689</v>
      </c>
      <c r="AG21" s="29">
        <v>1</v>
      </c>
      <c r="AH21" s="1">
        <v>1.0744244531716256</v>
      </c>
      <c r="AI21" s="31" t="s">
        <v>1271</v>
      </c>
      <c r="AJ21" s="165">
        <v>0</v>
      </c>
      <c r="AK21" s="29">
        <v>1</v>
      </c>
      <c r="AL21" s="1">
        <v>1.0744244531716256</v>
      </c>
      <c r="AM21" s="31" t="s">
        <v>1271</v>
      </c>
      <c r="AN21" s="165">
        <v>0</v>
      </c>
      <c r="AO21" s="29">
        <v>1</v>
      </c>
      <c r="AP21" s="1">
        <v>1.0744244531716256</v>
      </c>
      <c r="AQ21" s="31" t="s">
        <v>1271</v>
      </c>
      <c r="AR21" s="31"/>
      <c r="AS21" s="165">
        <v>0</v>
      </c>
      <c r="AT21" s="29">
        <v>1</v>
      </c>
      <c r="AU21" s="1">
        <v>1.0744244531716256</v>
      </c>
      <c r="AV21" s="31" t="s">
        <v>1271</v>
      </c>
      <c r="AW21" s="31"/>
    </row>
    <row r="22" spans="1:49" ht="18" customHeight="1">
      <c r="A22" s="2">
        <v>2561</v>
      </c>
      <c r="B22" s="163" t="s">
        <v>525</v>
      </c>
      <c r="C22" s="151" t="s">
        <v>525</v>
      </c>
      <c r="D22" s="152" t="s">
        <v>526</v>
      </c>
      <c r="E22" s="153" t="s">
        <v>402</v>
      </c>
      <c r="F22" s="144" t="s">
        <v>1212</v>
      </c>
      <c r="G22" s="125" t="s">
        <v>521</v>
      </c>
      <c r="H22" s="164" t="s">
        <v>402</v>
      </c>
      <c r="I22" s="123" t="s">
        <v>402</v>
      </c>
      <c r="J22" s="124">
        <v>0</v>
      </c>
      <c r="K22" s="125" t="s">
        <v>677</v>
      </c>
      <c r="L22" s="165">
        <v>6.0815253122945431E-2</v>
      </c>
      <c r="M22" s="29">
        <v>1</v>
      </c>
      <c r="N22" s="1">
        <v>1.0744244531716256</v>
      </c>
      <c r="O22" s="31" t="s">
        <v>1271</v>
      </c>
      <c r="P22" s="165">
        <v>0.24695923734385272</v>
      </c>
      <c r="Q22" s="29">
        <v>1</v>
      </c>
      <c r="R22" s="1">
        <v>1.0744244531716256</v>
      </c>
      <c r="S22" s="31" t="s">
        <v>1271</v>
      </c>
      <c r="T22" s="165">
        <v>6.0815253122945431E-2</v>
      </c>
      <c r="U22" s="29">
        <v>1</v>
      </c>
      <c r="V22" s="1">
        <v>1.0744244531716256</v>
      </c>
      <c r="W22" s="31" t="s">
        <v>1271</v>
      </c>
      <c r="X22" s="165">
        <v>0.24695923734385272</v>
      </c>
      <c r="Y22" s="29">
        <v>1</v>
      </c>
      <c r="Z22" s="1">
        <v>1.0744244531716256</v>
      </c>
      <c r="AA22" s="31" t="s">
        <v>1271</v>
      </c>
      <c r="AB22" s="165">
        <v>6.0815253122945431E-2</v>
      </c>
      <c r="AC22" s="29">
        <v>1</v>
      </c>
      <c r="AD22" s="1">
        <v>1.0744244531716256</v>
      </c>
      <c r="AE22" s="31" t="s">
        <v>1271</v>
      </c>
      <c r="AF22" s="165">
        <v>0.24695923734385272</v>
      </c>
      <c r="AG22" s="29">
        <v>1</v>
      </c>
      <c r="AH22" s="1">
        <v>1.0744244531716256</v>
      </c>
      <c r="AI22" s="31" t="s">
        <v>1271</v>
      </c>
      <c r="AJ22" s="165">
        <v>6.0815253122945431E-2</v>
      </c>
      <c r="AK22" s="29">
        <v>1</v>
      </c>
      <c r="AL22" s="1">
        <v>1.0744244531716256</v>
      </c>
      <c r="AM22" s="31" t="s">
        <v>1271</v>
      </c>
      <c r="AN22" s="165">
        <v>0.24695923734385272</v>
      </c>
      <c r="AO22" s="29">
        <v>1</v>
      </c>
      <c r="AP22" s="1">
        <v>1.0744244531716256</v>
      </c>
      <c r="AQ22" s="31" t="s">
        <v>1271</v>
      </c>
      <c r="AR22" s="31"/>
      <c r="AS22" s="165">
        <v>0.24695923734385272</v>
      </c>
      <c r="AT22" s="29">
        <v>1</v>
      </c>
      <c r="AU22" s="1">
        <v>1.0744244531716256</v>
      </c>
      <c r="AV22" s="31" t="s">
        <v>1271</v>
      </c>
      <c r="AW22" s="31"/>
    </row>
    <row r="23" spans="1:49" ht="21" customHeight="1">
      <c r="A23" s="226">
        <v>4088</v>
      </c>
      <c r="B23" s="163" t="s">
        <v>525</v>
      </c>
      <c r="C23" s="151" t="s">
        <v>525</v>
      </c>
      <c r="D23" s="152" t="s">
        <v>526</v>
      </c>
      <c r="E23" s="153" t="s">
        <v>402</v>
      </c>
      <c r="F23" s="144" t="s">
        <v>1272</v>
      </c>
      <c r="G23" s="125" t="s">
        <v>521</v>
      </c>
      <c r="H23" s="164" t="s">
        <v>402</v>
      </c>
      <c r="I23" s="123" t="s">
        <v>402</v>
      </c>
      <c r="J23" s="124">
        <v>0</v>
      </c>
      <c r="K23" s="125" t="s">
        <v>677</v>
      </c>
      <c r="L23" s="165">
        <v>0</v>
      </c>
      <c r="M23" s="29">
        <v>1</v>
      </c>
      <c r="N23" s="1">
        <v>1.0744244531716256</v>
      </c>
      <c r="O23" s="31" t="s">
        <v>1271</v>
      </c>
      <c r="P23" s="165">
        <v>2.6997041420118344E-3</v>
      </c>
      <c r="Q23" s="29">
        <v>1</v>
      </c>
      <c r="R23" s="1">
        <v>1.0744244531716256</v>
      </c>
      <c r="S23" s="31" t="s">
        <v>1271</v>
      </c>
      <c r="T23" s="165">
        <v>0</v>
      </c>
      <c r="U23" s="29">
        <v>1</v>
      </c>
      <c r="V23" s="1">
        <v>1.0744244531716256</v>
      </c>
      <c r="W23" s="31" t="s">
        <v>1271</v>
      </c>
      <c r="X23" s="165">
        <v>2.6997041420118344E-3</v>
      </c>
      <c r="Y23" s="29">
        <v>1</v>
      </c>
      <c r="Z23" s="1">
        <v>1.0744244531716256</v>
      </c>
      <c r="AA23" s="31" t="s">
        <v>1271</v>
      </c>
      <c r="AB23" s="165">
        <v>0</v>
      </c>
      <c r="AC23" s="29">
        <v>1</v>
      </c>
      <c r="AD23" s="1">
        <v>1.0744244531716256</v>
      </c>
      <c r="AE23" s="31" t="s">
        <v>1271</v>
      </c>
      <c r="AF23" s="165">
        <v>2.6997041420118344E-3</v>
      </c>
      <c r="AG23" s="29">
        <v>1</v>
      </c>
      <c r="AH23" s="1">
        <v>1.0744244531716256</v>
      </c>
      <c r="AI23" s="31" t="s">
        <v>1271</v>
      </c>
      <c r="AJ23" s="165">
        <v>0</v>
      </c>
      <c r="AK23" s="29">
        <v>1</v>
      </c>
      <c r="AL23" s="1">
        <v>1.0744244531716256</v>
      </c>
      <c r="AM23" s="31" t="s">
        <v>1271</v>
      </c>
      <c r="AN23" s="165">
        <v>2.6997041420118344E-3</v>
      </c>
      <c r="AO23" s="29">
        <v>1</v>
      </c>
      <c r="AP23" s="1">
        <v>1.0744244531716256</v>
      </c>
      <c r="AQ23" s="31" t="s">
        <v>1271</v>
      </c>
      <c r="AR23" s="31"/>
      <c r="AS23" s="165">
        <v>2.6997041420118344E-3</v>
      </c>
      <c r="AT23" s="29">
        <v>1</v>
      </c>
      <c r="AU23" s="1">
        <v>1.0744244531716256</v>
      </c>
      <c r="AV23" s="31" t="s">
        <v>1271</v>
      </c>
      <c r="AW23" s="31"/>
    </row>
    <row r="24" spans="1:49" ht="23.25" customHeight="1">
      <c r="A24" s="156">
        <v>1654</v>
      </c>
      <c r="B24" s="310" t="s">
        <v>154</v>
      </c>
      <c r="C24" s="151" t="s">
        <v>525</v>
      </c>
      <c r="D24" s="152" t="s">
        <v>526</v>
      </c>
      <c r="E24" s="153" t="s">
        <v>402</v>
      </c>
      <c r="F24" s="144" t="s">
        <v>300</v>
      </c>
      <c r="G24" s="125" t="s">
        <v>268</v>
      </c>
      <c r="H24" s="164" t="s">
        <v>402</v>
      </c>
      <c r="I24" s="123" t="s">
        <v>402</v>
      </c>
      <c r="J24" s="124">
        <v>1</v>
      </c>
      <c r="K24" s="125" t="s">
        <v>522</v>
      </c>
      <c r="L24" s="165">
        <v>3.9981919789612098E-7</v>
      </c>
      <c r="M24" s="29">
        <v>1</v>
      </c>
      <c r="N24" s="1">
        <v>3.0037858420674688</v>
      </c>
      <c r="O24" s="31" t="s">
        <v>1271</v>
      </c>
      <c r="P24" s="165">
        <v>3.9981919789612098E-7</v>
      </c>
      <c r="Q24" s="29">
        <v>1</v>
      </c>
      <c r="R24" s="1">
        <v>3.0037858420674688</v>
      </c>
      <c r="S24" s="31" t="s">
        <v>1271</v>
      </c>
      <c r="T24" s="165">
        <v>3.9981919789612098E-7</v>
      </c>
      <c r="U24" s="29">
        <v>1</v>
      </c>
      <c r="V24" s="1">
        <v>3.0037858420674688</v>
      </c>
      <c r="W24" s="31" t="s">
        <v>1271</v>
      </c>
      <c r="X24" s="165">
        <v>3.9981919789612098E-7</v>
      </c>
      <c r="Y24" s="29">
        <v>1</v>
      </c>
      <c r="Z24" s="1">
        <v>3.0037858420674688</v>
      </c>
      <c r="AA24" s="31" t="s">
        <v>1271</v>
      </c>
      <c r="AB24" s="165">
        <v>3.9981919789612098E-7</v>
      </c>
      <c r="AC24" s="29">
        <v>1</v>
      </c>
      <c r="AD24" s="1">
        <v>3.0037858420674688</v>
      </c>
      <c r="AE24" s="31" t="s">
        <v>1271</v>
      </c>
      <c r="AF24" s="165">
        <v>3.9981919789612098E-7</v>
      </c>
      <c r="AG24" s="29">
        <v>1</v>
      </c>
      <c r="AH24" s="1">
        <v>3.0037858420674688</v>
      </c>
      <c r="AI24" s="31" t="s">
        <v>1271</v>
      </c>
      <c r="AJ24" s="165">
        <v>3.9981919789612098E-7</v>
      </c>
      <c r="AK24" s="29">
        <v>1</v>
      </c>
      <c r="AL24" s="1">
        <v>3.0037858420674688</v>
      </c>
      <c r="AM24" s="31" t="s">
        <v>1271</v>
      </c>
      <c r="AN24" s="165">
        <v>3.9981919789612098E-7</v>
      </c>
      <c r="AO24" s="29">
        <v>1</v>
      </c>
      <c r="AP24" s="1">
        <v>3.0037858420674688</v>
      </c>
      <c r="AQ24" s="31" t="s">
        <v>1271</v>
      </c>
      <c r="AR24" s="31"/>
      <c r="AS24" s="165">
        <v>3.9981919789612098E-7</v>
      </c>
      <c r="AT24" s="29">
        <v>1</v>
      </c>
      <c r="AU24" s="1">
        <v>3.0037858420674688</v>
      </c>
      <c r="AV24" s="31" t="s">
        <v>1271</v>
      </c>
      <c r="AW24" s="31"/>
    </row>
    <row r="25" spans="1:49" ht="17.25" customHeight="1">
      <c r="A25" s="640" t="s">
        <v>957</v>
      </c>
      <c r="B25" s="310" t="s">
        <v>10</v>
      </c>
      <c r="C25" s="151" t="s">
        <v>525</v>
      </c>
      <c r="D25" s="152" t="s">
        <v>526</v>
      </c>
      <c r="E25" s="153" t="s">
        <v>402</v>
      </c>
      <c r="F25" s="144" t="s">
        <v>1264</v>
      </c>
      <c r="G25" s="125" t="s">
        <v>521</v>
      </c>
      <c r="H25" s="164" t="s">
        <v>402</v>
      </c>
      <c r="I25" s="123" t="s">
        <v>402</v>
      </c>
      <c r="J25" s="124">
        <v>0</v>
      </c>
      <c r="K25" s="125" t="s">
        <v>396</v>
      </c>
      <c r="L25" s="165">
        <v>0</v>
      </c>
      <c r="M25" s="29">
        <v>1</v>
      </c>
      <c r="N25" s="1">
        <v>3.0037858420674688</v>
      </c>
      <c r="O25" s="31" t="s">
        <v>1271</v>
      </c>
      <c r="P25" s="165">
        <v>0</v>
      </c>
      <c r="Q25" s="29">
        <v>1</v>
      </c>
      <c r="R25" s="1">
        <v>3.0037858420674688</v>
      </c>
      <c r="S25" s="31" t="s">
        <v>1271</v>
      </c>
      <c r="T25" s="165">
        <v>0</v>
      </c>
      <c r="U25" s="29">
        <v>1</v>
      </c>
      <c r="V25" s="1">
        <v>3.0037858420674688</v>
      </c>
      <c r="W25" s="31" t="s">
        <v>1271</v>
      </c>
      <c r="X25" s="165">
        <v>0</v>
      </c>
      <c r="Y25" s="29">
        <v>1</v>
      </c>
      <c r="Z25" s="1">
        <v>3.0037858420674688</v>
      </c>
      <c r="AA25" s="31" t="s">
        <v>1271</v>
      </c>
      <c r="AB25" s="165">
        <v>0</v>
      </c>
      <c r="AC25" s="29">
        <v>1</v>
      </c>
      <c r="AD25" s="1">
        <v>3.0037858420674688</v>
      </c>
      <c r="AE25" s="31" t="s">
        <v>1271</v>
      </c>
      <c r="AF25" s="165">
        <v>0</v>
      </c>
      <c r="AG25" s="29">
        <v>1</v>
      </c>
      <c r="AH25" s="1">
        <v>3.0037858420674688</v>
      </c>
      <c r="AI25" s="31" t="s">
        <v>1271</v>
      </c>
      <c r="AJ25" s="165">
        <v>0</v>
      </c>
      <c r="AK25" s="29">
        <v>1</v>
      </c>
      <c r="AL25" s="1">
        <v>3.0037858420674688</v>
      </c>
      <c r="AM25" s="31" t="s">
        <v>1271</v>
      </c>
      <c r="AN25" s="165">
        <v>1.04</v>
      </c>
      <c r="AO25" s="29">
        <v>1</v>
      </c>
      <c r="AP25" s="1">
        <v>3.0037858420674688</v>
      </c>
      <c r="AQ25" s="31" t="s">
        <v>1271</v>
      </c>
      <c r="AR25" s="31"/>
      <c r="AS25" s="165">
        <v>0</v>
      </c>
      <c r="AT25" s="29">
        <v>1</v>
      </c>
      <c r="AU25" s="1">
        <v>3.0037858420674688</v>
      </c>
      <c r="AV25" s="31" t="s">
        <v>1271</v>
      </c>
      <c r="AW25" s="31"/>
    </row>
    <row r="26" spans="1:49" ht="23.25" customHeight="1">
      <c r="A26" s="640" t="s">
        <v>958</v>
      </c>
      <c r="B26" s="310"/>
      <c r="C26" s="151" t="s">
        <v>525</v>
      </c>
      <c r="D26" s="152" t="s">
        <v>526</v>
      </c>
      <c r="E26" s="153" t="s">
        <v>402</v>
      </c>
      <c r="F26" s="144" t="s">
        <v>1265</v>
      </c>
      <c r="G26" s="125" t="s">
        <v>521</v>
      </c>
      <c r="H26" s="164" t="s">
        <v>402</v>
      </c>
      <c r="I26" s="123" t="s">
        <v>402</v>
      </c>
      <c r="J26" s="124">
        <v>0</v>
      </c>
      <c r="K26" s="125" t="s">
        <v>396</v>
      </c>
      <c r="L26" s="165">
        <v>0</v>
      </c>
      <c r="M26" s="29">
        <v>1</v>
      </c>
      <c r="N26" s="1">
        <v>3.0037858420674688</v>
      </c>
      <c r="O26" s="31" t="s">
        <v>1271</v>
      </c>
      <c r="P26" s="165">
        <v>0</v>
      </c>
      <c r="Q26" s="29">
        <v>1</v>
      </c>
      <c r="R26" s="1">
        <v>3.0037858420674688</v>
      </c>
      <c r="S26" s="31" t="s">
        <v>1271</v>
      </c>
      <c r="T26" s="165">
        <v>0</v>
      </c>
      <c r="U26" s="29">
        <v>1</v>
      </c>
      <c r="V26" s="1">
        <v>3.0037858420674688</v>
      </c>
      <c r="W26" s="31" t="s">
        <v>1271</v>
      </c>
      <c r="X26" s="165">
        <v>0</v>
      </c>
      <c r="Y26" s="29">
        <v>1</v>
      </c>
      <c r="Z26" s="1">
        <v>3.0037858420674688</v>
      </c>
      <c r="AA26" s="31" t="s">
        <v>1271</v>
      </c>
      <c r="AB26" s="165">
        <v>0</v>
      </c>
      <c r="AC26" s="29">
        <v>1</v>
      </c>
      <c r="AD26" s="1">
        <v>3.0037858420674688</v>
      </c>
      <c r="AE26" s="31" t="s">
        <v>1271</v>
      </c>
      <c r="AF26" s="165">
        <v>0</v>
      </c>
      <c r="AG26" s="29">
        <v>1</v>
      </c>
      <c r="AH26" s="1">
        <v>3.0037858420674688</v>
      </c>
      <c r="AI26" s="31" t="s">
        <v>1271</v>
      </c>
      <c r="AJ26" s="165">
        <v>1.03</v>
      </c>
      <c r="AK26" s="29">
        <v>1</v>
      </c>
      <c r="AL26" s="1">
        <v>3.0037858420674688</v>
      </c>
      <c r="AM26" s="31" t="s">
        <v>1271</v>
      </c>
      <c r="AN26" s="165">
        <v>0</v>
      </c>
      <c r="AO26" s="29">
        <v>1</v>
      </c>
      <c r="AP26" s="1">
        <v>3.0037858420674688</v>
      </c>
      <c r="AQ26" s="31" t="s">
        <v>1271</v>
      </c>
      <c r="AR26" s="31"/>
      <c r="AS26" s="165">
        <v>0</v>
      </c>
      <c r="AT26" s="29">
        <v>1</v>
      </c>
      <c r="AU26" s="1">
        <v>3.0037858420674688</v>
      </c>
      <c r="AV26" s="31" t="s">
        <v>1271</v>
      </c>
      <c r="AW26" s="31"/>
    </row>
    <row r="27" spans="1:49" ht="20.25" customHeight="1">
      <c r="A27" s="122">
        <v>4836</v>
      </c>
      <c r="B27" s="310" t="s">
        <v>525</v>
      </c>
      <c r="C27" s="151" t="s">
        <v>525</v>
      </c>
      <c r="D27" s="152" t="s">
        <v>526</v>
      </c>
      <c r="E27" s="153" t="s">
        <v>402</v>
      </c>
      <c r="F27" s="144" t="s">
        <v>1236</v>
      </c>
      <c r="G27" s="125" t="s">
        <v>521</v>
      </c>
      <c r="H27" s="164" t="s">
        <v>402</v>
      </c>
      <c r="I27" s="123" t="s">
        <v>402</v>
      </c>
      <c r="J27" s="124">
        <v>0</v>
      </c>
      <c r="K27" s="125" t="s">
        <v>396</v>
      </c>
      <c r="L27" s="165">
        <v>0</v>
      </c>
      <c r="M27" s="29">
        <v>1</v>
      </c>
      <c r="N27" s="1">
        <v>1.0744244531716256</v>
      </c>
      <c r="O27" s="31" t="s">
        <v>1271</v>
      </c>
      <c r="P27" s="165">
        <v>0</v>
      </c>
      <c r="Q27" s="29">
        <v>1</v>
      </c>
      <c r="R27" s="1">
        <v>1.0744244531716256</v>
      </c>
      <c r="S27" s="31" t="s">
        <v>1271</v>
      </c>
      <c r="T27" s="165">
        <v>0</v>
      </c>
      <c r="U27" s="29">
        <v>1</v>
      </c>
      <c r="V27" s="1">
        <v>1.0744244531716256</v>
      </c>
      <c r="W27" s="31" t="s">
        <v>1271</v>
      </c>
      <c r="X27" s="165">
        <v>0</v>
      </c>
      <c r="Y27" s="29">
        <v>1</v>
      </c>
      <c r="Z27" s="1">
        <v>1.0744244531716256</v>
      </c>
      <c r="AA27" s="31" t="s">
        <v>1271</v>
      </c>
      <c r="AB27" s="165">
        <v>0</v>
      </c>
      <c r="AC27" s="29">
        <v>1</v>
      </c>
      <c r="AD27" s="1">
        <v>1.0744244531716256</v>
      </c>
      <c r="AE27" s="31" t="s">
        <v>1271</v>
      </c>
      <c r="AF27" s="165">
        <v>0</v>
      </c>
      <c r="AG27" s="29">
        <v>1</v>
      </c>
      <c r="AH27" s="1">
        <v>1.0744244531716256</v>
      </c>
      <c r="AI27" s="31" t="s">
        <v>1271</v>
      </c>
      <c r="AJ27" s="165">
        <v>0</v>
      </c>
      <c r="AK27" s="29">
        <v>1</v>
      </c>
      <c r="AL27" s="1">
        <v>1.0744244531716256</v>
      </c>
      <c r="AM27" s="31" t="s">
        <v>1271</v>
      </c>
      <c r="AN27" s="165">
        <v>0</v>
      </c>
      <c r="AO27" s="29">
        <v>1</v>
      </c>
      <c r="AP27" s="1">
        <v>1.0744244531716256</v>
      </c>
      <c r="AQ27" s="31" t="s">
        <v>1271</v>
      </c>
      <c r="AR27" s="31"/>
      <c r="AS27" s="165">
        <v>1.075268817204301</v>
      </c>
      <c r="AT27" s="29">
        <v>1</v>
      </c>
      <c r="AU27" s="1">
        <v>1.0744244531716256</v>
      </c>
      <c r="AV27" s="31" t="s">
        <v>1271</v>
      </c>
      <c r="AW27" s="31"/>
    </row>
    <row r="28" spans="1:49" ht="20.25" customHeight="1" outlineLevel="1">
      <c r="A28" s="471" t="s">
        <v>758</v>
      </c>
      <c r="B28" s="310" t="s">
        <v>525</v>
      </c>
      <c r="C28" s="151" t="s">
        <v>525</v>
      </c>
      <c r="D28" s="152" t="s">
        <v>526</v>
      </c>
      <c r="E28" s="153" t="s">
        <v>402</v>
      </c>
      <c r="F28" s="144" t="s">
        <v>1120</v>
      </c>
      <c r="G28" s="125" t="s">
        <v>1105</v>
      </c>
      <c r="H28" s="164" t="s">
        <v>402</v>
      </c>
      <c r="I28" s="123" t="s">
        <v>402</v>
      </c>
      <c r="J28" s="124">
        <v>0</v>
      </c>
      <c r="K28" s="125" t="s">
        <v>396</v>
      </c>
      <c r="L28" s="165">
        <v>0</v>
      </c>
      <c r="M28" s="29">
        <v>1</v>
      </c>
      <c r="N28" s="1">
        <v>1.0744244531716256</v>
      </c>
      <c r="O28" s="31" t="s">
        <v>1271</v>
      </c>
      <c r="P28" s="165">
        <v>1.04</v>
      </c>
      <c r="Q28" s="29">
        <v>1</v>
      </c>
      <c r="R28" s="1">
        <v>1.0744244531716256</v>
      </c>
      <c r="S28" s="31" t="s">
        <v>1271</v>
      </c>
      <c r="T28" s="165">
        <v>0</v>
      </c>
      <c r="U28" s="29">
        <v>1</v>
      </c>
      <c r="V28" s="1">
        <v>1.0744244531716256</v>
      </c>
      <c r="W28" s="31" t="s">
        <v>1271</v>
      </c>
      <c r="X28" s="165">
        <v>0</v>
      </c>
      <c r="Y28" s="29">
        <v>1</v>
      </c>
      <c r="Z28" s="1">
        <v>1.0744244531716256</v>
      </c>
      <c r="AA28" s="31" t="s">
        <v>1271</v>
      </c>
      <c r="AB28" s="165">
        <v>0</v>
      </c>
      <c r="AC28" s="29">
        <v>1</v>
      </c>
      <c r="AD28" s="1">
        <v>1.0744244531716256</v>
      </c>
      <c r="AE28" s="31" t="s">
        <v>1271</v>
      </c>
      <c r="AF28" s="165">
        <v>0</v>
      </c>
      <c r="AG28" s="29">
        <v>1</v>
      </c>
      <c r="AH28" s="1">
        <v>1.0744244531716256</v>
      </c>
      <c r="AI28" s="31" t="s">
        <v>1271</v>
      </c>
      <c r="AJ28" s="165">
        <v>0</v>
      </c>
      <c r="AK28" s="29">
        <v>1</v>
      </c>
      <c r="AL28" s="1">
        <v>1.0744244531716256</v>
      </c>
      <c r="AM28" s="31" t="s">
        <v>1271</v>
      </c>
      <c r="AN28" s="165">
        <v>0</v>
      </c>
      <c r="AO28" s="29">
        <v>1</v>
      </c>
      <c r="AP28" s="1">
        <v>1.0744244531716256</v>
      </c>
      <c r="AQ28" s="31" t="s">
        <v>1271</v>
      </c>
      <c r="AR28" s="31"/>
      <c r="AS28" s="165">
        <v>0</v>
      </c>
      <c r="AT28" s="29">
        <v>1</v>
      </c>
      <c r="AU28" s="1">
        <v>1.0744244531716256</v>
      </c>
      <c r="AV28" s="31" t="s">
        <v>1271</v>
      </c>
      <c r="AW28" s="31"/>
    </row>
    <row r="29" spans="1:49" ht="20.25" customHeight="1" outlineLevel="1">
      <c r="A29" s="471" t="s">
        <v>759</v>
      </c>
      <c r="B29" s="310" t="s">
        <v>525</v>
      </c>
      <c r="C29" s="151" t="s">
        <v>525</v>
      </c>
      <c r="D29" s="152" t="s">
        <v>526</v>
      </c>
      <c r="E29" s="153" t="s">
        <v>402</v>
      </c>
      <c r="F29" s="144" t="s">
        <v>1119</v>
      </c>
      <c r="G29" s="125" t="s">
        <v>1105</v>
      </c>
      <c r="H29" s="164" t="s">
        <v>402</v>
      </c>
      <c r="I29" s="123" t="s">
        <v>402</v>
      </c>
      <c r="J29" s="124">
        <v>0</v>
      </c>
      <c r="K29" s="125" t="s">
        <v>396</v>
      </c>
      <c r="L29" s="165">
        <v>1.03</v>
      </c>
      <c r="M29" s="29">
        <v>1</v>
      </c>
      <c r="N29" s="1">
        <v>1.0744244531716256</v>
      </c>
      <c r="O29" s="31" t="s">
        <v>1271</v>
      </c>
      <c r="P29" s="165">
        <v>0</v>
      </c>
      <c r="Q29" s="29">
        <v>1</v>
      </c>
      <c r="R29" s="1">
        <v>1.0744244531716256</v>
      </c>
      <c r="S29" s="31" t="s">
        <v>1271</v>
      </c>
      <c r="T29" s="165">
        <v>0</v>
      </c>
      <c r="U29" s="29">
        <v>1</v>
      </c>
      <c r="V29" s="1">
        <v>1.0744244531716256</v>
      </c>
      <c r="W29" s="31" t="s">
        <v>1271</v>
      </c>
      <c r="X29" s="165">
        <v>0</v>
      </c>
      <c r="Y29" s="29">
        <v>1</v>
      </c>
      <c r="Z29" s="1">
        <v>1.0744244531716256</v>
      </c>
      <c r="AA29" s="31" t="s">
        <v>1271</v>
      </c>
      <c r="AB29" s="165">
        <v>0</v>
      </c>
      <c r="AC29" s="29">
        <v>1</v>
      </c>
      <c r="AD29" s="1">
        <v>1.0744244531716256</v>
      </c>
      <c r="AE29" s="31" t="s">
        <v>1271</v>
      </c>
      <c r="AF29" s="165">
        <v>0</v>
      </c>
      <c r="AG29" s="29">
        <v>1</v>
      </c>
      <c r="AH29" s="1">
        <v>1.0744244531716256</v>
      </c>
      <c r="AI29" s="31" t="s">
        <v>1271</v>
      </c>
      <c r="AJ29" s="165">
        <v>0</v>
      </c>
      <c r="AK29" s="29">
        <v>1</v>
      </c>
      <c r="AL29" s="1">
        <v>1.0744244531716256</v>
      </c>
      <c r="AM29" s="31" t="s">
        <v>1271</v>
      </c>
      <c r="AN29" s="165">
        <v>0</v>
      </c>
      <c r="AO29" s="29">
        <v>1</v>
      </c>
      <c r="AP29" s="1">
        <v>1.0744244531716256</v>
      </c>
      <c r="AQ29" s="31" t="s">
        <v>1271</v>
      </c>
      <c r="AR29" s="31"/>
      <c r="AS29" s="165">
        <v>0</v>
      </c>
      <c r="AT29" s="29">
        <v>1</v>
      </c>
      <c r="AU29" s="1">
        <v>1.0744244531716256</v>
      </c>
      <c r="AV29" s="31" t="s">
        <v>1271</v>
      </c>
      <c r="AW29" s="31"/>
    </row>
    <row r="30" spans="1:49" ht="20.25" customHeight="1" outlineLevel="1">
      <c r="A30" s="471" t="s">
        <v>897</v>
      </c>
      <c r="B30" s="310" t="s">
        <v>525</v>
      </c>
      <c r="C30" s="151" t="s">
        <v>525</v>
      </c>
      <c r="D30" s="152" t="s">
        <v>526</v>
      </c>
      <c r="E30" s="153" t="s">
        <v>402</v>
      </c>
      <c r="F30" s="144" t="s">
        <v>1264</v>
      </c>
      <c r="G30" s="125" t="s">
        <v>465</v>
      </c>
      <c r="H30" s="164" t="s">
        <v>402</v>
      </c>
      <c r="I30" s="123" t="s">
        <v>402</v>
      </c>
      <c r="J30" s="124">
        <v>0</v>
      </c>
      <c r="K30" s="125" t="s">
        <v>396</v>
      </c>
      <c r="L30" s="165">
        <v>0</v>
      </c>
      <c r="M30" s="29">
        <v>1</v>
      </c>
      <c r="N30" s="1">
        <v>3.0037858420674688</v>
      </c>
      <c r="O30" s="31" t="s">
        <v>1271</v>
      </c>
      <c r="P30" s="165">
        <v>0</v>
      </c>
      <c r="Q30" s="29">
        <v>1</v>
      </c>
      <c r="R30" s="1">
        <v>3.0037858420674688</v>
      </c>
      <c r="S30" s="31" t="s">
        <v>1271</v>
      </c>
      <c r="T30" s="165">
        <v>0</v>
      </c>
      <c r="U30" s="29">
        <v>1</v>
      </c>
      <c r="V30" s="1">
        <v>3.0037858420674688</v>
      </c>
      <c r="W30" s="31" t="s">
        <v>1271</v>
      </c>
      <c r="X30" s="165">
        <v>1.04</v>
      </c>
      <c r="Y30" s="29">
        <v>1</v>
      </c>
      <c r="Z30" s="1">
        <v>3.0037858420674688</v>
      </c>
      <c r="AA30" s="31" t="s">
        <v>1271</v>
      </c>
      <c r="AB30" s="165">
        <v>0</v>
      </c>
      <c r="AC30" s="29">
        <v>1</v>
      </c>
      <c r="AD30" s="1">
        <v>3.0037858420674688</v>
      </c>
      <c r="AE30" s="31" t="s">
        <v>1271</v>
      </c>
      <c r="AF30" s="165">
        <v>0</v>
      </c>
      <c r="AG30" s="29">
        <v>1</v>
      </c>
      <c r="AH30" s="1">
        <v>3.0037858420674688</v>
      </c>
      <c r="AI30" s="31" t="s">
        <v>1271</v>
      </c>
      <c r="AJ30" s="165">
        <v>0</v>
      </c>
      <c r="AK30" s="29">
        <v>1</v>
      </c>
      <c r="AL30" s="1">
        <v>3.0037858420674688</v>
      </c>
      <c r="AM30" s="31" t="s">
        <v>1271</v>
      </c>
      <c r="AN30" s="165">
        <v>0</v>
      </c>
      <c r="AO30" s="29">
        <v>1</v>
      </c>
      <c r="AP30" s="1">
        <v>3.0037858420674688</v>
      </c>
      <c r="AQ30" s="31" t="s">
        <v>1271</v>
      </c>
      <c r="AR30" s="31"/>
      <c r="AS30" s="165">
        <v>0</v>
      </c>
      <c r="AT30" s="29">
        <v>1</v>
      </c>
      <c r="AU30" s="1">
        <v>3.0037858420674688</v>
      </c>
      <c r="AV30" s="31" t="s">
        <v>1271</v>
      </c>
      <c r="AW30" s="31"/>
    </row>
    <row r="31" spans="1:49" ht="20.25" customHeight="1" outlineLevel="1">
      <c r="A31" s="471" t="s">
        <v>898</v>
      </c>
      <c r="B31" s="310" t="s">
        <v>525</v>
      </c>
      <c r="C31" s="151" t="s">
        <v>525</v>
      </c>
      <c r="D31" s="152" t="s">
        <v>526</v>
      </c>
      <c r="E31" s="153" t="s">
        <v>402</v>
      </c>
      <c r="F31" s="144" t="s">
        <v>1265</v>
      </c>
      <c r="G31" s="125" t="s">
        <v>465</v>
      </c>
      <c r="H31" s="164" t="s">
        <v>402</v>
      </c>
      <c r="I31" s="123" t="s">
        <v>402</v>
      </c>
      <c r="J31" s="124">
        <v>0</v>
      </c>
      <c r="K31" s="125" t="s">
        <v>396</v>
      </c>
      <c r="L31" s="165">
        <v>0</v>
      </c>
      <c r="M31" s="29">
        <v>1</v>
      </c>
      <c r="N31" s="1">
        <v>3.0037858420674688</v>
      </c>
      <c r="O31" s="31" t="s">
        <v>1271</v>
      </c>
      <c r="P31" s="165">
        <v>0</v>
      </c>
      <c r="Q31" s="29">
        <v>1</v>
      </c>
      <c r="R31" s="1">
        <v>3.0037858420674688</v>
      </c>
      <c r="S31" s="31" t="s">
        <v>1271</v>
      </c>
      <c r="T31" s="165">
        <v>1.03</v>
      </c>
      <c r="U31" s="29">
        <v>1</v>
      </c>
      <c r="V31" s="1">
        <v>3.0037858420674688</v>
      </c>
      <c r="W31" s="31" t="s">
        <v>1271</v>
      </c>
      <c r="X31" s="165">
        <v>0</v>
      </c>
      <c r="Y31" s="29">
        <v>1</v>
      </c>
      <c r="Z31" s="1">
        <v>3.0037858420674688</v>
      </c>
      <c r="AA31" s="31" t="s">
        <v>1271</v>
      </c>
      <c r="AB31" s="165">
        <v>0</v>
      </c>
      <c r="AC31" s="29">
        <v>1</v>
      </c>
      <c r="AD31" s="1">
        <v>3.0037858420674688</v>
      </c>
      <c r="AE31" s="31" t="s">
        <v>1271</v>
      </c>
      <c r="AF31" s="165">
        <v>0</v>
      </c>
      <c r="AG31" s="29">
        <v>1</v>
      </c>
      <c r="AH31" s="1">
        <v>3.0037858420674688</v>
      </c>
      <c r="AI31" s="31" t="s">
        <v>1271</v>
      </c>
      <c r="AJ31" s="165">
        <v>0</v>
      </c>
      <c r="AK31" s="29">
        <v>1</v>
      </c>
      <c r="AL31" s="1">
        <v>3.0037858420674688</v>
      </c>
      <c r="AM31" s="31" t="s">
        <v>1271</v>
      </c>
      <c r="AN31" s="165">
        <v>0</v>
      </c>
      <c r="AO31" s="29">
        <v>1</v>
      </c>
      <c r="AP31" s="1">
        <v>3.0037858420674688</v>
      </c>
      <c r="AQ31" s="31" t="s">
        <v>1271</v>
      </c>
      <c r="AR31" s="31"/>
      <c r="AS31" s="165">
        <v>0</v>
      </c>
      <c r="AT31" s="29">
        <v>1</v>
      </c>
      <c r="AU31" s="1">
        <v>3.0037858420674688</v>
      </c>
      <c r="AV31" s="31" t="s">
        <v>1271</v>
      </c>
      <c r="AW31" s="31"/>
    </row>
    <row r="32" spans="1:49" ht="20.25" customHeight="1" outlineLevel="1">
      <c r="A32" s="471" t="s">
        <v>899</v>
      </c>
      <c r="B32" s="310" t="s">
        <v>525</v>
      </c>
      <c r="C32" s="151" t="s">
        <v>525</v>
      </c>
      <c r="D32" s="152" t="s">
        <v>526</v>
      </c>
      <c r="E32" s="153" t="s">
        <v>402</v>
      </c>
      <c r="F32" s="144" t="s">
        <v>1264</v>
      </c>
      <c r="G32" s="125" t="s">
        <v>956</v>
      </c>
      <c r="H32" s="164" t="s">
        <v>402</v>
      </c>
      <c r="I32" s="123" t="s">
        <v>402</v>
      </c>
      <c r="J32" s="124">
        <v>0</v>
      </c>
      <c r="K32" s="125" t="s">
        <v>396</v>
      </c>
      <c r="L32" s="165">
        <v>0</v>
      </c>
      <c r="M32" s="29">
        <v>1</v>
      </c>
      <c r="N32" s="1">
        <v>3.0037858420674688</v>
      </c>
      <c r="O32" s="31" t="s">
        <v>1271</v>
      </c>
      <c r="P32" s="165">
        <v>0</v>
      </c>
      <c r="Q32" s="29">
        <v>1</v>
      </c>
      <c r="R32" s="1">
        <v>3.0037858420674688</v>
      </c>
      <c r="S32" s="31" t="s">
        <v>1271</v>
      </c>
      <c r="T32" s="165">
        <v>0</v>
      </c>
      <c r="U32" s="29">
        <v>1</v>
      </c>
      <c r="V32" s="1">
        <v>3.0037858420674688</v>
      </c>
      <c r="W32" s="31" t="s">
        <v>1271</v>
      </c>
      <c r="X32" s="165">
        <v>0</v>
      </c>
      <c r="Y32" s="29">
        <v>1</v>
      </c>
      <c r="Z32" s="1">
        <v>3.0037858420674688</v>
      </c>
      <c r="AA32" s="31" t="s">
        <v>1271</v>
      </c>
      <c r="AB32" s="165">
        <v>0</v>
      </c>
      <c r="AC32" s="29">
        <v>1</v>
      </c>
      <c r="AD32" s="1">
        <v>3.0037858420674688</v>
      </c>
      <c r="AE32" s="31" t="s">
        <v>1271</v>
      </c>
      <c r="AF32" s="165">
        <v>1.04</v>
      </c>
      <c r="AG32" s="29">
        <v>1</v>
      </c>
      <c r="AH32" s="1">
        <v>3.0037858420674688</v>
      </c>
      <c r="AI32" s="31" t="s">
        <v>1271</v>
      </c>
      <c r="AJ32" s="165">
        <v>0</v>
      </c>
      <c r="AK32" s="29">
        <v>1</v>
      </c>
      <c r="AL32" s="1">
        <v>3.0037858420674688</v>
      </c>
      <c r="AM32" s="31" t="s">
        <v>1271</v>
      </c>
      <c r="AN32" s="165">
        <v>0</v>
      </c>
      <c r="AO32" s="29">
        <v>1</v>
      </c>
      <c r="AP32" s="1">
        <v>3.0037858420674688</v>
      </c>
      <c r="AQ32" s="31" t="s">
        <v>1271</v>
      </c>
      <c r="AR32" s="31"/>
      <c r="AS32" s="165">
        <v>0</v>
      </c>
      <c r="AT32" s="29">
        <v>1</v>
      </c>
      <c r="AU32" s="1">
        <v>3.0037858420674688</v>
      </c>
      <c r="AV32" s="31" t="s">
        <v>1271</v>
      </c>
      <c r="AW32" s="31"/>
    </row>
    <row r="33" spans="1:49" ht="20.25" customHeight="1" outlineLevel="1">
      <c r="A33" s="471" t="s">
        <v>900</v>
      </c>
      <c r="B33" s="310" t="s">
        <v>525</v>
      </c>
      <c r="C33" s="151" t="s">
        <v>525</v>
      </c>
      <c r="D33" s="152" t="s">
        <v>526</v>
      </c>
      <c r="E33" s="153" t="s">
        <v>402</v>
      </c>
      <c r="F33" s="144" t="s">
        <v>1265</v>
      </c>
      <c r="G33" s="125" t="s">
        <v>956</v>
      </c>
      <c r="H33" s="164" t="s">
        <v>402</v>
      </c>
      <c r="I33" s="123" t="s">
        <v>402</v>
      </c>
      <c r="J33" s="124">
        <v>0</v>
      </c>
      <c r="K33" s="125" t="s">
        <v>396</v>
      </c>
      <c r="L33" s="165">
        <v>0</v>
      </c>
      <c r="M33" s="29">
        <v>1</v>
      </c>
      <c r="N33" s="1">
        <v>3.0037858420674688</v>
      </c>
      <c r="O33" s="31" t="s">
        <v>1271</v>
      </c>
      <c r="P33" s="165">
        <v>0</v>
      </c>
      <c r="Q33" s="29">
        <v>1</v>
      </c>
      <c r="R33" s="1">
        <v>3.0037858420674688</v>
      </c>
      <c r="S33" s="31" t="s">
        <v>1271</v>
      </c>
      <c r="T33" s="165">
        <v>0</v>
      </c>
      <c r="U33" s="29">
        <v>1</v>
      </c>
      <c r="V33" s="1">
        <v>3.0037858420674688</v>
      </c>
      <c r="W33" s="31" t="s">
        <v>1271</v>
      </c>
      <c r="X33" s="165">
        <v>0</v>
      </c>
      <c r="Y33" s="29">
        <v>1</v>
      </c>
      <c r="Z33" s="1">
        <v>3.0037858420674688</v>
      </c>
      <c r="AA33" s="31" t="s">
        <v>1271</v>
      </c>
      <c r="AB33" s="165">
        <v>1.03</v>
      </c>
      <c r="AC33" s="29">
        <v>1</v>
      </c>
      <c r="AD33" s="1">
        <v>3.0037858420674688</v>
      </c>
      <c r="AE33" s="31" t="s">
        <v>1271</v>
      </c>
      <c r="AF33" s="165">
        <v>0</v>
      </c>
      <c r="AG33" s="29">
        <v>1</v>
      </c>
      <c r="AH33" s="1">
        <v>3.0037858420674688</v>
      </c>
      <c r="AI33" s="31" t="s">
        <v>1271</v>
      </c>
      <c r="AJ33" s="165">
        <v>0</v>
      </c>
      <c r="AK33" s="29">
        <v>1</v>
      </c>
      <c r="AL33" s="1">
        <v>3.0037858420674688</v>
      </c>
      <c r="AM33" s="31" t="s">
        <v>1271</v>
      </c>
      <c r="AN33" s="165">
        <v>0</v>
      </c>
      <c r="AO33" s="29">
        <v>1</v>
      </c>
      <c r="AP33" s="1">
        <v>3.0037858420674688</v>
      </c>
      <c r="AQ33" s="31" t="s">
        <v>1271</v>
      </c>
      <c r="AR33" s="31"/>
      <c r="AS33" s="165">
        <v>0</v>
      </c>
      <c r="AT33" s="29">
        <v>1</v>
      </c>
      <c r="AU33" s="1">
        <v>3.0037858420674688</v>
      </c>
      <c r="AV33" s="31" t="s">
        <v>1271</v>
      </c>
      <c r="AW33" s="31"/>
    </row>
    <row r="34" spans="1:49" ht="13.5" customHeight="1">
      <c r="A34" s="120">
        <v>32071</v>
      </c>
      <c r="B34" s="310" t="s">
        <v>150</v>
      </c>
      <c r="C34" s="151" t="s">
        <v>525</v>
      </c>
      <c r="D34" s="152" t="s">
        <v>526</v>
      </c>
      <c r="E34" s="153" t="s">
        <v>402</v>
      </c>
      <c r="F34" s="144" t="s">
        <v>1273</v>
      </c>
      <c r="G34" s="125" t="s">
        <v>521</v>
      </c>
      <c r="H34" s="164" t="s">
        <v>402</v>
      </c>
      <c r="I34" s="123" t="s">
        <v>402</v>
      </c>
      <c r="J34" s="124">
        <v>0</v>
      </c>
      <c r="K34" s="125" t="s">
        <v>395</v>
      </c>
      <c r="L34" s="165">
        <v>5.7527942143326752E-3</v>
      </c>
      <c r="M34" s="29">
        <v>1</v>
      </c>
      <c r="N34" s="1">
        <v>1.0744244531716256</v>
      </c>
      <c r="O34" s="31" t="s">
        <v>1271</v>
      </c>
      <c r="P34" s="165">
        <v>9.1222879684418143E-3</v>
      </c>
      <c r="Q34" s="29">
        <v>1</v>
      </c>
      <c r="R34" s="1">
        <v>1.0744244531716256</v>
      </c>
      <c r="S34" s="31" t="s">
        <v>1271</v>
      </c>
      <c r="T34" s="165">
        <v>5.7527942143326752E-3</v>
      </c>
      <c r="U34" s="29">
        <v>1</v>
      </c>
      <c r="V34" s="1">
        <v>1.0744244531716256</v>
      </c>
      <c r="W34" s="31" t="s">
        <v>1271</v>
      </c>
      <c r="X34" s="165">
        <v>9.1222879684418143E-3</v>
      </c>
      <c r="Y34" s="29">
        <v>1</v>
      </c>
      <c r="Z34" s="1">
        <v>1.0744244531716256</v>
      </c>
      <c r="AA34" s="31" t="s">
        <v>1271</v>
      </c>
      <c r="AB34" s="165">
        <v>5.7527942143326752E-3</v>
      </c>
      <c r="AC34" s="29">
        <v>1</v>
      </c>
      <c r="AD34" s="1">
        <v>1.0744244531716256</v>
      </c>
      <c r="AE34" s="31" t="s">
        <v>1271</v>
      </c>
      <c r="AF34" s="165">
        <v>9.1222879684418143E-3</v>
      </c>
      <c r="AG34" s="29">
        <v>1</v>
      </c>
      <c r="AH34" s="1">
        <v>1.0744244531716256</v>
      </c>
      <c r="AI34" s="31" t="s">
        <v>1271</v>
      </c>
      <c r="AJ34" s="165">
        <v>5.7527942143326752E-3</v>
      </c>
      <c r="AK34" s="29">
        <v>1</v>
      </c>
      <c r="AL34" s="1">
        <v>1.0744244531716256</v>
      </c>
      <c r="AM34" s="31" t="s">
        <v>1271</v>
      </c>
      <c r="AN34" s="165">
        <v>9.1222879684418143E-3</v>
      </c>
      <c r="AO34" s="29">
        <v>1</v>
      </c>
      <c r="AP34" s="1">
        <v>1.0744244531716256</v>
      </c>
      <c r="AQ34" s="31" t="s">
        <v>1271</v>
      </c>
      <c r="AR34" s="31"/>
      <c r="AS34" s="165">
        <v>9.1222879684418143E-3</v>
      </c>
      <c r="AT34" s="29">
        <v>1</v>
      </c>
      <c r="AU34" s="1">
        <v>1.0744244531716256</v>
      </c>
      <c r="AV34" s="31" t="s">
        <v>1271</v>
      </c>
      <c r="AW34" s="31"/>
    </row>
    <row r="35" spans="1:49" ht="21" customHeight="1">
      <c r="A35" s="120">
        <v>32070</v>
      </c>
      <c r="B35" s="310" t="s">
        <v>525</v>
      </c>
      <c r="C35" s="151" t="s">
        <v>525</v>
      </c>
      <c r="D35" s="152" t="s">
        <v>526</v>
      </c>
      <c r="E35" s="153" t="s">
        <v>402</v>
      </c>
      <c r="F35" s="144" t="s">
        <v>1274</v>
      </c>
      <c r="G35" s="125" t="s">
        <v>521</v>
      </c>
      <c r="H35" s="164" t="s">
        <v>402</v>
      </c>
      <c r="I35" s="123" t="s">
        <v>402</v>
      </c>
      <c r="J35" s="124">
        <v>0</v>
      </c>
      <c r="K35" s="125" t="s">
        <v>395</v>
      </c>
      <c r="L35" s="165">
        <v>3.8420447074293228E-3</v>
      </c>
      <c r="M35" s="29">
        <v>1</v>
      </c>
      <c r="N35" s="1">
        <v>1.0744244531716256</v>
      </c>
      <c r="O35" s="31" t="s">
        <v>1271</v>
      </c>
      <c r="P35" s="165">
        <v>5.3418803418803411E-3</v>
      </c>
      <c r="Q35" s="29">
        <v>1</v>
      </c>
      <c r="R35" s="1">
        <v>1.0744244531716256</v>
      </c>
      <c r="S35" s="31" t="s">
        <v>1271</v>
      </c>
      <c r="T35" s="165">
        <v>3.8420447074293228E-3</v>
      </c>
      <c r="U35" s="29">
        <v>1</v>
      </c>
      <c r="V35" s="1">
        <v>1.0744244531716256</v>
      </c>
      <c r="W35" s="31" t="s">
        <v>1271</v>
      </c>
      <c r="X35" s="165">
        <v>5.3418803418803411E-3</v>
      </c>
      <c r="Y35" s="29">
        <v>1</v>
      </c>
      <c r="Z35" s="1">
        <v>1.0744244531716256</v>
      </c>
      <c r="AA35" s="31" t="s">
        <v>1271</v>
      </c>
      <c r="AB35" s="165">
        <v>3.8420447074293228E-3</v>
      </c>
      <c r="AC35" s="29">
        <v>1</v>
      </c>
      <c r="AD35" s="1">
        <v>1.0744244531716256</v>
      </c>
      <c r="AE35" s="31" t="s">
        <v>1271</v>
      </c>
      <c r="AF35" s="165">
        <v>5.3418803418803411E-3</v>
      </c>
      <c r="AG35" s="29">
        <v>1</v>
      </c>
      <c r="AH35" s="1">
        <v>1.0744244531716256</v>
      </c>
      <c r="AI35" s="31" t="s">
        <v>1271</v>
      </c>
      <c r="AJ35" s="165">
        <v>3.8420447074293228E-3</v>
      </c>
      <c r="AK35" s="29">
        <v>1</v>
      </c>
      <c r="AL35" s="1">
        <v>1.0744244531716256</v>
      </c>
      <c r="AM35" s="31" t="s">
        <v>1271</v>
      </c>
      <c r="AN35" s="165">
        <v>5.3418803418803411E-3</v>
      </c>
      <c r="AO35" s="29">
        <v>1</v>
      </c>
      <c r="AP35" s="1">
        <v>1.0744244531716256</v>
      </c>
      <c r="AQ35" s="31" t="s">
        <v>1271</v>
      </c>
      <c r="AR35" s="31"/>
      <c r="AS35" s="165">
        <v>5.3418803418803411E-3</v>
      </c>
      <c r="AT35" s="29">
        <v>1</v>
      </c>
      <c r="AU35" s="1">
        <v>1.0744244531716256</v>
      </c>
      <c r="AV35" s="31" t="s">
        <v>1271</v>
      </c>
      <c r="AW35" s="31"/>
    </row>
    <row r="36" spans="1:49" ht="18" customHeight="1">
      <c r="A36" s="120">
        <v>32123</v>
      </c>
      <c r="B36" s="310" t="s">
        <v>525</v>
      </c>
      <c r="C36" s="151" t="s">
        <v>525</v>
      </c>
      <c r="D36" s="152" t="s">
        <v>526</v>
      </c>
      <c r="E36" s="153" t="s">
        <v>402</v>
      </c>
      <c r="F36" s="144" t="s">
        <v>1275</v>
      </c>
      <c r="G36" s="125" t="s">
        <v>521</v>
      </c>
      <c r="H36" s="164" t="s">
        <v>402</v>
      </c>
      <c r="I36" s="123" t="s">
        <v>402</v>
      </c>
      <c r="J36" s="124">
        <v>0</v>
      </c>
      <c r="K36" s="125" t="s">
        <v>395</v>
      </c>
      <c r="L36" s="165">
        <v>5.5884286653517426E-2</v>
      </c>
      <c r="M36" s="29">
        <v>1</v>
      </c>
      <c r="N36" s="1">
        <v>1.0744244531716256</v>
      </c>
      <c r="O36" s="31" t="s">
        <v>1271</v>
      </c>
      <c r="P36" s="165">
        <v>5.9582511505588423E-2</v>
      </c>
      <c r="Q36" s="29">
        <v>1</v>
      </c>
      <c r="R36" s="1">
        <v>1.0744244531716256</v>
      </c>
      <c r="S36" s="31" t="s">
        <v>1271</v>
      </c>
      <c r="T36" s="165">
        <v>5.5884286653517426E-2</v>
      </c>
      <c r="U36" s="29">
        <v>1</v>
      </c>
      <c r="V36" s="1">
        <v>1.0744244531716256</v>
      </c>
      <c r="W36" s="31" t="s">
        <v>1271</v>
      </c>
      <c r="X36" s="165">
        <v>5.9582511505588423E-2</v>
      </c>
      <c r="Y36" s="29">
        <v>1</v>
      </c>
      <c r="Z36" s="1">
        <v>1.0744244531716256</v>
      </c>
      <c r="AA36" s="31" t="s">
        <v>1271</v>
      </c>
      <c r="AB36" s="165">
        <v>5.5884286653517426E-2</v>
      </c>
      <c r="AC36" s="29">
        <v>1</v>
      </c>
      <c r="AD36" s="1">
        <v>1.0744244531716256</v>
      </c>
      <c r="AE36" s="31" t="s">
        <v>1271</v>
      </c>
      <c r="AF36" s="165">
        <v>5.9582511505588423E-2</v>
      </c>
      <c r="AG36" s="29">
        <v>1</v>
      </c>
      <c r="AH36" s="1">
        <v>1.0744244531716256</v>
      </c>
      <c r="AI36" s="31" t="s">
        <v>1271</v>
      </c>
      <c r="AJ36" s="165">
        <v>5.5884286653517426E-2</v>
      </c>
      <c r="AK36" s="29">
        <v>1</v>
      </c>
      <c r="AL36" s="1">
        <v>1.0744244531716256</v>
      </c>
      <c r="AM36" s="31" t="s">
        <v>1271</v>
      </c>
      <c r="AN36" s="165">
        <v>5.9582511505588423E-2</v>
      </c>
      <c r="AO36" s="29">
        <v>1</v>
      </c>
      <c r="AP36" s="1">
        <v>1.0744244531716256</v>
      </c>
      <c r="AQ36" s="31" t="s">
        <v>1271</v>
      </c>
      <c r="AR36" s="31"/>
      <c r="AS36" s="165">
        <v>5.9582511505588423E-2</v>
      </c>
      <c r="AT36" s="29">
        <v>1</v>
      </c>
      <c r="AU36" s="1">
        <v>1.0744244531716256</v>
      </c>
      <c r="AV36" s="31" t="s">
        <v>1271</v>
      </c>
      <c r="AW36" s="31"/>
    </row>
    <row r="37" spans="1:49" ht="23.25" customHeight="1">
      <c r="A37" s="156">
        <v>1186</v>
      </c>
      <c r="B37" s="310" t="s">
        <v>11</v>
      </c>
      <c r="C37" s="151" t="s">
        <v>525</v>
      </c>
      <c r="D37" s="152" t="s">
        <v>526</v>
      </c>
      <c r="E37" s="153" t="s">
        <v>402</v>
      </c>
      <c r="F37" s="144" t="s">
        <v>1276</v>
      </c>
      <c r="G37" s="125" t="s">
        <v>521</v>
      </c>
      <c r="H37" s="164" t="s">
        <v>402</v>
      </c>
      <c r="I37" s="123" t="s">
        <v>402</v>
      </c>
      <c r="J37" s="124">
        <v>0</v>
      </c>
      <c r="K37" s="125" t="s">
        <v>395</v>
      </c>
      <c r="L37" s="165">
        <v>2.1901709401709404E-2</v>
      </c>
      <c r="M37" s="29">
        <v>1</v>
      </c>
      <c r="N37" s="1">
        <v>1.0744244531716256</v>
      </c>
      <c r="O37" s="31" t="s">
        <v>1271</v>
      </c>
      <c r="P37" s="165">
        <v>8.9168310322156469E-3</v>
      </c>
      <c r="Q37" s="29">
        <v>1</v>
      </c>
      <c r="R37" s="1">
        <v>1.0744244531716256</v>
      </c>
      <c r="S37" s="31" t="s">
        <v>1271</v>
      </c>
      <c r="T37" s="165">
        <v>2.1901709401709404E-2</v>
      </c>
      <c r="U37" s="29">
        <v>1</v>
      </c>
      <c r="V37" s="1">
        <v>1.0744244531716256</v>
      </c>
      <c r="W37" s="31" t="s">
        <v>1271</v>
      </c>
      <c r="X37" s="165">
        <v>8.9168310322156469E-3</v>
      </c>
      <c r="Y37" s="29">
        <v>1</v>
      </c>
      <c r="Z37" s="1">
        <v>1.0744244531716256</v>
      </c>
      <c r="AA37" s="31" t="s">
        <v>1271</v>
      </c>
      <c r="AB37" s="165">
        <v>2.1901709401709404E-2</v>
      </c>
      <c r="AC37" s="29">
        <v>1</v>
      </c>
      <c r="AD37" s="1">
        <v>1.0744244531716256</v>
      </c>
      <c r="AE37" s="31" t="s">
        <v>1271</v>
      </c>
      <c r="AF37" s="165">
        <v>8.9168310322156469E-3</v>
      </c>
      <c r="AG37" s="29">
        <v>1</v>
      </c>
      <c r="AH37" s="1">
        <v>1.0744244531716256</v>
      </c>
      <c r="AI37" s="31" t="s">
        <v>1271</v>
      </c>
      <c r="AJ37" s="165">
        <v>2.1901709401709404E-2</v>
      </c>
      <c r="AK37" s="29">
        <v>1</v>
      </c>
      <c r="AL37" s="1">
        <v>1.0744244531716256</v>
      </c>
      <c r="AM37" s="31" t="s">
        <v>1271</v>
      </c>
      <c r="AN37" s="165">
        <v>8.9168310322156469E-3</v>
      </c>
      <c r="AO37" s="29">
        <v>1</v>
      </c>
      <c r="AP37" s="1">
        <v>1.0744244531716256</v>
      </c>
      <c r="AQ37" s="31" t="s">
        <v>1271</v>
      </c>
      <c r="AR37" s="31"/>
      <c r="AS37" s="165">
        <v>8.9168310322156469E-3</v>
      </c>
      <c r="AT37" s="29">
        <v>1</v>
      </c>
      <c r="AU37" s="1">
        <v>1.0744244531716256</v>
      </c>
      <c r="AV37" s="31" t="s">
        <v>1271</v>
      </c>
      <c r="AW37" s="31"/>
    </row>
    <row r="38" spans="1:49" ht="42.75" customHeight="1">
      <c r="A38" s="226">
        <v>1778</v>
      </c>
      <c r="B38" s="310" t="s">
        <v>525</v>
      </c>
      <c r="C38" s="151" t="s">
        <v>525</v>
      </c>
      <c r="D38" s="152" t="s">
        <v>526</v>
      </c>
      <c r="E38" s="153" t="s">
        <v>402</v>
      </c>
      <c r="F38" s="144" t="s">
        <v>1277</v>
      </c>
      <c r="G38" s="125" t="s">
        <v>51</v>
      </c>
      <c r="H38" s="164" t="s">
        <v>402</v>
      </c>
      <c r="I38" s="123" t="s">
        <v>402</v>
      </c>
      <c r="J38" s="124">
        <v>0</v>
      </c>
      <c r="K38" s="125" t="s">
        <v>395</v>
      </c>
      <c r="L38" s="165">
        <v>0</v>
      </c>
      <c r="M38" s="29">
        <v>1</v>
      </c>
      <c r="N38" s="1">
        <v>1.0744244531716256</v>
      </c>
      <c r="O38" s="31" t="s">
        <v>1271</v>
      </c>
      <c r="P38" s="165">
        <v>8.6291913214990145E-3</v>
      </c>
      <c r="Q38" s="29">
        <v>1</v>
      </c>
      <c r="R38" s="1">
        <v>1.0744244531716256</v>
      </c>
      <c r="S38" s="31" t="s">
        <v>1271</v>
      </c>
      <c r="T38" s="165">
        <v>0</v>
      </c>
      <c r="U38" s="29">
        <v>1</v>
      </c>
      <c r="V38" s="1">
        <v>1.0744244531716256</v>
      </c>
      <c r="W38" s="31" t="s">
        <v>1271</v>
      </c>
      <c r="X38" s="165">
        <v>8.6291913214990145E-3</v>
      </c>
      <c r="Y38" s="29">
        <v>1</v>
      </c>
      <c r="Z38" s="1">
        <v>1.0744244531716256</v>
      </c>
      <c r="AA38" s="31" t="s">
        <v>1271</v>
      </c>
      <c r="AB38" s="165">
        <v>0</v>
      </c>
      <c r="AC38" s="29">
        <v>1</v>
      </c>
      <c r="AD38" s="1">
        <v>1.0744244531716256</v>
      </c>
      <c r="AE38" s="31" t="s">
        <v>1271</v>
      </c>
      <c r="AF38" s="165">
        <v>8.6291913214990145E-3</v>
      </c>
      <c r="AG38" s="29">
        <v>1</v>
      </c>
      <c r="AH38" s="1">
        <v>1.0744244531716256</v>
      </c>
      <c r="AI38" s="31" t="s">
        <v>1271</v>
      </c>
      <c r="AJ38" s="165">
        <v>0</v>
      </c>
      <c r="AK38" s="29">
        <v>1</v>
      </c>
      <c r="AL38" s="1">
        <v>1.0744244531716256</v>
      </c>
      <c r="AM38" s="31" t="s">
        <v>1271</v>
      </c>
      <c r="AN38" s="165">
        <v>8.6291913214990145E-3</v>
      </c>
      <c r="AO38" s="29">
        <v>1</v>
      </c>
      <c r="AP38" s="1">
        <v>1.0744244531716256</v>
      </c>
      <c r="AQ38" s="31" t="s">
        <v>1271</v>
      </c>
      <c r="AR38" s="31"/>
      <c r="AS38" s="165">
        <v>8.6291913214990145E-3</v>
      </c>
      <c r="AT38" s="29">
        <v>1</v>
      </c>
      <c r="AU38" s="1">
        <v>1.0744244531716256</v>
      </c>
      <c r="AV38" s="31" t="s">
        <v>1271</v>
      </c>
      <c r="AW38" s="31"/>
    </row>
    <row r="39" spans="1:49" ht="15" customHeight="1">
      <c r="A39" s="226">
        <v>33080</v>
      </c>
      <c r="B39" s="310" t="s">
        <v>525</v>
      </c>
      <c r="C39" s="151" t="s">
        <v>525</v>
      </c>
      <c r="D39" s="152" t="s">
        <v>526</v>
      </c>
      <c r="E39" s="153" t="s">
        <v>402</v>
      </c>
      <c r="F39" s="144" t="s">
        <v>1278</v>
      </c>
      <c r="G39" s="125" t="s">
        <v>521</v>
      </c>
      <c r="H39" s="164" t="s">
        <v>402</v>
      </c>
      <c r="I39" s="123" t="s">
        <v>402</v>
      </c>
      <c r="J39" s="124">
        <v>0</v>
      </c>
      <c r="K39" s="125" t="s">
        <v>395</v>
      </c>
      <c r="L39" s="165">
        <v>1.3313609467455622E-2</v>
      </c>
      <c r="M39" s="29">
        <v>1</v>
      </c>
      <c r="N39" s="1">
        <v>1.0744244531716256</v>
      </c>
      <c r="O39" s="31" t="s">
        <v>1271</v>
      </c>
      <c r="P39" s="165">
        <v>2.7407955292570674E-2</v>
      </c>
      <c r="Q39" s="29">
        <v>1</v>
      </c>
      <c r="R39" s="1">
        <v>1.0744244531716256</v>
      </c>
      <c r="S39" s="31" t="s">
        <v>1271</v>
      </c>
      <c r="T39" s="165">
        <v>1.3313609467455622E-2</v>
      </c>
      <c r="U39" s="29">
        <v>1</v>
      </c>
      <c r="V39" s="1">
        <v>1.0744244531716256</v>
      </c>
      <c r="W39" s="31" t="s">
        <v>1271</v>
      </c>
      <c r="X39" s="165">
        <v>2.7407955292570674E-2</v>
      </c>
      <c r="Y39" s="29">
        <v>1</v>
      </c>
      <c r="Z39" s="1">
        <v>1.0744244531716256</v>
      </c>
      <c r="AA39" s="31" t="s">
        <v>1271</v>
      </c>
      <c r="AB39" s="165">
        <v>1.3313609467455622E-2</v>
      </c>
      <c r="AC39" s="29">
        <v>1</v>
      </c>
      <c r="AD39" s="1">
        <v>1.0744244531716256</v>
      </c>
      <c r="AE39" s="31" t="s">
        <v>1271</v>
      </c>
      <c r="AF39" s="165">
        <v>2.7407955292570674E-2</v>
      </c>
      <c r="AG39" s="29">
        <v>1</v>
      </c>
      <c r="AH39" s="1">
        <v>1.0744244531716256</v>
      </c>
      <c r="AI39" s="31" t="s">
        <v>1271</v>
      </c>
      <c r="AJ39" s="165">
        <v>1.3313609467455622E-2</v>
      </c>
      <c r="AK39" s="29">
        <v>1</v>
      </c>
      <c r="AL39" s="1">
        <v>1.0744244531716256</v>
      </c>
      <c r="AM39" s="31" t="s">
        <v>1271</v>
      </c>
      <c r="AN39" s="165">
        <v>2.7407955292570674E-2</v>
      </c>
      <c r="AO39" s="29">
        <v>1</v>
      </c>
      <c r="AP39" s="1">
        <v>1.0744244531716256</v>
      </c>
      <c r="AQ39" s="31" t="s">
        <v>1271</v>
      </c>
      <c r="AR39" s="31"/>
      <c r="AS39" s="165">
        <v>2.7407955292570674E-2</v>
      </c>
      <c r="AT39" s="29">
        <v>1</v>
      </c>
      <c r="AU39" s="1">
        <v>1.0744244531716256</v>
      </c>
      <c r="AV39" s="31" t="s">
        <v>1271</v>
      </c>
      <c r="AW39" s="31"/>
    </row>
    <row r="40" spans="1:49" ht="11.25" customHeight="1">
      <c r="A40" s="120">
        <v>2789</v>
      </c>
      <c r="B40" s="310" t="s">
        <v>525</v>
      </c>
      <c r="C40" s="151" t="s">
        <v>525</v>
      </c>
      <c r="D40" s="152" t="s">
        <v>526</v>
      </c>
      <c r="E40" s="153" t="s">
        <v>402</v>
      </c>
      <c r="F40" s="144" t="s">
        <v>1279</v>
      </c>
      <c r="G40" s="125" t="s">
        <v>521</v>
      </c>
      <c r="H40" s="164" t="s">
        <v>402</v>
      </c>
      <c r="I40" s="123" t="s">
        <v>402</v>
      </c>
      <c r="J40" s="124">
        <v>0</v>
      </c>
      <c r="K40" s="125" t="s">
        <v>395</v>
      </c>
      <c r="L40" s="165">
        <v>0</v>
      </c>
      <c r="M40" s="29">
        <v>1</v>
      </c>
      <c r="N40" s="1">
        <v>1.0744244531716256</v>
      </c>
      <c r="O40" s="31" t="s">
        <v>1271</v>
      </c>
      <c r="P40" s="165">
        <v>0</v>
      </c>
      <c r="Q40" s="29">
        <v>1</v>
      </c>
      <c r="R40" s="1">
        <v>1.0744244531716256</v>
      </c>
      <c r="S40" s="31" t="s">
        <v>1271</v>
      </c>
      <c r="T40" s="165">
        <v>0</v>
      </c>
      <c r="U40" s="29">
        <v>1</v>
      </c>
      <c r="V40" s="1">
        <v>1.0744244531716256</v>
      </c>
      <c r="W40" s="31" t="s">
        <v>1271</v>
      </c>
      <c r="X40" s="165">
        <v>0</v>
      </c>
      <c r="Y40" s="29">
        <v>1</v>
      </c>
      <c r="Z40" s="1">
        <v>1.0744244531716256</v>
      </c>
      <c r="AA40" s="31" t="s">
        <v>1271</v>
      </c>
      <c r="AB40" s="165">
        <v>0</v>
      </c>
      <c r="AC40" s="29">
        <v>1</v>
      </c>
      <c r="AD40" s="1">
        <v>1.0744244531716256</v>
      </c>
      <c r="AE40" s="31" t="s">
        <v>1271</v>
      </c>
      <c r="AF40" s="165">
        <v>0</v>
      </c>
      <c r="AG40" s="29">
        <v>1</v>
      </c>
      <c r="AH40" s="1">
        <v>1.0744244531716256</v>
      </c>
      <c r="AI40" s="31" t="s">
        <v>1271</v>
      </c>
      <c r="AJ40" s="165">
        <v>0</v>
      </c>
      <c r="AK40" s="29">
        <v>1</v>
      </c>
      <c r="AL40" s="1">
        <v>1.0744244531716256</v>
      </c>
      <c r="AM40" s="31" t="s">
        <v>1271</v>
      </c>
      <c r="AN40" s="165">
        <v>0</v>
      </c>
      <c r="AO40" s="29">
        <v>1</v>
      </c>
      <c r="AP40" s="1">
        <v>1.0744244531716256</v>
      </c>
      <c r="AQ40" s="31" t="s">
        <v>1271</v>
      </c>
      <c r="AR40" s="31"/>
      <c r="AS40" s="165">
        <v>0</v>
      </c>
      <c r="AT40" s="29">
        <v>1</v>
      </c>
      <c r="AU40" s="1">
        <v>1.0744244531716256</v>
      </c>
      <c r="AV40" s="31" t="s">
        <v>1271</v>
      </c>
      <c r="AW40" s="31"/>
    </row>
    <row r="41" spans="1:49" ht="12" customHeight="1">
      <c r="A41" s="120">
        <v>33033</v>
      </c>
      <c r="B41" s="310" t="s">
        <v>525</v>
      </c>
      <c r="C41" s="151" t="s">
        <v>525</v>
      </c>
      <c r="D41" s="152" t="s">
        <v>526</v>
      </c>
      <c r="E41" s="153" t="s">
        <v>402</v>
      </c>
      <c r="F41" s="144" t="s">
        <v>1280</v>
      </c>
      <c r="G41" s="125" t="s">
        <v>521</v>
      </c>
      <c r="H41" s="164" t="s">
        <v>402</v>
      </c>
      <c r="I41" s="123" t="s">
        <v>402</v>
      </c>
      <c r="J41" s="124">
        <v>0</v>
      </c>
      <c r="K41" s="125" t="s">
        <v>395</v>
      </c>
      <c r="L41" s="165">
        <v>0</v>
      </c>
      <c r="M41" s="29">
        <v>1</v>
      </c>
      <c r="N41" s="1">
        <v>1.0744244531716256</v>
      </c>
      <c r="O41" s="31" t="s">
        <v>1271</v>
      </c>
      <c r="P41" s="165">
        <v>0</v>
      </c>
      <c r="Q41" s="29">
        <v>1</v>
      </c>
      <c r="R41" s="1">
        <v>1.0744244531716256</v>
      </c>
      <c r="S41" s="31" t="s">
        <v>1271</v>
      </c>
      <c r="T41" s="165">
        <v>0</v>
      </c>
      <c r="U41" s="29">
        <v>1</v>
      </c>
      <c r="V41" s="1">
        <v>1.0744244531716256</v>
      </c>
      <c r="W41" s="31" t="s">
        <v>1271</v>
      </c>
      <c r="X41" s="165">
        <v>0</v>
      </c>
      <c r="Y41" s="29">
        <v>1</v>
      </c>
      <c r="Z41" s="1">
        <v>1.0744244531716256</v>
      </c>
      <c r="AA41" s="31" t="s">
        <v>1271</v>
      </c>
      <c r="AB41" s="165">
        <v>0</v>
      </c>
      <c r="AC41" s="29">
        <v>1</v>
      </c>
      <c r="AD41" s="1">
        <v>1.0744244531716256</v>
      </c>
      <c r="AE41" s="31" t="s">
        <v>1271</v>
      </c>
      <c r="AF41" s="165">
        <v>0</v>
      </c>
      <c r="AG41" s="29">
        <v>1</v>
      </c>
      <c r="AH41" s="1">
        <v>1.0744244531716256</v>
      </c>
      <c r="AI41" s="31" t="s">
        <v>1271</v>
      </c>
      <c r="AJ41" s="165">
        <v>0</v>
      </c>
      <c r="AK41" s="29">
        <v>1</v>
      </c>
      <c r="AL41" s="1">
        <v>1.0744244531716256</v>
      </c>
      <c r="AM41" s="31" t="s">
        <v>1271</v>
      </c>
      <c r="AN41" s="165">
        <v>0</v>
      </c>
      <c r="AO41" s="29">
        <v>1</v>
      </c>
      <c r="AP41" s="1">
        <v>1.0744244531716256</v>
      </c>
      <c r="AQ41" s="31" t="s">
        <v>1271</v>
      </c>
      <c r="AR41" s="31"/>
      <c r="AS41" s="165">
        <v>0</v>
      </c>
      <c r="AT41" s="29">
        <v>1</v>
      </c>
      <c r="AU41" s="1">
        <v>1.0744244531716256</v>
      </c>
      <c r="AV41" s="31" t="s">
        <v>1271</v>
      </c>
      <c r="AW41" s="31"/>
    </row>
    <row r="42" spans="1:49" ht="12.75" customHeight="1">
      <c r="A42" s="120">
        <v>2814</v>
      </c>
      <c r="B42" s="310" t="s">
        <v>525</v>
      </c>
      <c r="C42" s="151" t="s">
        <v>525</v>
      </c>
      <c r="D42" s="152" t="s">
        <v>526</v>
      </c>
      <c r="E42" s="153" t="s">
        <v>402</v>
      </c>
      <c r="F42" s="144" t="s">
        <v>1261</v>
      </c>
      <c r="G42" s="125" t="s">
        <v>521</v>
      </c>
      <c r="H42" s="164" t="s">
        <v>402</v>
      </c>
      <c r="I42" s="123" t="s">
        <v>402</v>
      </c>
      <c r="J42" s="124">
        <v>0</v>
      </c>
      <c r="K42" s="125" t="s">
        <v>395</v>
      </c>
      <c r="L42" s="165">
        <v>0.17710387902695593</v>
      </c>
      <c r="M42" s="29">
        <v>1</v>
      </c>
      <c r="N42" s="1">
        <v>1.0744244531716256</v>
      </c>
      <c r="O42" s="31" t="s">
        <v>1271</v>
      </c>
      <c r="P42" s="165">
        <v>8.09500328731098E-4</v>
      </c>
      <c r="Q42" s="29">
        <v>1</v>
      </c>
      <c r="R42" s="1">
        <v>1.0744244531716256</v>
      </c>
      <c r="S42" s="31" t="s">
        <v>1271</v>
      </c>
      <c r="T42" s="165">
        <v>0.17710387902695593</v>
      </c>
      <c r="U42" s="29">
        <v>1</v>
      </c>
      <c r="V42" s="1">
        <v>1.0744244531716256</v>
      </c>
      <c r="W42" s="31" t="s">
        <v>1271</v>
      </c>
      <c r="X42" s="165">
        <v>8.09500328731098E-4</v>
      </c>
      <c r="Y42" s="29">
        <v>1</v>
      </c>
      <c r="Z42" s="1">
        <v>1.0744244531716256</v>
      </c>
      <c r="AA42" s="31" t="s">
        <v>1271</v>
      </c>
      <c r="AB42" s="165">
        <v>0.17710387902695593</v>
      </c>
      <c r="AC42" s="29">
        <v>1</v>
      </c>
      <c r="AD42" s="1">
        <v>1.0744244531716256</v>
      </c>
      <c r="AE42" s="31" t="s">
        <v>1271</v>
      </c>
      <c r="AF42" s="165">
        <v>8.09500328731098E-4</v>
      </c>
      <c r="AG42" s="29">
        <v>1</v>
      </c>
      <c r="AH42" s="1">
        <v>1.0744244531716256</v>
      </c>
      <c r="AI42" s="31" t="s">
        <v>1271</v>
      </c>
      <c r="AJ42" s="165">
        <v>0.17710387902695593</v>
      </c>
      <c r="AK42" s="29">
        <v>1</v>
      </c>
      <c r="AL42" s="1">
        <v>1.0744244531716256</v>
      </c>
      <c r="AM42" s="31" t="s">
        <v>1271</v>
      </c>
      <c r="AN42" s="165">
        <v>8.09500328731098E-4</v>
      </c>
      <c r="AO42" s="29">
        <v>1</v>
      </c>
      <c r="AP42" s="1">
        <v>1.0744244531716256</v>
      </c>
      <c r="AQ42" s="31" t="s">
        <v>1271</v>
      </c>
      <c r="AR42" s="31"/>
      <c r="AS42" s="165">
        <v>8.09500328731098E-4</v>
      </c>
      <c r="AT42" s="29">
        <v>1</v>
      </c>
      <c r="AU42" s="1">
        <v>1.0744244531716256</v>
      </c>
      <c r="AV42" s="31" t="s">
        <v>1271</v>
      </c>
      <c r="AW42" s="31"/>
    </row>
    <row r="43" spans="1:49" ht="14.25" customHeight="1">
      <c r="A43" s="120">
        <v>4273</v>
      </c>
      <c r="B43" s="310" t="s">
        <v>525</v>
      </c>
      <c r="C43" s="151" t="s">
        <v>525</v>
      </c>
      <c r="D43" s="152" t="s">
        <v>526</v>
      </c>
      <c r="E43" s="153" t="s">
        <v>402</v>
      </c>
      <c r="F43" s="144" t="s">
        <v>1281</v>
      </c>
      <c r="G43" s="125" t="s">
        <v>51</v>
      </c>
      <c r="H43" s="164" t="s">
        <v>402</v>
      </c>
      <c r="I43" s="123" t="s">
        <v>402</v>
      </c>
      <c r="J43" s="124">
        <v>0</v>
      </c>
      <c r="K43" s="125" t="s">
        <v>395</v>
      </c>
      <c r="L43" s="165">
        <v>0</v>
      </c>
      <c r="M43" s="29">
        <v>1</v>
      </c>
      <c r="N43" s="1">
        <v>1.0744244531716256</v>
      </c>
      <c r="O43" s="31" t="s">
        <v>1271</v>
      </c>
      <c r="P43" s="165">
        <v>1.1300131492439185E-2</v>
      </c>
      <c r="Q43" s="29">
        <v>1</v>
      </c>
      <c r="R43" s="1">
        <v>1.0744244531716256</v>
      </c>
      <c r="S43" s="31" t="s">
        <v>1271</v>
      </c>
      <c r="T43" s="165">
        <v>0</v>
      </c>
      <c r="U43" s="29">
        <v>1</v>
      </c>
      <c r="V43" s="1">
        <v>1.0744244531716256</v>
      </c>
      <c r="W43" s="31" t="s">
        <v>1271</v>
      </c>
      <c r="X43" s="165">
        <v>1.1300131492439185E-2</v>
      </c>
      <c r="Y43" s="29">
        <v>1</v>
      </c>
      <c r="Z43" s="1">
        <v>1.0744244531716256</v>
      </c>
      <c r="AA43" s="31" t="s">
        <v>1271</v>
      </c>
      <c r="AB43" s="165">
        <v>0</v>
      </c>
      <c r="AC43" s="29">
        <v>1</v>
      </c>
      <c r="AD43" s="1">
        <v>1.0744244531716256</v>
      </c>
      <c r="AE43" s="31" t="s">
        <v>1271</v>
      </c>
      <c r="AF43" s="165">
        <v>1.1300131492439185E-2</v>
      </c>
      <c r="AG43" s="29">
        <v>1</v>
      </c>
      <c r="AH43" s="1">
        <v>1.0744244531716256</v>
      </c>
      <c r="AI43" s="31" t="s">
        <v>1271</v>
      </c>
      <c r="AJ43" s="165">
        <v>0</v>
      </c>
      <c r="AK43" s="29">
        <v>1</v>
      </c>
      <c r="AL43" s="1">
        <v>1.0744244531716256</v>
      </c>
      <c r="AM43" s="31" t="s">
        <v>1271</v>
      </c>
      <c r="AN43" s="165">
        <v>1.1300131492439185E-2</v>
      </c>
      <c r="AO43" s="29">
        <v>1</v>
      </c>
      <c r="AP43" s="1">
        <v>1.0744244531716256</v>
      </c>
      <c r="AQ43" s="31" t="s">
        <v>1271</v>
      </c>
      <c r="AR43" s="31"/>
      <c r="AS43" s="165">
        <v>1.1300131492439185E-2</v>
      </c>
      <c r="AT43" s="29">
        <v>1</v>
      </c>
      <c r="AU43" s="1">
        <v>1.0744244531716256</v>
      </c>
      <c r="AV43" s="31" t="s">
        <v>1271</v>
      </c>
      <c r="AW43" s="31"/>
    </row>
    <row r="44" spans="1:49" ht="26.25" customHeight="1">
      <c r="A44" s="120">
        <v>3819</v>
      </c>
      <c r="B44" s="310" t="s">
        <v>525</v>
      </c>
      <c r="C44" s="151" t="s">
        <v>525</v>
      </c>
      <c r="D44" s="152" t="s">
        <v>526</v>
      </c>
      <c r="E44" s="153" t="s">
        <v>402</v>
      </c>
      <c r="F44" s="144" t="s">
        <v>1095</v>
      </c>
      <c r="G44" s="125" t="s">
        <v>521</v>
      </c>
      <c r="H44" s="164" t="s">
        <v>402</v>
      </c>
      <c r="I44" s="123" t="s">
        <v>402</v>
      </c>
      <c r="J44" s="124">
        <v>0</v>
      </c>
      <c r="K44" s="125" t="s">
        <v>395</v>
      </c>
      <c r="L44" s="165">
        <v>0</v>
      </c>
      <c r="M44" s="29">
        <v>1</v>
      </c>
      <c r="N44" s="1">
        <v>1.0744244531716256</v>
      </c>
      <c r="O44" s="31" t="s">
        <v>1271</v>
      </c>
      <c r="P44" s="165">
        <v>0</v>
      </c>
      <c r="Q44" s="29">
        <v>1</v>
      </c>
      <c r="R44" s="1">
        <v>1.0744244531716256</v>
      </c>
      <c r="S44" s="31" t="s">
        <v>1271</v>
      </c>
      <c r="T44" s="165">
        <v>0</v>
      </c>
      <c r="U44" s="29">
        <v>1</v>
      </c>
      <c r="V44" s="1">
        <v>1.0744244531716256</v>
      </c>
      <c r="W44" s="31" t="s">
        <v>1271</v>
      </c>
      <c r="X44" s="165">
        <v>0</v>
      </c>
      <c r="Y44" s="29">
        <v>1</v>
      </c>
      <c r="Z44" s="1">
        <v>1.0744244531716256</v>
      </c>
      <c r="AA44" s="31" t="s">
        <v>1271</v>
      </c>
      <c r="AB44" s="165">
        <v>0</v>
      </c>
      <c r="AC44" s="29">
        <v>1</v>
      </c>
      <c r="AD44" s="1">
        <v>1.0744244531716256</v>
      </c>
      <c r="AE44" s="31" t="s">
        <v>1271</v>
      </c>
      <c r="AF44" s="165">
        <v>0</v>
      </c>
      <c r="AG44" s="29">
        <v>1</v>
      </c>
      <c r="AH44" s="1">
        <v>1.0744244531716256</v>
      </c>
      <c r="AI44" s="31" t="s">
        <v>1271</v>
      </c>
      <c r="AJ44" s="165">
        <v>0</v>
      </c>
      <c r="AK44" s="29">
        <v>1</v>
      </c>
      <c r="AL44" s="1">
        <v>1.0744244531716256</v>
      </c>
      <c r="AM44" s="31" t="s">
        <v>1271</v>
      </c>
      <c r="AN44" s="165">
        <v>0</v>
      </c>
      <c r="AO44" s="29">
        <v>1</v>
      </c>
      <c r="AP44" s="1">
        <v>1.0744244531716256</v>
      </c>
      <c r="AQ44" s="31" t="s">
        <v>1271</v>
      </c>
      <c r="AR44" s="31"/>
      <c r="AS44" s="165">
        <v>0</v>
      </c>
      <c r="AT44" s="29">
        <v>1</v>
      </c>
      <c r="AU44" s="1">
        <v>1.0744244531716256</v>
      </c>
      <c r="AV44" s="31" t="s">
        <v>1271</v>
      </c>
      <c r="AW44" s="31"/>
    </row>
    <row r="45" spans="1:49" ht="17.25" customHeight="1">
      <c r="A45" s="120">
        <v>1232</v>
      </c>
      <c r="B45" s="310" t="s">
        <v>525</v>
      </c>
      <c r="C45" s="151" t="s">
        <v>525</v>
      </c>
      <c r="D45" s="152" t="s">
        <v>526</v>
      </c>
      <c r="E45" s="153" t="s">
        <v>402</v>
      </c>
      <c r="F45" s="144" t="s">
        <v>1282</v>
      </c>
      <c r="G45" s="125" t="s">
        <v>521</v>
      </c>
      <c r="H45" s="164" t="s">
        <v>402</v>
      </c>
      <c r="I45" s="123" t="s">
        <v>402</v>
      </c>
      <c r="J45" s="124">
        <v>0</v>
      </c>
      <c r="K45" s="125" t="s">
        <v>395</v>
      </c>
      <c r="L45" s="165">
        <v>0</v>
      </c>
      <c r="M45" s="29">
        <v>1</v>
      </c>
      <c r="N45" s="1">
        <v>1.0744244531716256</v>
      </c>
      <c r="O45" s="31" t="s">
        <v>1271</v>
      </c>
      <c r="P45" s="165">
        <v>0</v>
      </c>
      <c r="Q45" s="29">
        <v>1</v>
      </c>
      <c r="R45" s="1">
        <v>1.0744244531716256</v>
      </c>
      <c r="S45" s="31" t="s">
        <v>1271</v>
      </c>
      <c r="T45" s="165">
        <v>0</v>
      </c>
      <c r="U45" s="29">
        <v>1</v>
      </c>
      <c r="V45" s="1">
        <v>1.0744244531716256</v>
      </c>
      <c r="W45" s="31" t="s">
        <v>1271</v>
      </c>
      <c r="X45" s="165">
        <v>0</v>
      </c>
      <c r="Y45" s="29">
        <v>1</v>
      </c>
      <c r="Z45" s="1">
        <v>1.0744244531716256</v>
      </c>
      <c r="AA45" s="31" t="s">
        <v>1271</v>
      </c>
      <c r="AB45" s="165">
        <v>0</v>
      </c>
      <c r="AC45" s="29">
        <v>1</v>
      </c>
      <c r="AD45" s="1">
        <v>1.0744244531716256</v>
      </c>
      <c r="AE45" s="31" t="s">
        <v>1271</v>
      </c>
      <c r="AF45" s="165">
        <v>0</v>
      </c>
      <c r="AG45" s="29">
        <v>1</v>
      </c>
      <c r="AH45" s="1">
        <v>1.0744244531716256</v>
      </c>
      <c r="AI45" s="31" t="s">
        <v>1271</v>
      </c>
      <c r="AJ45" s="165">
        <v>0</v>
      </c>
      <c r="AK45" s="29">
        <v>1</v>
      </c>
      <c r="AL45" s="1">
        <v>1.0744244531716256</v>
      </c>
      <c r="AM45" s="31" t="s">
        <v>1271</v>
      </c>
      <c r="AN45" s="165">
        <v>0</v>
      </c>
      <c r="AO45" s="29">
        <v>1</v>
      </c>
      <c r="AP45" s="1">
        <v>1.0744244531716256</v>
      </c>
      <c r="AQ45" s="31" t="s">
        <v>1271</v>
      </c>
      <c r="AR45" s="31"/>
      <c r="AS45" s="165">
        <v>0</v>
      </c>
      <c r="AT45" s="29">
        <v>1</v>
      </c>
      <c r="AU45" s="1">
        <v>1.0744244531716256</v>
      </c>
      <c r="AV45" s="31" t="s">
        <v>1271</v>
      </c>
      <c r="AW45" s="31"/>
    </row>
    <row r="46" spans="1:49" ht="18" customHeight="1">
      <c r="A46" s="120">
        <v>3405</v>
      </c>
      <c r="B46" s="310" t="s">
        <v>525</v>
      </c>
      <c r="C46" s="151" t="s">
        <v>525</v>
      </c>
      <c r="D46" s="152" t="s">
        <v>526</v>
      </c>
      <c r="E46" s="153" t="s">
        <v>402</v>
      </c>
      <c r="F46" s="144" t="s">
        <v>1283</v>
      </c>
      <c r="G46" s="125" t="s">
        <v>393</v>
      </c>
      <c r="H46" s="164" t="s">
        <v>402</v>
      </c>
      <c r="I46" s="123" t="s">
        <v>402</v>
      </c>
      <c r="J46" s="124">
        <v>0</v>
      </c>
      <c r="K46" s="125" t="s">
        <v>395</v>
      </c>
      <c r="L46" s="165">
        <v>0</v>
      </c>
      <c r="M46" s="29">
        <v>1</v>
      </c>
      <c r="N46" s="1">
        <v>1.0744244531716256</v>
      </c>
      <c r="O46" s="31" t="s">
        <v>1271</v>
      </c>
      <c r="P46" s="165">
        <v>3.147600262984878E-2</v>
      </c>
      <c r="Q46" s="29">
        <v>1</v>
      </c>
      <c r="R46" s="1">
        <v>1.0744244531716256</v>
      </c>
      <c r="S46" s="31" t="s">
        <v>1271</v>
      </c>
      <c r="T46" s="165">
        <v>0</v>
      </c>
      <c r="U46" s="29">
        <v>1</v>
      </c>
      <c r="V46" s="1">
        <v>1.0744244531716256</v>
      </c>
      <c r="W46" s="31" t="s">
        <v>1271</v>
      </c>
      <c r="X46" s="165">
        <v>3.147600262984878E-2</v>
      </c>
      <c r="Y46" s="29">
        <v>1</v>
      </c>
      <c r="Z46" s="1">
        <v>1.0744244531716256</v>
      </c>
      <c r="AA46" s="31" t="s">
        <v>1271</v>
      </c>
      <c r="AB46" s="165">
        <v>0</v>
      </c>
      <c r="AC46" s="29">
        <v>1</v>
      </c>
      <c r="AD46" s="1">
        <v>1.0744244531716256</v>
      </c>
      <c r="AE46" s="31" t="s">
        <v>1271</v>
      </c>
      <c r="AF46" s="165">
        <v>3.147600262984878E-2</v>
      </c>
      <c r="AG46" s="29">
        <v>1</v>
      </c>
      <c r="AH46" s="1">
        <v>1.0744244531716256</v>
      </c>
      <c r="AI46" s="31" t="s">
        <v>1271</v>
      </c>
      <c r="AJ46" s="165">
        <v>0</v>
      </c>
      <c r="AK46" s="29">
        <v>1</v>
      </c>
      <c r="AL46" s="1">
        <v>1.0744244531716256</v>
      </c>
      <c r="AM46" s="31" t="s">
        <v>1271</v>
      </c>
      <c r="AN46" s="165">
        <v>3.147600262984878E-2</v>
      </c>
      <c r="AO46" s="29">
        <v>1</v>
      </c>
      <c r="AP46" s="1">
        <v>1.0744244531716256</v>
      </c>
      <c r="AQ46" s="31" t="s">
        <v>1271</v>
      </c>
      <c r="AR46" s="31"/>
      <c r="AS46" s="165">
        <v>3.147600262984878E-2</v>
      </c>
      <c r="AT46" s="29">
        <v>1</v>
      </c>
      <c r="AU46" s="1">
        <v>1.0744244531716256</v>
      </c>
      <c r="AV46" s="31" t="s">
        <v>1271</v>
      </c>
      <c r="AW46" s="31"/>
    </row>
    <row r="47" spans="1:49" ht="18.75" customHeight="1">
      <c r="A47" s="226">
        <v>2757</v>
      </c>
      <c r="B47" s="310" t="s">
        <v>525</v>
      </c>
      <c r="C47" s="151" t="s">
        <v>525</v>
      </c>
      <c r="D47" s="152" t="s">
        <v>526</v>
      </c>
      <c r="E47" s="153" t="s">
        <v>402</v>
      </c>
      <c r="F47" s="144" t="s">
        <v>1216</v>
      </c>
      <c r="G47" s="125" t="s">
        <v>521</v>
      </c>
      <c r="H47" s="164" t="s">
        <v>402</v>
      </c>
      <c r="I47" s="123" t="s">
        <v>402</v>
      </c>
      <c r="J47" s="124">
        <v>0</v>
      </c>
      <c r="K47" s="125" t="s">
        <v>395</v>
      </c>
      <c r="L47" s="165">
        <v>0</v>
      </c>
      <c r="M47" s="29">
        <v>1</v>
      </c>
      <c r="N47" s="1">
        <v>1.0744244531716256</v>
      </c>
      <c r="O47" s="31" t="s">
        <v>1271</v>
      </c>
      <c r="P47" s="165">
        <v>0</v>
      </c>
      <c r="Q47" s="29">
        <v>1</v>
      </c>
      <c r="R47" s="1">
        <v>1.0744244531716256</v>
      </c>
      <c r="S47" s="31" t="s">
        <v>1271</v>
      </c>
      <c r="T47" s="165">
        <v>0</v>
      </c>
      <c r="U47" s="29">
        <v>1</v>
      </c>
      <c r="V47" s="1">
        <v>1.0744244531716256</v>
      </c>
      <c r="W47" s="31" t="s">
        <v>1271</v>
      </c>
      <c r="X47" s="165">
        <v>0</v>
      </c>
      <c r="Y47" s="29">
        <v>1</v>
      </c>
      <c r="Z47" s="1">
        <v>1.0744244531716256</v>
      </c>
      <c r="AA47" s="31" t="s">
        <v>1271</v>
      </c>
      <c r="AB47" s="165">
        <v>0</v>
      </c>
      <c r="AC47" s="29">
        <v>1</v>
      </c>
      <c r="AD47" s="1">
        <v>1.0744244531716256</v>
      </c>
      <c r="AE47" s="31" t="s">
        <v>1271</v>
      </c>
      <c r="AF47" s="165">
        <v>0</v>
      </c>
      <c r="AG47" s="29">
        <v>1</v>
      </c>
      <c r="AH47" s="1">
        <v>1.0744244531716256</v>
      </c>
      <c r="AI47" s="31" t="s">
        <v>1271</v>
      </c>
      <c r="AJ47" s="165">
        <v>0</v>
      </c>
      <c r="AK47" s="29">
        <v>1</v>
      </c>
      <c r="AL47" s="1">
        <v>1.0744244531716256</v>
      </c>
      <c r="AM47" s="31" t="s">
        <v>1271</v>
      </c>
      <c r="AN47" s="165">
        <v>0</v>
      </c>
      <c r="AO47" s="29">
        <v>1</v>
      </c>
      <c r="AP47" s="1">
        <v>1.0744244531716256</v>
      </c>
      <c r="AQ47" s="31" t="s">
        <v>1271</v>
      </c>
      <c r="AR47" s="31"/>
      <c r="AS47" s="165">
        <v>0</v>
      </c>
      <c r="AT47" s="29">
        <v>1</v>
      </c>
      <c r="AU47" s="1">
        <v>1.0744244531716256</v>
      </c>
      <c r="AV47" s="31" t="s">
        <v>1271</v>
      </c>
      <c r="AW47" s="31"/>
    </row>
    <row r="48" spans="1:49" ht="9.75" customHeight="1">
      <c r="A48" s="156">
        <v>1216</v>
      </c>
      <c r="B48" s="310" t="s">
        <v>525</v>
      </c>
      <c r="C48" s="151" t="s">
        <v>525</v>
      </c>
      <c r="D48" s="152" t="s">
        <v>526</v>
      </c>
      <c r="E48" s="153" t="s">
        <v>402</v>
      </c>
      <c r="F48" s="144" t="s">
        <v>1168</v>
      </c>
      <c r="G48" s="125" t="s">
        <v>521</v>
      </c>
      <c r="H48" s="164" t="s">
        <v>402</v>
      </c>
      <c r="I48" s="123" t="s">
        <v>402</v>
      </c>
      <c r="J48" s="124">
        <v>0</v>
      </c>
      <c r="K48" s="125" t="s">
        <v>395</v>
      </c>
      <c r="L48" s="165">
        <v>6.2869822485207101E-4</v>
      </c>
      <c r="M48" s="29">
        <v>1</v>
      </c>
      <c r="N48" s="1">
        <v>1.0744244531716256</v>
      </c>
      <c r="O48" s="31" t="s">
        <v>1271</v>
      </c>
      <c r="P48" s="165">
        <v>8.5880999342537803E-3</v>
      </c>
      <c r="Q48" s="29">
        <v>1</v>
      </c>
      <c r="R48" s="1">
        <v>1.0744244531716256</v>
      </c>
      <c r="S48" s="31" t="s">
        <v>1271</v>
      </c>
      <c r="T48" s="165">
        <v>6.2869822485207101E-4</v>
      </c>
      <c r="U48" s="29">
        <v>1</v>
      </c>
      <c r="V48" s="1">
        <v>1.0744244531716256</v>
      </c>
      <c r="W48" s="31" t="s">
        <v>1271</v>
      </c>
      <c r="X48" s="165">
        <v>8.5880999342537803E-3</v>
      </c>
      <c r="Y48" s="29">
        <v>1</v>
      </c>
      <c r="Z48" s="1">
        <v>1.0744244531716256</v>
      </c>
      <c r="AA48" s="31" t="s">
        <v>1271</v>
      </c>
      <c r="AB48" s="165">
        <v>6.2869822485207101E-4</v>
      </c>
      <c r="AC48" s="29">
        <v>1</v>
      </c>
      <c r="AD48" s="1">
        <v>1.0744244531716256</v>
      </c>
      <c r="AE48" s="31" t="s">
        <v>1271</v>
      </c>
      <c r="AF48" s="165">
        <v>8.5880999342537803E-3</v>
      </c>
      <c r="AG48" s="29">
        <v>1</v>
      </c>
      <c r="AH48" s="1">
        <v>1.0744244531716256</v>
      </c>
      <c r="AI48" s="31" t="s">
        <v>1271</v>
      </c>
      <c r="AJ48" s="165">
        <v>6.2869822485207101E-4</v>
      </c>
      <c r="AK48" s="29">
        <v>1</v>
      </c>
      <c r="AL48" s="1">
        <v>1.0744244531716256</v>
      </c>
      <c r="AM48" s="31" t="s">
        <v>1271</v>
      </c>
      <c r="AN48" s="165">
        <v>8.5880999342537803E-3</v>
      </c>
      <c r="AO48" s="29">
        <v>1</v>
      </c>
      <c r="AP48" s="1">
        <v>1.0744244531716256</v>
      </c>
      <c r="AQ48" s="31" t="s">
        <v>1271</v>
      </c>
      <c r="AR48" s="31"/>
      <c r="AS48" s="165">
        <v>8.5880999342537803E-3</v>
      </c>
      <c r="AT48" s="29">
        <v>1</v>
      </c>
      <c r="AU48" s="1">
        <v>1.0744244531716256</v>
      </c>
      <c r="AV48" s="31" t="s">
        <v>1271</v>
      </c>
      <c r="AW48" s="31"/>
    </row>
    <row r="49" spans="1:49" ht="23.25" customHeight="1">
      <c r="A49" s="156">
        <v>825</v>
      </c>
      <c r="B49" s="310" t="s">
        <v>525</v>
      </c>
      <c r="C49" s="151" t="s">
        <v>525</v>
      </c>
      <c r="D49" s="152" t="s">
        <v>526</v>
      </c>
      <c r="E49" s="153" t="s">
        <v>402</v>
      </c>
      <c r="F49" s="144" t="s">
        <v>1213</v>
      </c>
      <c r="G49" s="125" t="s">
        <v>51</v>
      </c>
      <c r="H49" s="164" t="s">
        <v>402</v>
      </c>
      <c r="I49" s="123" t="s">
        <v>402</v>
      </c>
      <c r="J49" s="124">
        <v>0</v>
      </c>
      <c r="K49" s="125" t="s">
        <v>395</v>
      </c>
      <c r="L49" s="165">
        <v>6.4513477975016429E-4</v>
      </c>
      <c r="M49" s="29">
        <v>1</v>
      </c>
      <c r="N49" s="1">
        <v>1.0744244531716256</v>
      </c>
      <c r="O49" s="31" t="s">
        <v>1271</v>
      </c>
      <c r="P49" s="165">
        <v>0.40310650887573962</v>
      </c>
      <c r="Q49" s="29">
        <v>1</v>
      </c>
      <c r="R49" s="1">
        <v>1.0744244531716256</v>
      </c>
      <c r="S49" s="31" t="s">
        <v>1271</v>
      </c>
      <c r="T49" s="165">
        <v>6.4513477975016429E-4</v>
      </c>
      <c r="U49" s="29">
        <v>1</v>
      </c>
      <c r="V49" s="1">
        <v>1.0744244531716256</v>
      </c>
      <c r="W49" s="31" t="s">
        <v>1271</v>
      </c>
      <c r="X49" s="165">
        <v>0.40310650887573962</v>
      </c>
      <c r="Y49" s="29">
        <v>1</v>
      </c>
      <c r="Z49" s="1">
        <v>1.0744244531716256</v>
      </c>
      <c r="AA49" s="31" t="s">
        <v>1271</v>
      </c>
      <c r="AB49" s="165">
        <v>6.4513477975016429E-4</v>
      </c>
      <c r="AC49" s="29">
        <v>1</v>
      </c>
      <c r="AD49" s="1">
        <v>1.0744244531716256</v>
      </c>
      <c r="AE49" s="31" t="s">
        <v>1271</v>
      </c>
      <c r="AF49" s="165">
        <v>0.40310650887573962</v>
      </c>
      <c r="AG49" s="29">
        <v>1</v>
      </c>
      <c r="AH49" s="1">
        <v>1.0744244531716256</v>
      </c>
      <c r="AI49" s="31" t="s">
        <v>1271</v>
      </c>
      <c r="AJ49" s="165">
        <v>6.4513477975016429E-4</v>
      </c>
      <c r="AK49" s="29">
        <v>1</v>
      </c>
      <c r="AL49" s="1">
        <v>1.0744244531716256</v>
      </c>
      <c r="AM49" s="31" t="s">
        <v>1271</v>
      </c>
      <c r="AN49" s="165">
        <v>0.40310650887573962</v>
      </c>
      <c r="AO49" s="29">
        <v>1</v>
      </c>
      <c r="AP49" s="1">
        <v>1.0744244531716256</v>
      </c>
      <c r="AQ49" s="31" t="s">
        <v>1271</v>
      </c>
      <c r="AR49" s="31"/>
      <c r="AS49" s="165">
        <v>0.40310650887573962</v>
      </c>
      <c r="AT49" s="29">
        <v>1</v>
      </c>
      <c r="AU49" s="1">
        <v>1.0744244531716256</v>
      </c>
      <c r="AV49" s="31" t="s">
        <v>1271</v>
      </c>
      <c r="AW49" s="31"/>
    </row>
    <row r="50" spans="1:49" ht="15.75" customHeight="1">
      <c r="A50" s="226">
        <v>1239</v>
      </c>
      <c r="B50" s="310" t="s">
        <v>525</v>
      </c>
      <c r="C50" s="151" t="s">
        <v>525</v>
      </c>
      <c r="D50" s="152" t="s">
        <v>526</v>
      </c>
      <c r="E50" s="153" t="s">
        <v>402</v>
      </c>
      <c r="F50" s="144" t="s">
        <v>1215</v>
      </c>
      <c r="G50" s="125" t="s">
        <v>521</v>
      </c>
      <c r="H50" s="164" t="s">
        <v>402</v>
      </c>
      <c r="I50" s="123" t="s">
        <v>402</v>
      </c>
      <c r="J50" s="124">
        <v>0</v>
      </c>
      <c r="K50" s="125" t="s">
        <v>395</v>
      </c>
      <c r="L50" s="165">
        <v>0</v>
      </c>
      <c r="M50" s="29">
        <v>1</v>
      </c>
      <c r="N50" s="1">
        <v>1.0744244531716256</v>
      </c>
      <c r="O50" s="31" t="s">
        <v>1271</v>
      </c>
      <c r="P50" s="165">
        <v>0.29339250493096647</v>
      </c>
      <c r="Q50" s="29">
        <v>1</v>
      </c>
      <c r="R50" s="1">
        <v>1.0744244531716256</v>
      </c>
      <c r="S50" s="31" t="s">
        <v>1271</v>
      </c>
      <c r="T50" s="165">
        <v>0</v>
      </c>
      <c r="U50" s="29">
        <v>1</v>
      </c>
      <c r="V50" s="1">
        <v>1.0744244531716256</v>
      </c>
      <c r="W50" s="31" t="s">
        <v>1271</v>
      </c>
      <c r="X50" s="165">
        <v>0.29339250493096647</v>
      </c>
      <c r="Y50" s="29">
        <v>1</v>
      </c>
      <c r="Z50" s="1">
        <v>1.0744244531716256</v>
      </c>
      <c r="AA50" s="31" t="s">
        <v>1271</v>
      </c>
      <c r="AB50" s="165">
        <v>0</v>
      </c>
      <c r="AC50" s="29">
        <v>1</v>
      </c>
      <c r="AD50" s="1">
        <v>1.0744244531716256</v>
      </c>
      <c r="AE50" s="31" t="s">
        <v>1271</v>
      </c>
      <c r="AF50" s="165">
        <v>0.29339250493096647</v>
      </c>
      <c r="AG50" s="29">
        <v>1</v>
      </c>
      <c r="AH50" s="1">
        <v>1.0744244531716256</v>
      </c>
      <c r="AI50" s="31" t="s">
        <v>1271</v>
      </c>
      <c r="AJ50" s="165">
        <v>0</v>
      </c>
      <c r="AK50" s="29">
        <v>1</v>
      </c>
      <c r="AL50" s="1">
        <v>1.0744244531716256</v>
      </c>
      <c r="AM50" s="31" t="s">
        <v>1271</v>
      </c>
      <c r="AN50" s="165">
        <v>0.29339250493096647</v>
      </c>
      <c r="AO50" s="29">
        <v>1</v>
      </c>
      <c r="AP50" s="1">
        <v>1.0744244531716256</v>
      </c>
      <c r="AQ50" s="31" t="s">
        <v>1271</v>
      </c>
      <c r="AR50" s="31"/>
      <c r="AS50" s="165">
        <v>0.29339250493096647</v>
      </c>
      <c r="AT50" s="29">
        <v>1</v>
      </c>
      <c r="AU50" s="1">
        <v>1.0744244531716256</v>
      </c>
      <c r="AV50" s="31" t="s">
        <v>1271</v>
      </c>
      <c r="AW50" s="31"/>
    </row>
    <row r="51" spans="1:49" ht="23.25" customHeight="1">
      <c r="A51" s="156">
        <v>1280</v>
      </c>
      <c r="B51" s="310" t="s">
        <v>525</v>
      </c>
      <c r="C51" s="151" t="s">
        <v>525</v>
      </c>
      <c r="D51" s="152" t="s">
        <v>526</v>
      </c>
      <c r="E51" s="153" t="s">
        <v>402</v>
      </c>
      <c r="F51" s="144" t="s">
        <v>1173</v>
      </c>
      <c r="G51" s="125" t="s">
        <v>521</v>
      </c>
      <c r="H51" s="164" t="s">
        <v>402</v>
      </c>
      <c r="I51" s="123" t="s">
        <v>402</v>
      </c>
      <c r="J51" s="124">
        <v>0</v>
      </c>
      <c r="K51" s="125" t="s">
        <v>395</v>
      </c>
      <c r="L51" s="165">
        <v>0.604043392504931</v>
      </c>
      <c r="M51" s="29">
        <v>1</v>
      </c>
      <c r="N51" s="1">
        <v>1.0744244531716256</v>
      </c>
      <c r="O51" s="31" t="s">
        <v>1271</v>
      </c>
      <c r="P51" s="165">
        <v>7.0677186061801442E-2</v>
      </c>
      <c r="Q51" s="29">
        <v>1</v>
      </c>
      <c r="R51" s="1">
        <v>1.0744244531716256</v>
      </c>
      <c r="S51" s="31" t="s">
        <v>1271</v>
      </c>
      <c r="T51" s="165">
        <v>0.604043392504931</v>
      </c>
      <c r="U51" s="29">
        <v>1</v>
      </c>
      <c r="V51" s="1">
        <v>1.0744244531716256</v>
      </c>
      <c r="W51" s="31" t="s">
        <v>1271</v>
      </c>
      <c r="X51" s="165">
        <v>7.0677186061801442E-2</v>
      </c>
      <c r="Y51" s="29">
        <v>1</v>
      </c>
      <c r="Z51" s="1">
        <v>1.0744244531716256</v>
      </c>
      <c r="AA51" s="31" t="s">
        <v>1271</v>
      </c>
      <c r="AB51" s="165">
        <v>0.604043392504931</v>
      </c>
      <c r="AC51" s="29">
        <v>1</v>
      </c>
      <c r="AD51" s="1">
        <v>1.0744244531716256</v>
      </c>
      <c r="AE51" s="31" t="s">
        <v>1271</v>
      </c>
      <c r="AF51" s="165">
        <v>7.0677186061801442E-2</v>
      </c>
      <c r="AG51" s="29">
        <v>1</v>
      </c>
      <c r="AH51" s="1">
        <v>1.0744244531716256</v>
      </c>
      <c r="AI51" s="31" t="s">
        <v>1271</v>
      </c>
      <c r="AJ51" s="165">
        <v>0.604043392504931</v>
      </c>
      <c r="AK51" s="29">
        <v>1</v>
      </c>
      <c r="AL51" s="1">
        <v>1.0744244531716256</v>
      </c>
      <c r="AM51" s="31" t="s">
        <v>1271</v>
      </c>
      <c r="AN51" s="165">
        <v>7.0677186061801442E-2</v>
      </c>
      <c r="AO51" s="29">
        <v>1</v>
      </c>
      <c r="AP51" s="1">
        <v>1.0744244531716256</v>
      </c>
      <c r="AQ51" s="31" t="s">
        <v>1271</v>
      </c>
      <c r="AR51" s="31"/>
      <c r="AS51" s="165">
        <v>7.0677186061801442E-2</v>
      </c>
      <c r="AT51" s="29">
        <v>1</v>
      </c>
      <c r="AU51" s="1">
        <v>1.0744244531716256</v>
      </c>
      <c r="AV51" s="31" t="s">
        <v>1271</v>
      </c>
      <c r="AW51" s="31"/>
    </row>
    <row r="52" spans="1:49" s="689" customFormat="1" ht="21.75" customHeight="1">
      <c r="A52" s="693">
        <v>3115</v>
      </c>
      <c r="B52" s="671" t="s">
        <v>525</v>
      </c>
      <c r="C52" s="672" t="s">
        <v>525</v>
      </c>
      <c r="D52" s="673" t="s">
        <v>526</v>
      </c>
      <c r="E52" s="674" t="s">
        <v>402</v>
      </c>
      <c r="F52" s="675" t="s">
        <v>1219</v>
      </c>
      <c r="G52" s="676" t="s">
        <v>393</v>
      </c>
      <c r="H52" s="677" t="s">
        <v>402</v>
      </c>
      <c r="I52" s="715" t="s">
        <v>402</v>
      </c>
      <c r="J52" s="679">
        <v>0</v>
      </c>
      <c r="K52" s="676" t="s">
        <v>395</v>
      </c>
      <c r="L52" s="680">
        <v>1.5080539119000657E-2</v>
      </c>
      <c r="M52" s="681">
        <v>1</v>
      </c>
      <c r="N52" s="682">
        <v>1.0744244531716256</v>
      </c>
      <c r="O52" s="684" t="s">
        <v>1271</v>
      </c>
      <c r="P52" s="680">
        <v>0.21778435239973701</v>
      </c>
      <c r="Q52" s="681">
        <v>1</v>
      </c>
      <c r="R52" s="682">
        <v>1.0744244531716256</v>
      </c>
      <c r="S52" s="684" t="s">
        <v>1271</v>
      </c>
      <c r="T52" s="680">
        <v>1.5080539119000657E-2</v>
      </c>
      <c r="U52" s="681">
        <v>1</v>
      </c>
      <c r="V52" s="682">
        <v>1.0744244531716256</v>
      </c>
      <c r="W52" s="684" t="s">
        <v>1271</v>
      </c>
      <c r="X52" s="680">
        <v>0.21778435239973701</v>
      </c>
      <c r="Y52" s="681">
        <v>1</v>
      </c>
      <c r="Z52" s="682">
        <v>1.0744244531716256</v>
      </c>
      <c r="AA52" s="684" t="s">
        <v>1271</v>
      </c>
      <c r="AB52" s="680">
        <v>1.5080539119000657E-2</v>
      </c>
      <c r="AC52" s="681">
        <v>1</v>
      </c>
      <c r="AD52" s="682">
        <v>1.0744244531716256</v>
      </c>
      <c r="AE52" s="684" t="s">
        <v>1271</v>
      </c>
      <c r="AF52" s="680">
        <v>0.21778435239973701</v>
      </c>
      <c r="AG52" s="681">
        <v>1</v>
      </c>
      <c r="AH52" s="682">
        <v>1.0744244531716256</v>
      </c>
      <c r="AI52" s="684" t="s">
        <v>1271</v>
      </c>
      <c r="AJ52" s="680">
        <v>1.5080539119000657E-2</v>
      </c>
      <c r="AK52" s="681">
        <v>1</v>
      </c>
      <c r="AL52" s="682">
        <v>1.0744244531716256</v>
      </c>
      <c r="AM52" s="684" t="s">
        <v>1271</v>
      </c>
      <c r="AN52" s="680">
        <v>0.21778435239973701</v>
      </c>
      <c r="AO52" s="681">
        <v>1</v>
      </c>
      <c r="AP52" s="682">
        <v>1.0744244531716256</v>
      </c>
      <c r="AQ52" s="684" t="s">
        <v>1271</v>
      </c>
      <c r="AR52" s="684"/>
      <c r="AS52" s="680">
        <v>0.21778435239973701</v>
      </c>
      <c r="AT52" s="681">
        <v>1</v>
      </c>
      <c r="AU52" s="682">
        <v>1.0744244531716256</v>
      </c>
      <c r="AV52" s="684" t="s">
        <v>1271</v>
      </c>
      <c r="AW52" s="684"/>
    </row>
    <row r="53" spans="1:49" s="689" customFormat="1" ht="21.75" customHeight="1">
      <c r="A53" s="693">
        <v>1218</v>
      </c>
      <c r="B53" s="671" t="s">
        <v>525</v>
      </c>
      <c r="C53" s="672" t="s">
        <v>525</v>
      </c>
      <c r="D53" s="673" t="s">
        <v>526</v>
      </c>
      <c r="E53" s="674" t="s">
        <v>402</v>
      </c>
      <c r="F53" s="675" t="s">
        <v>1284</v>
      </c>
      <c r="G53" s="676" t="s">
        <v>521</v>
      </c>
      <c r="H53" s="677" t="s">
        <v>402</v>
      </c>
      <c r="I53" s="715" t="s">
        <v>402</v>
      </c>
      <c r="J53" s="679">
        <v>0</v>
      </c>
      <c r="K53" s="676" t="s">
        <v>395</v>
      </c>
      <c r="L53" s="680">
        <v>0</v>
      </c>
      <c r="M53" s="681">
        <v>1</v>
      </c>
      <c r="N53" s="682">
        <v>1.0744244531716256</v>
      </c>
      <c r="O53" s="684" t="s">
        <v>1271</v>
      </c>
      <c r="P53" s="680">
        <v>4.5200525969756739E-4</v>
      </c>
      <c r="Q53" s="681">
        <v>1</v>
      </c>
      <c r="R53" s="682">
        <v>1.0744244531716256</v>
      </c>
      <c r="S53" s="684" t="s">
        <v>1271</v>
      </c>
      <c r="T53" s="680">
        <v>0</v>
      </c>
      <c r="U53" s="681">
        <v>1</v>
      </c>
      <c r="V53" s="682">
        <v>1.0744244531716256</v>
      </c>
      <c r="W53" s="684" t="s">
        <v>1271</v>
      </c>
      <c r="X53" s="680">
        <v>4.5200525969756739E-4</v>
      </c>
      <c r="Y53" s="681">
        <v>1</v>
      </c>
      <c r="Z53" s="682">
        <v>1.0744244531716256</v>
      </c>
      <c r="AA53" s="684" t="s">
        <v>1271</v>
      </c>
      <c r="AB53" s="680">
        <v>0</v>
      </c>
      <c r="AC53" s="681">
        <v>1</v>
      </c>
      <c r="AD53" s="682">
        <v>1.0744244531716256</v>
      </c>
      <c r="AE53" s="684" t="s">
        <v>1271</v>
      </c>
      <c r="AF53" s="680">
        <v>4.5200525969756739E-4</v>
      </c>
      <c r="AG53" s="681">
        <v>1</v>
      </c>
      <c r="AH53" s="682">
        <v>1.0744244531716256</v>
      </c>
      <c r="AI53" s="684" t="s">
        <v>1271</v>
      </c>
      <c r="AJ53" s="680">
        <v>0</v>
      </c>
      <c r="AK53" s="681">
        <v>1</v>
      </c>
      <c r="AL53" s="682">
        <v>1.0744244531716256</v>
      </c>
      <c r="AM53" s="684" t="s">
        <v>1271</v>
      </c>
      <c r="AN53" s="680">
        <v>4.5200525969756739E-4</v>
      </c>
      <c r="AO53" s="681">
        <v>1</v>
      </c>
      <c r="AP53" s="682">
        <v>1.0744244531716256</v>
      </c>
      <c r="AQ53" s="684" t="s">
        <v>1271</v>
      </c>
      <c r="AR53" s="684"/>
      <c r="AS53" s="680">
        <v>4.5200525969756739E-4</v>
      </c>
      <c r="AT53" s="681">
        <v>1</v>
      </c>
      <c r="AU53" s="682">
        <v>1.0744244531716256</v>
      </c>
      <c r="AV53" s="684" t="s">
        <v>1271</v>
      </c>
      <c r="AW53" s="684"/>
    </row>
    <row r="54" spans="1:49" s="689" customFormat="1" ht="21.75" customHeight="1">
      <c r="A54" s="693">
        <v>1289</v>
      </c>
      <c r="B54" s="671" t="s">
        <v>525</v>
      </c>
      <c r="C54" s="672" t="s">
        <v>525</v>
      </c>
      <c r="D54" s="673" t="s">
        <v>526</v>
      </c>
      <c r="E54" s="674" t="s">
        <v>402</v>
      </c>
      <c r="F54" s="675" t="s">
        <v>1285</v>
      </c>
      <c r="G54" s="676" t="s">
        <v>521</v>
      </c>
      <c r="H54" s="677" t="s">
        <v>402</v>
      </c>
      <c r="I54" s="715" t="s">
        <v>402</v>
      </c>
      <c r="J54" s="679">
        <v>0</v>
      </c>
      <c r="K54" s="676" t="s">
        <v>395</v>
      </c>
      <c r="L54" s="680">
        <v>0</v>
      </c>
      <c r="M54" s="681">
        <v>1</v>
      </c>
      <c r="N54" s="682">
        <v>1.0744244531716256</v>
      </c>
      <c r="O54" s="684" t="s">
        <v>1271</v>
      </c>
      <c r="P54" s="680">
        <v>0.10108481262327416</v>
      </c>
      <c r="Q54" s="681">
        <v>1</v>
      </c>
      <c r="R54" s="682">
        <v>1.0744244531716256</v>
      </c>
      <c r="S54" s="684" t="s">
        <v>1271</v>
      </c>
      <c r="T54" s="680">
        <v>0</v>
      </c>
      <c r="U54" s="681">
        <v>1</v>
      </c>
      <c r="V54" s="682">
        <v>1.0744244531716256</v>
      </c>
      <c r="W54" s="684" t="s">
        <v>1271</v>
      </c>
      <c r="X54" s="680">
        <v>0.10108481262327416</v>
      </c>
      <c r="Y54" s="681">
        <v>1</v>
      </c>
      <c r="Z54" s="682">
        <v>1.0744244531716256</v>
      </c>
      <c r="AA54" s="684" t="s">
        <v>1271</v>
      </c>
      <c r="AB54" s="680">
        <v>0</v>
      </c>
      <c r="AC54" s="681">
        <v>1</v>
      </c>
      <c r="AD54" s="682">
        <v>1.0744244531716256</v>
      </c>
      <c r="AE54" s="684" t="s">
        <v>1271</v>
      </c>
      <c r="AF54" s="680">
        <v>0.10108481262327416</v>
      </c>
      <c r="AG54" s="681">
        <v>1</v>
      </c>
      <c r="AH54" s="682">
        <v>1.0744244531716256</v>
      </c>
      <c r="AI54" s="684" t="s">
        <v>1271</v>
      </c>
      <c r="AJ54" s="680">
        <v>0</v>
      </c>
      <c r="AK54" s="681">
        <v>1</v>
      </c>
      <c r="AL54" s="682">
        <v>1.0744244531716256</v>
      </c>
      <c r="AM54" s="684" t="s">
        <v>1271</v>
      </c>
      <c r="AN54" s="680">
        <v>0.10108481262327416</v>
      </c>
      <c r="AO54" s="681">
        <v>1</v>
      </c>
      <c r="AP54" s="682">
        <v>1.0744244531716256</v>
      </c>
      <c r="AQ54" s="684" t="s">
        <v>1271</v>
      </c>
      <c r="AR54" s="684"/>
      <c r="AS54" s="680">
        <v>0.10108481262327416</v>
      </c>
      <c r="AT54" s="681">
        <v>1</v>
      </c>
      <c r="AU54" s="682">
        <v>1.0744244531716256</v>
      </c>
      <c r="AV54" s="684" t="s">
        <v>1271</v>
      </c>
      <c r="AW54" s="684"/>
    </row>
    <row r="55" spans="1:49" s="689" customFormat="1" ht="21.75" customHeight="1">
      <c r="A55" s="693">
        <v>5428</v>
      </c>
      <c r="B55" s="671" t="s">
        <v>525</v>
      </c>
      <c r="C55" s="672" t="s">
        <v>525</v>
      </c>
      <c r="D55" s="673" t="s">
        <v>526</v>
      </c>
      <c r="E55" s="674" t="s">
        <v>402</v>
      </c>
      <c r="F55" s="675" t="s">
        <v>1286</v>
      </c>
      <c r="G55" s="676" t="s">
        <v>521</v>
      </c>
      <c r="H55" s="677" t="s">
        <v>402</v>
      </c>
      <c r="I55" s="715" t="s">
        <v>402</v>
      </c>
      <c r="J55" s="679">
        <v>0</v>
      </c>
      <c r="K55" s="676" t="s">
        <v>395</v>
      </c>
      <c r="L55" s="680">
        <v>3.1188362919132145E-5</v>
      </c>
      <c r="M55" s="681">
        <v>1</v>
      </c>
      <c r="N55" s="682">
        <v>1.0744244531716256</v>
      </c>
      <c r="O55" s="684" t="s">
        <v>1271</v>
      </c>
      <c r="P55" s="680">
        <v>2.7284681130834977E-5</v>
      </c>
      <c r="Q55" s="681">
        <v>1</v>
      </c>
      <c r="R55" s="682">
        <v>1.0744244531716256</v>
      </c>
      <c r="S55" s="684" t="s">
        <v>1271</v>
      </c>
      <c r="T55" s="680">
        <v>3.1188362919132145E-5</v>
      </c>
      <c r="U55" s="681">
        <v>1</v>
      </c>
      <c r="V55" s="682">
        <v>1.0744244531716256</v>
      </c>
      <c r="W55" s="684" t="s">
        <v>1271</v>
      </c>
      <c r="X55" s="680">
        <v>2.7284681130834977E-5</v>
      </c>
      <c r="Y55" s="681">
        <v>1</v>
      </c>
      <c r="Z55" s="682">
        <v>1.0744244531716256</v>
      </c>
      <c r="AA55" s="684" t="s">
        <v>1271</v>
      </c>
      <c r="AB55" s="680">
        <v>3.1188362919132145E-5</v>
      </c>
      <c r="AC55" s="681">
        <v>1</v>
      </c>
      <c r="AD55" s="682">
        <v>1.0744244531716256</v>
      </c>
      <c r="AE55" s="684" t="s">
        <v>1271</v>
      </c>
      <c r="AF55" s="680">
        <v>2.7284681130834977E-5</v>
      </c>
      <c r="AG55" s="681">
        <v>1</v>
      </c>
      <c r="AH55" s="682">
        <v>1.0744244531716256</v>
      </c>
      <c r="AI55" s="684" t="s">
        <v>1271</v>
      </c>
      <c r="AJ55" s="680">
        <v>3.1188362919132145E-5</v>
      </c>
      <c r="AK55" s="681">
        <v>1</v>
      </c>
      <c r="AL55" s="682">
        <v>1.0744244531716256</v>
      </c>
      <c r="AM55" s="684" t="s">
        <v>1271</v>
      </c>
      <c r="AN55" s="680">
        <v>2.7284681130834977E-5</v>
      </c>
      <c r="AO55" s="681">
        <v>1</v>
      </c>
      <c r="AP55" s="682">
        <v>1.0744244531716256</v>
      </c>
      <c r="AQ55" s="684" t="s">
        <v>1271</v>
      </c>
      <c r="AR55" s="684"/>
      <c r="AS55" s="680">
        <v>2.7284681130834977E-5</v>
      </c>
      <c r="AT55" s="681">
        <v>1</v>
      </c>
      <c r="AU55" s="682">
        <v>1.0744244531716256</v>
      </c>
      <c r="AV55" s="684" t="s">
        <v>1271</v>
      </c>
      <c r="AW55" s="684"/>
    </row>
    <row r="56" spans="1:49" s="689" customFormat="1" ht="21.75" customHeight="1">
      <c r="A56" s="693">
        <v>6319</v>
      </c>
      <c r="B56" s="671" t="s">
        <v>525</v>
      </c>
      <c r="C56" s="672" t="s">
        <v>525</v>
      </c>
      <c r="D56" s="673" t="s">
        <v>526</v>
      </c>
      <c r="E56" s="674" t="s">
        <v>402</v>
      </c>
      <c r="F56" s="675" t="s">
        <v>1287</v>
      </c>
      <c r="G56" s="676" t="s">
        <v>521</v>
      </c>
      <c r="H56" s="677" t="s">
        <v>402</v>
      </c>
      <c r="I56" s="715" t="s">
        <v>402</v>
      </c>
      <c r="J56" s="679">
        <v>0</v>
      </c>
      <c r="K56" s="676" t="s">
        <v>395</v>
      </c>
      <c r="L56" s="680">
        <v>0</v>
      </c>
      <c r="M56" s="681">
        <v>1</v>
      </c>
      <c r="N56" s="682">
        <v>1.0744244531716256</v>
      </c>
      <c r="O56" s="684" t="s">
        <v>1271</v>
      </c>
      <c r="P56" s="680">
        <v>2.9996712689020381E-2</v>
      </c>
      <c r="Q56" s="681">
        <v>1</v>
      </c>
      <c r="R56" s="682">
        <v>1.0744244531716256</v>
      </c>
      <c r="S56" s="684" t="s">
        <v>1271</v>
      </c>
      <c r="T56" s="680">
        <v>0</v>
      </c>
      <c r="U56" s="681">
        <v>1</v>
      </c>
      <c r="V56" s="682">
        <v>1.0744244531716256</v>
      </c>
      <c r="W56" s="684" t="s">
        <v>1271</v>
      </c>
      <c r="X56" s="680">
        <v>2.9996712689020381E-2</v>
      </c>
      <c r="Y56" s="681">
        <v>1</v>
      </c>
      <c r="Z56" s="682">
        <v>1.0744244531716256</v>
      </c>
      <c r="AA56" s="684" t="s">
        <v>1271</v>
      </c>
      <c r="AB56" s="680">
        <v>0</v>
      </c>
      <c r="AC56" s="681">
        <v>1</v>
      </c>
      <c r="AD56" s="682">
        <v>1.0744244531716256</v>
      </c>
      <c r="AE56" s="684" t="s">
        <v>1271</v>
      </c>
      <c r="AF56" s="680">
        <v>2.9996712689020381E-2</v>
      </c>
      <c r="AG56" s="681">
        <v>1</v>
      </c>
      <c r="AH56" s="682">
        <v>1.0744244531716256</v>
      </c>
      <c r="AI56" s="684" t="s">
        <v>1271</v>
      </c>
      <c r="AJ56" s="680">
        <v>0</v>
      </c>
      <c r="AK56" s="681">
        <v>1</v>
      </c>
      <c r="AL56" s="682">
        <v>1.0744244531716256</v>
      </c>
      <c r="AM56" s="684" t="s">
        <v>1271</v>
      </c>
      <c r="AN56" s="680">
        <v>2.9996712689020381E-2</v>
      </c>
      <c r="AO56" s="681">
        <v>1</v>
      </c>
      <c r="AP56" s="682">
        <v>1.0744244531716256</v>
      </c>
      <c r="AQ56" s="684" t="s">
        <v>1271</v>
      </c>
      <c r="AR56" s="684"/>
      <c r="AS56" s="680">
        <v>2.9996712689020381E-2</v>
      </c>
      <c r="AT56" s="681">
        <v>1</v>
      </c>
      <c r="AU56" s="682">
        <v>1.0744244531716256</v>
      </c>
      <c r="AV56" s="684" t="s">
        <v>1271</v>
      </c>
      <c r="AW56" s="684"/>
    </row>
    <row r="57" spans="1:49" s="689" customFormat="1" ht="21.75" customHeight="1">
      <c r="A57" s="693">
        <v>1864</v>
      </c>
      <c r="B57" s="671" t="s">
        <v>525</v>
      </c>
      <c r="C57" s="672" t="s">
        <v>525</v>
      </c>
      <c r="D57" s="673" t="s">
        <v>526</v>
      </c>
      <c r="E57" s="674" t="s">
        <v>402</v>
      </c>
      <c r="F57" s="675" t="s">
        <v>1288</v>
      </c>
      <c r="G57" s="676" t="s">
        <v>521</v>
      </c>
      <c r="H57" s="677" t="s">
        <v>402</v>
      </c>
      <c r="I57" s="715" t="s">
        <v>402</v>
      </c>
      <c r="J57" s="679">
        <v>0</v>
      </c>
      <c r="K57" s="676" t="s">
        <v>395</v>
      </c>
      <c r="L57" s="680">
        <v>0</v>
      </c>
      <c r="M57" s="681">
        <v>1</v>
      </c>
      <c r="N57" s="682">
        <v>1.0744244531716256</v>
      </c>
      <c r="O57" s="684" t="s">
        <v>1271</v>
      </c>
      <c r="P57" s="680">
        <v>2.0956607495069036E-2</v>
      </c>
      <c r="Q57" s="681">
        <v>1</v>
      </c>
      <c r="R57" s="682">
        <v>1.0744244531716256</v>
      </c>
      <c r="S57" s="684" t="s">
        <v>1271</v>
      </c>
      <c r="T57" s="680">
        <v>0</v>
      </c>
      <c r="U57" s="681">
        <v>1</v>
      </c>
      <c r="V57" s="682">
        <v>1.0744244531716256</v>
      </c>
      <c r="W57" s="684" t="s">
        <v>1271</v>
      </c>
      <c r="X57" s="680">
        <v>2.0956607495069036E-2</v>
      </c>
      <c r="Y57" s="681">
        <v>1</v>
      </c>
      <c r="Z57" s="682">
        <v>1.0744244531716256</v>
      </c>
      <c r="AA57" s="684" t="s">
        <v>1271</v>
      </c>
      <c r="AB57" s="680">
        <v>0</v>
      </c>
      <c r="AC57" s="681">
        <v>1</v>
      </c>
      <c r="AD57" s="682">
        <v>1.0744244531716256</v>
      </c>
      <c r="AE57" s="684" t="s">
        <v>1271</v>
      </c>
      <c r="AF57" s="680">
        <v>2.0956607495069036E-2</v>
      </c>
      <c r="AG57" s="681">
        <v>1</v>
      </c>
      <c r="AH57" s="682">
        <v>1.0744244531716256</v>
      </c>
      <c r="AI57" s="684" t="s">
        <v>1271</v>
      </c>
      <c r="AJ57" s="680">
        <v>0</v>
      </c>
      <c r="AK57" s="681">
        <v>1</v>
      </c>
      <c r="AL57" s="682">
        <v>1.0744244531716256</v>
      </c>
      <c r="AM57" s="684" t="s">
        <v>1271</v>
      </c>
      <c r="AN57" s="680">
        <v>2.0956607495069036E-2</v>
      </c>
      <c r="AO57" s="681">
        <v>1</v>
      </c>
      <c r="AP57" s="682">
        <v>1.0744244531716256</v>
      </c>
      <c r="AQ57" s="684" t="s">
        <v>1271</v>
      </c>
      <c r="AR57" s="684"/>
      <c r="AS57" s="680">
        <v>2.0956607495069036E-2</v>
      </c>
      <c r="AT57" s="681">
        <v>1</v>
      </c>
      <c r="AU57" s="682">
        <v>1.0744244531716256</v>
      </c>
      <c r="AV57" s="684" t="s">
        <v>1271</v>
      </c>
      <c r="AW57" s="684"/>
    </row>
    <row r="58" spans="1:49" ht="12" customHeight="1">
      <c r="A58" s="36">
        <v>775</v>
      </c>
      <c r="B58" s="310" t="s">
        <v>12</v>
      </c>
      <c r="C58" s="151" t="s">
        <v>525</v>
      </c>
      <c r="D58" s="152" t="s">
        <v>526</v>
      </c>
      <c r="E58" s="153" t="s">
        <v>402</v>
      </c>
      <c r="F58" s="144" t="s">
        <v>1110</v>
      </c>
      <c r="G58" s="125" t="s">
        <v>521</v>
      </c>
      <c r="H58" s="164" t="s">
        <v>402</v>
      </c>
      <c r="I58" s="123" t="s">
        <v>402</v>
      </c>
      <c r="J58" s="124">
        <v>0</v>
      </c>
      <c r="K58" s="125" t="s">
        <v>395</v>
      </c>
      <c r="L58" s="165">
        <v>0</v>
      </c>
      <c r="M58" s="29">
        <v>1</v>
      </c>
      <c r="N58" s="1">
        <v>1.0744244531716256</v>
      </c>
      <c r="O58" s="31" t="s">
        <v>1271</v>
      </c>
      <c r="P58" s="165">
        <v>0</v>
      </c>
      <c r="Q58" s="29">
        <v>1</v>
      </c>
      <c r="R58" s="1">
        <v>1.0744244531716256</v>
      </c>
      <c r="S58" s="31" t="s">
        <v>1271</v>
      </c>
      <c r="T58" s="165">
        <v>0</v>
      </c>
      <c r="U58" s="29">
        <v>1</v>
      </c>
      <c r="V58" s="1">
        <v>1.0744244531716256</v>
      </c>
      <c r="W58" s="31" t="s">
        <v>1271</v>
      </c>
      <c r="X58" s="165">
        <v>0</v>
      </c>
      <c r="Y58" s="29">
        <v>1</v>
      </c>
      <c r="Z58" s="1">
        <v>1.0744244531716256</v>
      </c>
      <c r="AA58" s="31" t="s">
        <v>1271</v>
      </c>
      <c r="AB58" s="165">
        <v>0</v>
      </c>
      <c r="AC58" s="29">
        <v>1</v>
      </c>
      <c r="AD58" s="1">
        <v>1.0744244531716256</v>
      </c>
      <c r="AE58" s="31" t="s">
        <v>1271</v>
      </c>
      <c r="AF58" s="165">
        <v>0</v>
      </c>
      <c r="AG58" s="29">
        <v>1</v>
      </c>
      <c r="AH58" s="1">
        <v>1.0744244531716256</v>
      </c>
      <c r="AI58" s="31" t="s">
        <v>1271</v>
      </c>
      <c r="AJ58" s="165">
        <v>0</v>
      </c>
      <c r="AK58" s="29">
        <v>1</v>
      </c>
      <c r="AL58" s="1">
        <v>1.0744244531716256</v>
      </c>
      <c r="AM58" s="31" t="s">
        <v>1271</v>
      </c>
      <c r="AN58" s="165">
        <v>0</v>
      </c>
      <c r="AO58" s="29">
        <v>1</v>
      </c>
      <c r="AP58" s="1">
        <v>1.0744244531716256</v>
      </c>
      <c r="AQ58" s="31" t="s">
        <v>1271</v>
      </c>
      <c r="AR58" s="31"/>
      <c r="AS58" s="165">
        <v>0</v>
      </c>
      <c r="AT58" s="29">
        <v>1</v>
      </c>
      <c r="AU58" s="1">
        <v>1.0744244531716256</v>
      </c>
      <c r="AV58" s="31" t="s">
        <v>1271</v>
      </c>
      <c r="AW58" s="31"/>
    </row>
    <row r="59" spans="1:49" ht="48">
      <c r="A59" s="156">
        <v>1306</v>
      </c>
      <c r="B59" s="310" t="s">
        <v>525</v>
      </c>
      <c r="C59" s="151" t="s">
        <v>525</v>
      </c>
      <c r="D59" s="152" t="s">
        <v>526</v>
      </c>
      <c r="E59" s="153" t="s">
        <v>402</v>
      </c>
      <c r="F59" s="144" t="s">
        <v>1112</v>
      </c>
      <c r="G59" s="125" t="s">
        <v>521</v>
      </c>
      <c r="H59" s="164" t="s">
        <v>402</v>
      </c>
      <c r="I59" s="123" t="s">
        <v>402</v>
      </c>
      <c r="J59" s="124">
        <v>0</v>
      </c>
      <c r="K59" s="125" t="s">
        <v>395</v>
      </c>
      <c r="L59" s="165">
        <v>0</v>
      </c>
      <c r="M59" s="29">
        <v>1</v>
      </c>
      <c r="N59" s="1">
        <v>1.0744244531716256</v>
      </c>
      <c r="O59" s="31" t="s">
        <v>1271</v>
      </c>
      <c r="P59" s="165">
        <v>8.2182774490466796E-3</v>
      </c>
      <c r="Q59" s="29">
        <v>1</v>
      </c>
      <c r="R59" s="1">
        <v>1.0744244531716256</v>
      </c>
      <c r="S59" s="31" t="s">
        <v>1271</v>
      </c>
      <c r="T59" s="165">
        <v>0</v>
      </c>
      <c r="U59" s="29">
        <v>1</v>
      </c>
      <c r="V59" s="1">
        <v>1.0744244531716256</v>
      </c>
      <c r="W59" s="31" t="s">
        <v>1271</v>
      </c>
      <c r="X59" s="165">
        <v>8.2182774490466796E-3</v>
      </c>
      <c r="Y59" s="29">
        <v>1</v>
      </c>
      <c r="Z59" s="1">
        <v>1.0744244531716256</v>
      </c>
      <c r="AA59" s="31" t="s">
        <v>1271</v>
      </c>
      <c r="AB59" s="165">
        <v>0</v>
      </c>
      <c r="AC59" s="29">
        <v>1</v>
      </c>
      <c r="AD59" s="1">
        <v>1.0744244531716256</v>
      </c>
      <c r="AE59" s="31" t="s">
        <v>1271</v>
      </c>
      <c r="AF59" s="165">
        <v>8.2182774490466796E-3</v>
      </c>
      <c r="AG59" s="29">
        <v>1</v>
      </c>
      <c r="AH59" s="1">
        <v>1.0744244531716256</v>
      </c>
      <c r="AI59" s="31" t="s">
        <v>1271</v>
      </c>
      <c r="AJ59" s="165">
        <v>0</v>
      </c>
      <c r="AK59" s="29">
        <v>1</v>
      </c>
      <c r="AL59" s="1">
        <v>1.0744244531716256</v>
      </c>
      <c r="AM59" s="31" t="s">
        <v>1271</v>
      </c>
      <c r="AN59" s="165">
        <v>8.2182774490466796E-3</v>
      </c>
      <c r="AO59" s="29">
        <v>1</v>
      </c>
      <c r="AP59" s="1">
        <v>1.0744244531716256</v>
      </c>
      <c r="AQ59" s="31" t="s">
        <v>1271</v>
      </c>
      <c r="AR59" s="31"/>
      <c r="AS59" s="165">
        <v>8.2182774490466796E-3</v>
      </c>
      <c r="AT59" s="29">
        <v>1</v>
      </c>
      <c r="AU59" s="1">
        <v>1.0744244531716256</v>
      </c>
      <c r="AV59" s="31" t="s">
        <v>1271</v>
      </c>
      <c r="AW59" s="31"/>
    </row>
    <row r="60" spans="1:49" ht="48">
      <c r="A60" s="156">
        <v>1777</v>
      </c>
      <c r="B60" s="310" t="s">
        <v>525</v>
      </c>
      <c r="C60" s="151" t="s">
        <v>525</v>
      </c>
      <c r="D60" s="152" t="s">
        <v>526</v>
      </c>
      <c r="E60" s="153" t="s">
        <v>402</v>
      </c>
      <c r="F60" s="144" t="s">
        <v>1108</v>
      </c>
      <c r="G60" s="125" t="s">
        <v>521</v>
      </c>
      <c r="H60" s="164" t="s">
        <v>402</v>
      </c>
      <c r="I60" s="123" t="s">
        <v>402</v>
      </c>
      <c r="J60" s="124">
        <v>0</v>
      </c>
      <c r="K60" s="125" t="s">
        <v>395</v>
      </c>
      <c r="L60" s="165">
        <v>1.1505588428665352</v>
      </c>
      <c r="M60" s="29">
        <v>1</v>
      </c>
      <c r="N60" s="1">
        <v>1.0744244531716256</v>
      </c>
      <c r="O60" s="31" t="s">
        <v>1271</v>
      </c>
      <c r="P60" s="165">
        <v>1.3477975016436556</v>
      </c>
      <c r="Q60" s="29">
        <v>1</v>
      </c>
      <c r="R60" s="1">
        <v>1.0744244531716256</v>
      </c>
      <c r="S60" s="31" t="s">
        <v>1271</v>
      </c>
      <c r="T60" s="165">
        <v>1.1505588428665352</v>
      </c>
      <c r="U60" s="29">
        <v>1</v>
      </c>
      <c r="V60" s="1">
        <v>1.0744244531716256</v>
      </c>
      <c r="W60" s="31" t="s">
        <v>1271</v>
      </c>
      <c r="X60" s="165">
        <v>1.3477975016436556</v>
      </c>
      <c r="Y60" s="29">
        <v>1</v>
      </c>
      <c r="Z60" s="1">
        <v>1.0744244531716256</v>
      </c>
      <c r="AA60" s="31" t="s">
        <v>1271</v>
      </c>
      <c r="AB60" s="165">
        <v>1.1505588428665352</v>
      </c>
      <c r="AC60" s="29">
        <v>1</v>
      </c>
      <c r="AD60" s="1">
        <v>1.0744244531716256</v>
      </c>
      <c r="AE60" s="31" t="s">
        <v>1271</v>
      </c>
      <c r="AF60" s="165">
        <v>1.3477975016436556</v>
      </c>
      <c r="AG60" s="29">
        <v>1</v>
      </c>
      <c r="AH60" s="1">
        <v>1.0744244531716256</v>
      </c>
      <c r="AI60" s="31" t="s">
        <v>1271</v>
      </c>
      <c r="AJ60" s="165">
        <v>1.1505588428665352</v>
      </c>
      <c r="AK60" s="29">
        <v>1</v>
      </c>
      <c r="AL60" s="1">
        <v>1.0744244531716256</v>
      </c>
      <c r="AM60" s="31" t="s">
        <v>1271</v>
      </c>
      <c r="AN60" s="165">
        <v>1.3477975016436556</v>
      </c>
      <c r="AO60" s="29">
        <v>1</v>
      </c>
      <c r="AP60" s="1">
        <v>1.0744244531716256</v>
      </c>
      <c r="AQ60" s="31" t="s">
        <v>1271</v>
      </c>
      <c r="AR60" s="31"/>
      <c r="AS60" s="165">
        <v>1.3477975016436556</v>
      </c>
      <c r="AT60" s="29">
        <v>1</v>
      </c>
      <c r="AU60" s="1">
        <v>1.0744244531716256</v>
      </c>
      <c r="AV60" s="31" t="s">
        <v>1271</v>
      </c>
      <c r="AW60" s="31"/>
    </row>
    <row r="61" spans="1:49" ht="47.25" customHeight="1">
      <c r="A61" s="120">
        <v>2923</v>
      </c>
      <c r="B61" s="310" t="s">
        <v>525</v>
      </c>
      <c r="C61" s="151" t="s">
        <v>525</v>
      </c>
      <c r="D61" s="152" t="s">
        <v>526</v>
      </c>
      <c r="E61" s="153" t="s">
        <v>402</v>
      </c>
      <c r="F61" s="144" t="s">
        <v>1171</v>
      </c>
      <c r="G61" s="125" t="s">
        <v>521</v>
      </c>
      <c r="H61" s="164" t="s">
        <v>402</v>
      </c>
      <c r="I61" s="123" t="s">
        <v>402</v>
      </c>
      <c r="J61" s="124">
        <v>0</v>
      </c>
      <c r="K61" s="125" t="s">
        <v>395</v>
      </c>
      <c r="L61" s="165">
        <v>0</v>
      </c>
      <c r="M61" s="29">
        <v>1</v>
      </c>
      <c r="N61" s="1">
        <v>1.0744244531716256</v>
      </c>
      <c r="O61" s="31" t="s">
        <v>1271</v>
      </c>
      <c r="P61" s="165">
        <v>0</v>
      </c>
      <c r="Q61" s="29">
        <v>1</v>
      </c>
      <c r="R61" s="1">
        <v>1.0744244531716256</v>
      </c>
      <c r="S61" s="31" t="s">
        <v>1271</v>
      </c>
      <c r="T61" s="165">
        <v>0</v>
      </c>
      <c r="U61" s="29">
        <v>1</v>
      </c>
      <c r="V61" s="1">
        <v>1.0744244531716256</v>
      </c>
      <c r="W61" s="31" t="s">
        <v>1271</v>
      </c>
      <c r="X61" s="165">
        <v>0</v>
      </c>
      <c r="Y61" s="29">
        <v>1</v>
      </c>
      <c r="Z61" s="1">
        <v>1.0744244531716256</v>
      </c>
      <c r="AA61" s="31" t="s">
        <v>1271</v>
      </c>
      <c r="AB61" s="165">
        <v>0</v>
      </c>
      <c r="AC61" s="29">
        <v>1</v>
      </c>
      <c r="AD61" s="1">
        <v>1.0744244531716256</v>
      </c>
      <c r="AE61" s="31" t="s">
        <v>1271</v>
      </c>
      <c r="AF61" s="165">
        <v>0</v>
      </c>
      <c r="AG61" s="29">
        <v>1</v>
      </c>
      <c r="AH61" s="1">
        <v>1.0744244531716256</v>
      </c>
      <c r="AI61" s="31" t="s">
        <v>1271</v>
      </c>
      <c r="AJ61" s="165">
        <v>0</v>
      </c>
      <c r="AK61" s="29">
        <v>1</v>
      </c>
      <c r="AL61" s="1">
        <v>1.0744244531716256</v>
      </c>
      <c r="AM61" s="31" t="s">
        <v>1271</v>
      </c>
      <c r="AN61" s="165">
        <v>0</v>
      </c>
      <c r="AO61" s="29">
        <v>1</v>
      </c>
      <c r="AP61" s="1">
        <v>1.0744244531716256</v>
      </c>
      <c r="AQ61" s="31" t="s">
        <v>1271</v>
      </c>
      <c r="AR61" s="31"/>
      <c r="AS61" s="165">
        <v>0</v>
      </c>
      <c r="AT61" s="29">
        <v>1</v>
      </c>
      <c r="AU61" s="1">
        <v>1.0744244531716256</v>
      </c>
      <c r="AV61" s="31" t="s">
        <v>1271</v>
      </c>
      <c r="AW61" s="31"/>
    </row>
    <row r="62" spans="1:49" s="689" customFormat="1" ht="21.75" customHeight="1">
      <c r="A62" s="693">
        <v>32126</v>
      </c>
      <c r="B62" s="671" t="s">
        <v>525</v>
      </c>
      <c r="C62" s="672" t="s">
        <v>525</v>
      </c>
      <c r="D62" s="673" t="s">
        <v>526</v>
      </c>
      <c r="E62" s="674" t="s">
        <v>402</v>
      </c>
      <c r="F62" s="675" t="s">
        <v>1104</v>
      </c>
      <c r="G62" s="676" t="s">
        <v>521</v>
      </c>
      <c r="H62" s="677" t="s">
        <v>402</v>
      </c>
      <c r="I62" s="715" t="s">
        <v>402</v>
      </c>
      <c r="J62" s="679">
        <v>0</v>
      </c>
      <c r="K62" s="676" t="s">
        <v>395</v>
      </c>
      <c r="L62" s="680">
        <v>2.9092702169625246E-3</v>
      </c>
      <c r="M62" s="681">
        <v>1</v>
      </c>
      <c r="N62" s="682">
        <v>1.0744244531716256</v>
      </c>
      <c r="O62" s="684" t="s">
        <v>1271</v>
      </c>
      <c r="P62" s="680">
        <v>2.6093030900723206E-3</v>
      </c>
      <c r="Q62" s="681">
        <v>1</v>
      </c>
      <c r="R62" s="682">
        <v>1.0744244531716256</v>
      </c>
      <c r="S62" s="684" t="s">
        <v>1271</v>
      </c>
      <c r="T62" s="680">
        <v>2.9092702169625246E-3</v>
      </c>
      <c r="U62" s="681">
        <v>1</v>
      </c>
      <c r="V62" s="682">
        <v>1.0744244531716256</v>
      </c>
      <c r="W62" s="684" t="s">
        <v>1271</v>
      </c>
      <c r="X62" s="680">
        <v>2.6093030900723206E-3</v>
      </c>
      <c r="Y62" s="681">
        <v>1</v>
      </c>
      <c r="Z62" s="682">
        <v>1.0744244531716256</v>
      </c>
      <c r="AA62" s="684" t="s">
        <v>1271</v>
      </c>
      <c r="AB62" s="680">
        <v>2.9092702169625246E-3</v>
      </c>
      <c r="AC62" s="681">
        <v>1</v>
      </c>
      <c r="AD62" s="682">
        <v>1.0744244531716256</v>
      </c>
      <c r="AE62" s="684" t="s">
        <v>1271</v>
      </c>
      <c r="AF62" s="680">
        <v>2.6093030900723206E-3</v>
      </c>
      <c r="AG62" s="681">
        <v>1</v>
      </c>
      <c r="AH62" s="682">
        <v>1.0744244531716256</v>
      </c>
      <c r="AI62" s="684" t="s">
        <v>1271</v>
      </c>
      <c r="AJ62" s="680">
        <v>2.9092702169625246E-3</v>
      </c>
      <c r="AK62" s="681">
        <v>1</v>
      </c>
      <c r="AL62" s="682">
        <v>1.0744244531716256</v>
      </c>
      <c r="AM62" s="684" t="s">
        <v>1271</v>
      </c>
      <c r="AN62" s="680">
        <v>2.6093030900723206E-3</v>
      </c>
      <c r="AO62" s="681">
        <v>1</v>
      </c>
      <c r="AP62" s="682">
        <v>1.0744244531716256</v>
      </c>
      <c r="AQ62" s="684" t="s">
        <v>1271</v>
      </c>
      <c r="AR62" s="684"/>
      <c r="AS62" s="680">
        <v>2.6093030900723206E-3</v>
      </c>
      <c r="AT62" s="681">
        <v>1</v>
      </c>
      <c r="AU62" s="682">
        <v>1.0744244531716256</v>
      </c>
      <c r="AV62" s="684" t="s">
        <v>1271</v>
      </c>
      <c r="AW62" s="684"/>
    </row>
    <row r="63" spans="1:49">
      <c r="I63" s="7" t="s">
        <v>402</v>
      </c>
    </row>
    <row r="64" spans="1:49" ht="20.25" customHeight="1">
      <c r="A64" s="226">
        <v>1267</v>
      </c>
      <c r="B64" s="310" t="s">
        <v>13</v>
      </c>
      <c r="C64" s="151" t="s">
        <v>525</v>
      </c>
      <c r="D64" s="152" t="s">
        <v>526</v>
      </c>
      <c r="E64" s="153" t="s">
        <v>402</v>
      </c>
      <c r="F64" s="144" t="s">
        <v>1289</v>
      </c>
      <c r="G64" s="125" t="s">
        <v>521</v>
      </c>
      <c r="H64" s="164" t="s">
        <v>402</v>
      </c>
      <c r="I64" s="123" t="s">
        <v>402</v>
      </c>
      <c r="J64" s="124">
        <v>0</v>
      </c>
      <c r="K64" s="125" t="s">
        <v>395</v>
      </c>
      <c r="L64" s="165">
        <v>0</v>
      </c>
      <c r="M64" s="29">
        <v>1</v>
      </c>
      <c r="N64" s="1">
        <v>1.0744244531716256</v>
      </c>
      <c r="O64" s="31" t="s">
        <v>1271</v>
      </c>
      <c r="P64" s="165">
        <v>0</v>
      </c>
      <c r="Q64" s="29">
        <v>1</v>
      </c>
      <c r="R64" s="1">
        <v>1.0744244531716256</v>
      </c>
      <c r="S64" s="31" t="s">
        <v>1271</v>
      </c>
      <c r="T64" s="165">
        <v>0</v>
      </c>
      <c r="U64" s="29">
        <v>1</v>
      </c>
      <c r="V64" s="1">
        <v>1.0744244531716256</v>
      </c>
      <c r="W64" s="31" t="s">
        <v>1271</v>
      </c>
      <c r="X64" s="165">
        <v>0</v>
      </c>
      <c r="Y64" s="29">
        <v>1</v>
      </c>
      <c r="Z64" s="1">
        <v>1.0744244531716256</v>
      </c>
      <c r="AA64" s="31" t="s">
        <v>1271</v>
      </c>
      <c r="AB64" s="165">
        <v>0</v>
      </c>
      <c r="AC64" s="29">
        <v>1</v>
      </c>
      <c r="AD64" s="1">
        <v>1.0744244531716256</v>
      </c>
      <c r="AE64" s="31" t="s">
        <v>1271</v>
      </c>
      <c r="AF64" s="165">
        <v>0</v>
      </c>
      <c r="AG64" s="29">
        <v>1</v>
      </c>
      <c r="AH64" s="1">
        <v>1.0744244531716256</v>
      </c>
      <c r="AI64" s="31" t="s">
        <v>1271</v>
      </c>
      <c r="AJ64" s="165">
        <v>0</v>
      </c>
      <c r="AK64" s="29">
        <v>1</v>
      </c>
      <c r="AL64" s="1">
        <v>1.0744244531716256</v>
      </c>
      <c r="AM64" s="31" t="s">
        <v>1271</v>
      </c>
      <c r="AN64" s="165">
        <v>0</v>
      </c>
      <c r="AO64" s="29">
        <v>1</v>
      </c>
      <c r="AP64" s="1">
        <v>1.0744244531716256</v>
      </c>
      <c r="AQ64" s="31" t="s">
        <v>1271</v>
      </c>
      <c r="AR64" s="31"/>
      <c r="AS64" s="165">
        <v>0</v>
      </c>
      <c r="AT64" s="29">
        <v>1</v>
      </c>
      <c r="AU64" s="1">
        <v>1.0744244531716256</v>
      </c>
      <c r="AV64" s="31" t="s">
        <v>1271</v>
      </c>
      <c r="AW64" s="31"/>
    </row>
    <row r="65" spans="1:49" ht="48">
      <c r="A65" s="157">
        <v>2987</v>
      </c>
      <c r="B65" s="37" t="s">
        <v>525</v>
      </c>
      <c r="C65" s="169" t="s">
        <v>525</v>
      </c>
      <c r="D65" s="50" t="s">
        <v>526</v>
      </c>
      <c r="E65" s="10" t="s">
        <v>402</v>
      </c>
      <c r="F65" s="144" t="s">
        <v>59</v>
      </c>
      <c r="G65" s="125" t="s">
        <v>521</v>
      </c>
      <c r="H65" s="164" t="s">
        <v>402</v>
      </c>
      <c r="I65" s="123" t="s">
        <v>402</v>
      </c>
      <c r="J65" s="124">
        <v>0</v>
      </c>
      <c r="K65" s="125" t="s">
        <v>397</v>
      </c>
      <c r="L65" s="165">
        <v>0.27407955292570674</v>
      </c>
      <c r="M65" s="29">
        <v>1</v>
      </c>
      <c r="N65" s="1">
        <v>2.0949941301068096</v>
      </c>
      <c r="O65" s="31" t="s">
        <v>1290</v>
      </c>
      <c r="P65" s="165">
        <v>0.52186061801446415</v>
      </c>
      <c r="Q65" s="29">
        <v>1</v>
      </c>
      <c r="R65" s="1">
        <v>2.0949941301068096</v>
      </c>
      <c r="S65" s="31" t="s">
        <v>1290</v>
      </c>
      <c r="T65" s="165">
        <v>0.27407955292570674</v>
      </c>
      <c r="U65" s="29">
        <v>1</v>
      </c>
      <c r="V65" s="1">
        <v>2.0949941301068096</v>
      </c>
      <c r="W65" s="31" t="s">
        <v>1290</v>
      </c>
      <c r="X65" s="165">
        <v>0.52186061801446415</v>
      </c>
      <c r="Y65" s="29">
        <v>1</v>
      </c>
      <c r="Z65" s="1">
        <v>2.0949941301068096</v>
      </c>
      <c r="AA65" s="31" t="s">
        <v>1290</v>
      </c>
      <c r="AB65" s="165">
        <v>0.27407955292570674</v>
      </c>
      <c r="AC65" s="29">
        <v>1</v>
      </c>
      <c r="AD65" s="1">
        <v>2.0949941301068096</v>
      </c>
      <c r="AE65" s="31" t="s">
        <v>1290</v>
      </c>
      <c r="AF65" s="165">
        <v>0.52186061801446415</v>
      </c>
      <c r="AG65" s="29">
        <v>1</v>
      </c>
      <c r="AH65" s="1">
        <v>2.0949941301068096</v>
      </c>
      <c r="AI65" s="31" t="s">
        <v>1290</v>
      </c>
      <c r="AJ65" s="165">
        <v>0.27407955292570674</v>
      </c>
      <c r="AK65" s="29">
        <v>1</v>
      </c>
      <c r="AL65" s="1">
        <v>2.0949941301068096</v>
      </c>
      <c r="AM65" s="31" t="s">
        <v>1290</v>
      </c>
      <c r="AN65" s="165">
        <v>0.52186061801446415</v>
      </c>
      <c r="AO65" s="29">
        <v>1</v>
      </c>
      <c r="AP65" s="1">
        <v>2.0949941301068096</v>
      </c>
      <c r="AQ65" s="31" t="s">
        <v>1290</v>
      </c>
      <c r="AR65" s="31"/>
      <c r="AS65" s="165">
        <v>0.69522297830374757</v>
      </c>
      <c r="AT65" s="29">
        <v>1</v>
      </c>
      <c r="AU65" s="1">
        <v>2.0949941301068096</v>
      </c>
      <c r="AV65" s="31" t="s">
        <v>1290</v>
      </c>
      <c r="AW65" s="31"/>
    </row>
    <row r="66" spans="1:49" ht="48">
      <c r="A66" s="157">
        <v>1841</v>
      </c>
      <c r="B66" s="37" t="s">
        <v>525</v>
      </c>
      <c r="C66" s="169" t="s">
        <v>525</v>
      </c>
      <c r="D66" s="50" t="s">
        <v>526</v>
      </c>
      <c r="E66" s="10" t="s">
        <v>402</v>
      </c>
      <c r="F66" s="144" t="s">
        <v>62</v>
      </c>
      <c r="G66" s="125" t="s">
        <v>521</v>
      </c>
      <c r="H66" s="164" t="s">
        <v>402</v>
      </c>
      <c r="I66" s="123" t="s">
        <v>402</v>
      </c>
      <c r="J66" s="124">
        <v>0</v>
      </c>
      <c r="K66" s="125" t="s">
        <v>397</v>
      </c>
      <c r="L66" s="165">
        <v>1.5203813280736358</v>
      </c>
      <c r="M66" s="29">
        <v>1</v>
      </c>
      <c r="N66" s="1">
        <v>2.0949941301068096</v>
      </c>
      <c r="O66" s="31" t="s">
        <v>1290</v>
      </c>
      <c r="P66" s="165">
        <v>0.39447731755424059</v>
      </c>
      <c r="Q66" s="29">
        <v>1</v>
      </c>
      <c r="R66" s="1">
        <v>2.0949941301068096</v>
      </c>
      <c r="S66" s="31" t="s">
        <v>1290</v>
      </c>
      <c r="T66" s="165">
        <v>1.5203813280736358</v>
      </c>
      <c r="U66" s="29">
        <v>1</v>
      </c>
      <c r="V66" s="1">
        <v>2.0949941301068096</v>
      </c>
      <c r="W66" s="31" t="s">
        <v>1290</v>
      </c>
      <c r="X66" s="165">
        <v>0.39447731755424059</v>
      </c>
      <c r="Y66" s="29">
        <v>1</v>
      </c>
      <c r="Z66" s="1">
        <v>2.0949941301068096</v>
      </c>
      <c r="AA66" s="31" t="s">
        <v>1290</v>
      </c>
      <c r="AB66" s="165">
        <v>1.5203813280736358</v>
      </c>
      <c r="AC66" s="29">
        <v>1</v>
      </c>
      <c r="AD66" s="1">
        <v>2.0949941301068096</v>
      </c>
      <c r="AE66" s="31" t="s">
        <v>1290</v>
      </c>
      <c r="AF66" s="165">
        <v>0.39447731755424059</v>
      </c>
      <c r="AG66" s="29">
        <v>1</v>
      </c>
      <c r="AH66" s="1">
        <v>2.0949941301068096</v>
      </c>
      <c r="AI66" s="31" t="s">
        <v>1290</v>
      </c>
      <c r="AJ66" s="165">
        <v>1.5203813280736358</v>
      </c>
      <c r="AK66" s="29">
        <v>1</v>
      </c>
      <c r="AL66" s="1">
        <v>2.0949941301068096</v>
      </c>
      <c r="AM66" s="31" t="s">
        <v>1290</v>
      </c>
      <c r="AN66" s="165">
        <v>0.39447731755424059</v>
      </c>
      <c r="AO66" s="29">
        <v>1</v>
      </c>
      <c r="AP66" s="1">
        <v>2.0949941301068096</v>
      </c>
      <c r="AQ66" s="31" t="s">
        <v>1290</v>
      </c>
      <c r="AR66" s="31"/>
      <c r="AS66" s="165">
        <v>1.6003664694280078</v>
      </c>
      <c r="AT66" s="29">
        <v>1</v>
      </c>
      <c r="AU66" s="1">
        <v>2.0949941301068096</v>
      </c>
      <c r="AV66" s="31" t="s">
        <v>1290</v>
      </c>
      <c r="AW66" s="31"/>
    </row>
    <row r="67" spans="1:49" ht="48">
      <c r="A67" s="156">
        <v>916</v>
      </c>
      <c r="B67" s="310" t="s">
        <v>525</v>
      </c>
      <c r="C67" s="151" t="s">
        <v>525</v>
      </c>
      <c r="D67" s="152" t="s">
        <v>526</v>
      </c>
      <c r="E67" s="153" t="s">
        <v>402</v>
      </c>
      <c r="F67" s="144" t="s">
        <v>1178</v>
      </c>
      <c r="G67" s="125" t="s">
        <v>521</v>
      </c>
      <c r="H67" s="164" t="s">
        <v>402</v>
      </c>
      <c r="I67" s="123" t="s">
        <v>402</v>
      </c>
      <c r="J67" s="124">
        <v>0</v>
      </c>
      <c r="K67" s="125" t="s">
        <v>395</v>
      </c>
      <c r="L67" s="165">
        <v>0</v>
      </c>
      <c r="M67" s="29">
        <v>1</v>
      </c>
      <c r="N67" s="1">
        <v>1.0744244531716256</v>
      </c>
      <c r="O67" s="31" t="s">
        <v>1271</v>
      </c>
      <c r="P67" s="165">
        <v>0</v>
      </c>
      <c r="Q67" s="29">
        <v>1</v>
      </c>
      <c r="R67" s="1">
        <v>1.0744244531716256</v>
      </c>
      <c r="S67" s="31" t="s">
        <v>1271</v>
      </c>
      <c r="T67" s="165">
        <v>0</v>
      </c>
      <c r="U67" s="29">
        <v>1</v>
      </c>
      <c r="V67" s="1">
        <v>1.0744244531716256</v>
      </c>
      <c r="W67" s="31" t="s">
        <v>1271</v>
      </c>
      <c r="X67" s="165">
        <v>0</v>
      </c>
      <c r="Y67" s="29">
        <v>1</v>
      </c>
      <c r="Z67" s="1">
        <v>1.0744244531716256</v>
      </c>
      <c r="AA67" s="31" t="s">
        <v>1271</v>
      </c>
      <c r="AB67" s="165">
        <v>0</v>
      </c>
      <c r="AC67" s="29">
        <v>1</v>
      </c>
      <c r="AD67" s="1">
        <v>1.0744244531716256</v>
      </c>
      <c r="AE67" s="31" t="s">
        <v>1271</v>
      </c>
      <c r="AF67" s="165">
        <v>0</v>
      </c>
      <c r="AG67" s="29">
        <v>1</v>
      </c>
      <c r="AH67" s="1">
        <v>1.0744244531716256</v>
      </c>
      <c r="AI67" s="31" t="s">
        <v>1271</v>
      </c>
      <c r="AJ67" s="165">
        <v>0</v>
      </c>
      <c r="AK67" s="29">
        <v>1</v>
      </c>
      <c r="AL67" s="1">
        <v>1.0744244531716256</v>
      </c>
      <c r="AM67" s="31" t="s">
        <v>1271</v>
      </c>
      <c r="AN67" s="165">
        <v>0</v>
      </c>
      <c r="AO67" s="29">
        <v>1</v>
      </c>
      <c r="AP67" s="1">
        <v>1.0744244531716256</v>
      </c>
      <c r="AQ67" s="31" t="s">
        <v>1271</v>
      </c>
      <c r="AR67" s="31"/>
      <c r="AS67" s="165">
        <v>0</v>
      </c>
      <c r="AT67" s="29">
        <v>1</v>
      </c>
      <c r="AU67" s="1">
        <v>1.0744244531716256</v>
      </c>
      <c r="AV67" s="31" t="s">
        <v>1271</v>
      </c>
      <c r="AW67" s="31"/>
    </row>
    <row r="68" spans="1:49" ht="20.25" customHeight="1">
      <c r="A68" s="260">
        <v>32085</v>
      </c>
      <c r="B68" s="310" t="s">
        <v>525</v>
      </c>
      <c r="C68" s="151" t="s">
        <v>525</v>
      </c>
      <c r="D68" s="152" t="s">
        <v>526</v>
      </c>
      <c r="E68" s="153" t="s">
        <v>402</v>
      </c>
      <c r="F68" s="144" t="s">
        <v>1291</v>
      </c>
      <c r="G68" s="125" t="s">
        <v>393</v>
      </c>
      <c r="H68" s="164" t="s">
        <v>402</v>
      </c>
      <c r="I68" s="123" t="s">
        <v>402</v>
      </c>
      <c r="J68" s="124">
        <v>0</v>
      </c>
      <c r="K68" s="125" t="s">
        <v>409</v>
      </c>
      <c r="L68" s="165">
        <v>0.15902366863905326</v>
      </c>
      <c r="M68" s="29">
        <v>1</v>
      </c>
      <c r="N68" s="1">
        <v>1.0744244531716256</v>
      </c>
      <c r="O68" s="31" t="s">
        <v>1271</v>
      </c>
      <c r="P68" s="165">
        <v>7.8895463510848127E-2</v>
      </c>
      <c r="Q68" s="29">
        <v>1</v>
      </c>
      <c r="R68" s="1">
        <v>1.0744244531716256</v>
      </c>
      <c r="S68" s="31" t="s">
        <v>1271</v>
      </c>
      <c r="T68" s="165">
        <v>0.15902366863905326</v>
      </c>
      <c r="U68" s="29">
        <v>1</v>
      </c>
      <c r="V68" s="1">
        <v>1.0744244531716256</v>
      </c>
      <c r="W68" s="31" t="s">
        <v>1271</v>
      </c>
      <c r="X68" s="165">
        <v>7.8895463510848127E-2</v>
      </c>
      <c r="Y68" s="29">
        <v>1</v>
      </c>
      <c r="Z68" s="1">
        <v>1.0744244531716256</v>
      </c>
      <c r="AA68" s="31" t="s">
        <v>1271</v>
      </c>
      <c r="AB68" s="165">
        <v>0.15902366863905326</v>
      </c>
      <c r="AC68" s="29">
        <v>1</v>
      </c>
      <c r="AD68" s="1">
        <v>1.0744244531716256</v>
      </c>
      <c r="AE68" s="31" t="s">
        <v>1271</v>
      </c>
      <c r="AF68" s="165">
        <v>7.8895463510848127E-2</v>
      </c>
      <c r="AG68" s="29">
        <v>1</v>
      </c>
      <c r="AH68" s="1">
        <v>1.0744244531716256</v>
      </c>
      <c r="AI68" s="31" t="s">
        <v>1271</v>
      </c>
      <c r="AJ68" s="165">
        <v>0.15902366863905326</v>
      </c>
      <c r="AK68" s="29">
        <v>1</v>
      </c>
      <c r="AL68" s="1">
        <v>1.0744244531716256</v>
      </c>
      <c r="AM68" s="31" t="s">
        <v>1271</v>
      </c>
      <c r="AN68" s="165">
        <v>7.8895463510848127E-2</v>
      </c>
      <c r="AO68" s="29">
        <v>1</v>
      </c>
      <c r="AP68" s="1">
        <v>1.0744244531716256</v>
      </c>
      <c r="AQ68" s="31" t="s">
        <v>1271</v>
      </c>
      <c r="AR68" s="31"/>
      <c r="AS68" s="165">
        <v>7.8895463510848127E-2</v>
      </c>
      <c r="AT68" s="29">
        <v>1</v>
      </c>
      <c r="AU68" s="1">
        <v>1.0744244531716256</v>
      </c>
      <c r="AV68" s="31" t="s">
        <v>1271</v>
      </c>
      <c r="AW68" s="31"/>
    </row>
    <row r="69" spans="1:49" ht="48">
      <c r="A69" s="156">
        <v>1406</v>
      </c>
      <c r="B69" s="310" t="s">
        <v>525</v>
      </c>
      <c r="C69" s="151" t="s">
        <v>525</v>
      </c>
      <c r="D69" s="152" t="s">
        <v>526</v>
      </c>
      <c r="E69" s="153" t="s">
        <v>402</v>
      </c>
      <c r="F69" s="144" t="s">
        <v>1224</v>
      </c>
      <c r="G69" s="125" t="s">
        <v>393</v>
      </c>
      <c r="H69" s="164" t="s">
        <v>402</v>
      </c>
      <c r="I69" s="123" t="s">
        <v>402</v>
      </c>
      <c r="J69" s="124">
        <v>0</v>
      </c>
      <c r="K69" s="125" t="s">
        <v>395</v>
      </c>
      <c r="L69" s="165">
        <v>2.3298816568047336</v>
      </c>
      <c r="M69" s="29">
        <v>1</v>
      </c>
      <c r="N69" s="1">
        <v>1.0744244531716256</v>
      </c>
      <c r="O69" s="31" t="s">
        <v>1271</v>
      </c>
      <c r="P69" s="165">
        <v>2.7449046679815909</v>
      </c>
      <c r="Q69" s="29">
        <v>1</v>
      </c>
      <c r="R69" s="1">
        <v>1.0744244531716256</v>
      </c>
      <c r="S69" s="31" t="s">
        <v>1271</v>
      </c>
      <c r="T69" s="165">
        <v>2.3298816568047336</v>
      </c>
      <c r="U69" s="29">
        <v>1</v>
      </c>
      <c r="V69" s="1">
        <v>1.0744244531716256</v>
      </c>
      <c r="W69" s="31" t="s">
        <v>1271</v>
      </c>
      <c r="X69" s="165">
        <v>2.7449046679815909</v>
      </c>
      <c r="Y69" s="29">
        <v>1</v>
      </c>
      <c r="Z69" s="1">
        <v>1.0744244531716256</v>
      </c>
      <c r="AA69" s="31" t="s">
        <v>1271</v>
      </c>
      <c r="AB69" s="165">
        <v>2.3298816568047336</v>
      </c>
      <c r="AC69" s="29">
        <v>1</v>
      </c>
      <c r="AD69" s="1">
        <v>1.0744244531716256</v>
      </c>
      <c r="AE69" s="31" t="s">
        <v>1271</v>
      </c>
      <c r="AF69" s="165">
        <v>2.7449046679815909</v>
      </c>
      <c r="AG69" s="29">
        <v>1</v>
      </c>
      <c r="AH69" s="1">
        <v>1.0744244531716256</v>
      </c>
      <c r="AI69" s="31" t="s">
        <v>1271</v>
      </c>
      <c r="AJ69" s="165">
        <v>2.3298816568047336</v>
      </c>
      <c r="AK69" s="29">
        <v>1</v>
      </c>
      <c r="AL69" s="1">
        <v>1.0744244531716256</v>
      </c>
      <c r="AM69" s="31" t="s">
        <v>1271</v>
      </c>
      <c r="AN69" s="165">
        <v>2.7449046679815909</v>
      </c>
      <c r="AO69" s="29">
        <v>1</v>
      </c>
      <c r="AP69" s="1">
        <v>1.0744244531716256</v>
      </c>
      <c r="AQ69" s="31" t="s">
        <v>1271</v>
      </c>
      <c r="AR69" s="31"/>
      <c r="AS69" s="165">
        <v>2.7449046679815909</v>
      </c>
      <c r="AT69" s="29">
        <v>1</v>
      </c>
      <c r="AU69" s="1">
        <v>1.0744244531716256</v>
      </c>
      <c r="AV69" s="31" t="s">
        <v>1271</v>
      </c>
      <c r="AW69" s="31"/>
    </row>
    <row r="70" spans="1:49" s="689" customFormat="1" ht="21.75" customHeight="1">
      <c r="A70" s="693">
        <v>4003</v>
      </c>
      <c r="B70" s="671" t="s">
        <v>525</v>
      </c>
      <c r="C70" s="672" t="s">
        <v>525</v>
      </c>
      <c r="D70" s="673" t="s">
        <v>526</v>
      </c>
      <c r="E70" s="674" t="s">
        <v>402</v>
      </c>
      <c r="F70" s="675" t="s">
        <v>1114</v>
      </c>
      <c r="G70" s="676" t="s">
        <v>393</v>
      </c>
      <c r="H70" s="677" t="s">
        <v>402</v>
      </c>
      <c r="I70" s="715" t="s">
        <v>402</v>
      </c>
      <c r="J70" s="679">
        <v>0</v>
      </c>
      <c r="K70" s="676" t="s">
        <v>395</v>
      </c>
      <c r="L70" s="680">
        <v>0.17217291255752795</v>
      </c>
      <c r="M70" s="681">
        <v>1</v>
      </c>
      <c r="N70" s="682">
        <v>1.0744244531716256</v>
      </c>
      <c r="O70" s="684" t="s">
        <v>1271</v>
      </c>
      <c r="P70" s="680">
        <v>1.0807034845496383E-2</v>
      </c>
      <c r="Q70" s="681">
        <v>1</v>
      </c>
      <c r="R70" s="682">
        <v>1.0744244531716256</v>
      </c>
      <c r="S70" s="684" t="s">
        <v>1271</v>
      </c>
      <c r="T70" s="680">
        <v>0.17217291255752795</v>
      </c>
      <c r="U70" s="681">
        <v>1</v>
      </c>
      <c r="V70" s="682">
        <v>1.0744244531716256</v>
      </c>
      <c r="W70" s="684" t="s">
        <v>1271</v>
      </c>
      <c r="X70" s="680">
        <v>1.0807034845496383E-2</v>
      </c>
      <c r="Y70" s="681">
        <v>1</v>
      </c>
      <c r="Z70" s="682">
        <v>1.0744244531716256</v>
      </c>
      <c r="AA70" s="684" t="s">
        <v>1271</v>
      </c>
      <c r="AB70" s="680">
        <v>0.17217291255752795</v>
      </c>
      <c r="AC70" s="681">
        <v>1</v>
      </c>
      <c r="AD70" s="682">
        <v>1.0744244531716256</v>
      </c>
      <c r="AE70" s="684" t="s">
        <v>1271</v>
      </c>
      <c r="AF70" s="680">
        <v>1.0807034845496383E-2</v>
      </c>
      <c r="AG70" s="681">
        <v>1</v>
      </c>
      <c r="AH70" s="682">
        <v>1.0744244531716256</v>
      </c>
      <c r="AI70" s="684" t="s">
        <v>1271</v>
      </c>
      <c r="AJ70" s="680">
        <v>0.17217291255752795</v>
      </c>
      <c r="AK70" s="681">
        <v>1</v>
      </c>
      <c r="AL70" s="682">
        <v>1.0744244531716256</v>
      </c>
      <c r="AM70" s="684" t="s">
        <v>1271</v>
      </c>
      <c r="AN70" s="680">
        <v>1.0807034845496383E-2</v>
      </c>
      <c r="AO70" s="681">
        <v>1</v>
      </c>
      <c r="AP70" s="682">
        <v>1.0744244531716256</v>
      </c>
      <c r="AQ70" s="684" t="s">
        <v>1271</v>
      </c>
      <c r="AR70" s="684"/>
      <c r="AS70" s="680">
        <v>1.0807034845496383E-2</v>
      </c>
      <c r="AT70" s="681">
        <v>1</v>
      </c>
      <c r="AU70" s="682">
        <v>1.0744244531716256</v>
      </c>
      <c r="AV70" s="684" t="s">
        <v>1271</v>
      </c>
      <c r="AW70" s="684"/>
    </row>
    <row r="71" spans="1:49" s="689" customFormat="1" ht="21.75" customHeight="1">
      <c r="A71" s="693">
        <v>1824</v>
      </c>
      <c r="B71" s="671" t="s">
        <v>525</v>
      </c>
      <c r="C71" s="672" t="s">
        <v>525</v>
      </c>
      <c r="D71" s="673" t="s">
        <v>526</v>
      </c>
      <c r="E71" s="674" t="s">
        <v>402</v>
      </c>
      <c r="F71" s="675" t="s">
        <v>85</v>
      </c>
      <c r="G71" s="676" t="s">
        <v>86</v>
      </c>
      <c r="H71" s="677" t="s">
        <v>402</v>
      </c>
      <c r="I71" s="715" t="s">
        <v>402</v>
      </c>
      <c r="J71" s="679">
        <v>0</v>
      </c>
      <c r="K71" s="676" t="s">
        <v>397</v>
      </c>
      <c r="L71" s="680">
        <v>3.0613083497698881E-2</v>
      </c>
      <c r="M71" s="681">
        <v>1</v>
      </c>
      <c r="N71" s="682">
        <v>2.0039982880591132</v>
      </c>
      <c r="O71" s="684" t="s">
        <v>1271</v>
      </c>
      <c r="P71" s="680">
        <v>0</v>
      </c>
      <c r="Q71" s="681">
        <v>1</v>
      </c>
      <c r="R71" s="682">
        <v>2.0039982880591132</v>
      </c>
      <c r="S71" s="684" t="s">
        <v>1271</v>
      </c>
      <c r="T71" s="680">
        <v>3.0613083497698881E-2</v>
      </c>
      <c r="U71" s="681">
        <v>1</v>
      </c>
      <c r="V71" s="682">
        <v>2.0039982880591132</v>
      </c>
      <c r="W71" s="684" t="s">
        <v>1271</v>
      </c>
      <c r="X71" s="680">
        <v>0</v>
      </c>
      <c r="Y71" s="681">
        <v>1</v>
      </c>
      <c r="Z71" s="682">
        <v>2.0039982880591132</v>
      </c>
      <c r="AA71" s="684" t="s">
        <v>1271</v>
      </c>
      <c r="AB71" s="680">
        <v>3.0613083497698881E-2</v>
      </c>
      <c r="AC71" s="681">
        <v>1</v>
      </c>
      <c r="AD71" s="682">
        <v>2.0039982880591132</v>
      </c>
      <c r="AE71" s="684" t="s">
        <v>1271</v>
      </c>
      <c r="AF71" s="680">
        <v>0</v>
      </c>
      <c r="AG71" s="681">
        <v>1</v>
      </c>
      <c r="AH71" s="682">
        <v>2.0039982880591132</v>
      </c>
      <c r="AI71" s="684" t="s">
        <v>1271</v>
      </c>
      <c r="AJ71" s="680">
        <v>3.0613083497698881E-2</v>
      </c>
      <c r="AK71" s="681">
        <v>1</v>
      </c>
      <c r="AL71" s="682">
        <v>2.0039982880591132</v>
      </c>
      <c r="AM71" s="684" t="s">
        <v>1271</v>
      </c>
      <c r="AN71" s="680">
        <v>0</v>
      </c>
      <c r="AO71" s="681">
        <v>1</v>
      </c>
      <c r="AP71" s="682">
        <v>2.0039982880591132</v>
      </c>
      <c r="AQ71" s="684" t="s">
        <v>1271</v>
      </c>
      <c r="AR71" s="684"/>
      <c r="AS71" s="680">
        <v>0</v>
      </c>
      <c r="AT71" s="681">
        <v>1</v>
      </c>
      <c r="AU71" s="682">
        <v>2.0039982880591132</v>
      </c>
      <c r="AV71" s="684" t="s">
        <v>1271</v>
      </c>
      <c r="AW71" s="684"/>
    </row>
    <row r="72" spans="1:49" ht="48">
      <c r="A72" s="214">
        <v>490</v>
      </c>
      <c r="B72" s="168" t="s">
        <v>272</v>
      </c>
      <c r="C72" s="169" t="s">
        <v>525</v>
      </c>
      <c r="D72" s="50" t="s">
        <v>402</v>
      </c>
      <c r="E72" s="10" t="s">
        <v>527</v>
      </c>
      <c r="F72" s="144" t="s">
        <v>324</v>
      </c>
      <c r="G72" s="125" t="s">
        <v>402</v>
      </c>
      <c r="H72" s="164" t="s">
        <v>325</v>
      </c>
      <c r="I72" s="126" t="s">
        <v>685</v>
      </c>
      <c r="J72" s="124" t="s">
        <v>402</v>
      </c>
      <c r="K72" s="125" t="s">
        <v>677</v>
      </c>
      <c r="L72" s="165">
        <v>51.77514792899408</v>
      </c>
      <c r="M72" s="29">
        <v>1</v>
      </c>
      <c r="N72" s="1">
        <v>1.0744244531716256</v>
      </c>
      <c r="O72" s="31" t="s">
        <v>1271</v>
      </c>
      <c r="P72" s="165">
        <v>51.77514792899408</v>
      </c>
      <c r="Q72" s="29">
        <v>1</v>
      </c>
      <c r="R72" s="1">
        <v>1.0744244531716256</v>
      </c>
      <c r="S72" s="31" t="s">
        <v>1271</v>
      </c>
      <c r="T72" s="165">
        <v>51.77514792899408</v>
      </c>
      <c r="U72" s="29">
        <v>1</v>
      </c>
      <c r="V72" s="1">
        <v>1.0744244531716256</v>
      </c>
      <c r="W72" s="31" t="s">
        <v>1271</v>
      </c>
      <c r="X72" s="165">
        <v>51.77514792899408</v>
      </c>
      <c r="Y72" s="29">
        <v>1</v>
      </c>
      <c r="Z72" s="1">
        <v>1.0744244531716256</v>
      </c>
      <c r="AA72" s="31" t="s">
        <v>1271</v>
      </c>
      <c r="AB72" s="165">
        <v>51.77514792899408</v>
      </c>
      <c r="AC72" s="29">
        <v>1</v>
      </c>
      <c r="AD72" s="1">
        <v>1.0744244531716256</v>
      </c>
      <c r="AE72" s="31" t="s">
        <v>1271</v>
      </c>
      <c r="AF72" s="165">
        <v>51.77514792899408</v>
      </c>
      <c r="AG72" s="29">
        <v>1</v>
      </c>
      <c r="AH72" s="1">
        <v>1.0744244531716256</v>
      </c>
      <c r="AI72" s="31" t="s">
        <v>1271</v>
      </c>
      <c r="AJ72" s="165">
        <v>51.77514792899408</v>
      </c>
      <c r="AK72" s="29">
        <v>1</v>
      </c>
      <c r="AL72" s="1">
        <v>1.0744244531716256</v>
      </c>
      <c r="AM72" s="31" t="s">
        <v>1271</v>
      </c>
      <c r="AN72" s="165">
        <v>51.77514792899408</v>
      </c>
      <c r="AO72" s="29">
        <v>1</v>
      </c>
      <c r="AP72" s="1">
        <v>1.0744244531716256</v>
      </c>
      <c r="AQ72" s="31" t="s">
        <v>1271</v>
      </c>
      <c r="AR72" s="31"/>
      <c r="AS72" s="165">
        <v>51.77514792899408</v>
      </c>
      <c r="AT72" s="29">
        <v>1</v>
      </c>
      <c r="AU72" s="1">
        <v>1.0744244531716256</v>
      </c>
      <c r="AV72" s="31" t="s">
        <v>1271</v>
      </c>
      <c r="AW72" s="31"/>
    </row>
    <row r="73" spans="1:49" ht="21" customHeight="1">
      <c r="A73" s="215">
        <v>52</v>
      </c>
      <c r="B73" s="163" t="s">
        <v>525</v>
      </c>
      <c r="C73" s="151" t="s">
        <v>525</v>
      </c>
      <c r="D73" s="50" t="s">
        <v>402</v>
      </c>
      <c r="E73" s="10" t="s">
        <v>527</v>
      </c>
      <c r="F73" s="144" t="s">
        <v>968</v>
      </c>
      <c r="G73" s="125" t="s">
        <v>402</v>
      </c>
      <c r="H73" s="164" t="s">
        <v>325</v>
      </c>
      <c r="I73" s="126" t="s">
        <v>685</v>
      </c>
      <c r="J73" s="124" t="s">
        <v>402</v>
      </c>
      <c r="K73" s="125" t="s">
        <v>395</v>
      </c>
      <c r="L73" s="165">
        <v>7.725180802103879E-6</v>
      </c>
      <c r="M73" s="29">
        <v>1</v>
      </c>
      <c r="N73" s="1">
        <v>5.0043075231704233</v>
      </c>
      <c r="O73" s="31" t="s">
        <v>1271</v>
      </c>
      <c r="P73" s="165">
        <v>7.725180802103879E-6</v>
      </c>
      <c r="Q73" s="29">
        <v>1</v>
      </c>
      <c r="R73" s="1">
        <v>5.0043075231704233</v>
      </c>
      <c r="S73" s="31" t="s">
        <v>1271</v>
      </c>
      <c r="T73" s="165">
        <v>7.725180802103879E-6</v>
      </c>
      <c r="U73" s="29">
        <v>1</v>
      </c>
      <c r="V73" s="1">
        <v>5.0043075231704233</v>
      </c>
      <c r="W73" s="31" t="s">
        <v>1271</v>
      </c>
      <c r="X73" s="165">
        <v>7.725180802103879E-6</v>
      </c>
      <c r="Y73" s="29">
        <v>1</v>
      </c>
      <c r="Z73" s="1">
        <v>5.0043075231704233</v>
      </c>
      <c r="AA73" s="31" t="s">
        <v>1271</v>
      </c>
      <c r="AB73" s="165">
        <v>7.725180802103879E-6</v>
      </c>
      <c r="AC73" s="29">
        <v>1</v>
      </c>
      <c r="AD73" s="1">
        <v>5.0043075231704233</v>
      </c>
      <c r="AE73" s="31" t="s">
        <v>1271</v>
      </c>
      <c r="AF73" s="165">
        <v>7.725180802103879E-6</v>
      </c>
      <c r="AG73" s="29">
        <v>1</v>
      </c>
      <c r="AH73" s="1">
        <v>5.0043075231704233</v>
      </c>
      <c r="AI73" s="31" t="s">
        <v>1271</v>
      </c>
      <c r="AJ73" s="165">
        <v>7.725180802103879E-6</v>
      </c>
      <c r="AK73" s="29">
        <v>1</v>
      </c>
      <c r="AL73" s="1">
        <v>5.0043075231704233</v>
      </c>
      <c r="AM73" s="31" t="s">
        <v>1271</v>
      </c>
      <c r="AN73" s="165">
        <v>7.725180802103879E-6</v>
      </c>
      <c r="AO73" s="29">
        <v>1</v>
      </c>
      <c r="AP73" s="1">
        <v>5.0043075231704233</v>
      </c>
      <c r="AQ73" s="31" t="s">
        <v>1271</v>
      </c>
      <c r="AR73" s="31"/>
      <c r="AS73" s="165">
        <v>7.725180802103879E-6</v>
      </c>
      <c r="AT73" s="29">
        <v>1</v>
      </c>
      <c r="AU73" s="1">
        <v>5.0043075231704233</v>
      </c>
      <c r="AV73" s="31" t="s">
        <v>1271</v>
      </c>
      <c r="AW73" s="31"/>
    </row>
    <row r="74" spans="1:49" ht="18" customHeight="1">
      <c r="A74" s="214">
        <v>424</v>
      </c>
      <c r="B74" s="163" t="s">
        <v>525</v>
      </c>
      <c r="C74" s="151" t="s">
        <v>525</v>
      </c>
      <c r="D74" s="50" t="s">
        <v>402</v>
      </c>
      <c r="E74" s="10" t="s">
        <v>527</v>
      </c>
      <c r="F74" s="144" t="s">
        <v>985</v>
      </c>
      <c r="G74" s="125" t="s">
        <v>402</v>
      </c>
      <c r="H74" s="164" t="s">
        <v>325</v>
      </c>
      <c r="I74" s="126" t="s">
        <v>685</v>
      </c>
      <c r="J74" s="124" t="s">
        <v>402</v>
      </c>
      <c r="K74" s="125" t="s">
        <v>395</v>
      </c>
      <c r="L74" s="165">
        <v>0</v>
      </c>
      <c r="M74" s="29">
        <v>1</v>
      </c>
      <c r="N74" s="1">
        <v>1.5051158607595139</v>
      </c>
      <c r="O74" s="31" t="s">
        <v>1271</v>
      </c>
      <c r="P74" s="165">
        <v>0</v>
      </c>
      <c r="Q74" s="29">
        <v>1</v>
      </c>
      <c r="R74" s="1">
        <v>1.5051158607595139</v>
      </c>
      <c r="S74" s="31" t="s">
        <v>1271</v>
      </c>
      <c r="T74" s="165">
        <v>0</v>
      </c>
      <c r="U74" s="29">
        <v>1</v>
      </c>
      <c r="V74" s="1">
        <v>1.5051158607595139</v>
      </c>
      <c r="W74" s="31" t="s">
        <v>1271</v>
      </c>
      <c r="X74" s="165">
        <v>0</v>
      </c>
      <c r="Y74" s="29">
        <v>1</v>
      </c>
      <c r="Z74" s="1">
        <v>1.5051158607595139</v>
      </c>
      <c r="AA74" s="31" t="s">
        <v>1271</v>
      </c>
      <c r="AB74" s="165">
        <v>0</v>
      </c>
      <c r="AC74" s="29">
        <v>1</v>
      </c>
      <c r="AD74" s="1">
        <v>1.5051158607595139</v>
      </c>
      <c r="AE74" s="31" t="s">
        <v>1271</v>
      </c>
      <c r="AF74" s="165">
        <v>0</v>
      </c>
      <c r="AG74" s="29">
        <v>1</v>
      </c>
      <c r="AH74" s="1">
        <v>1.5051158607595139</v>
      </c>
      <c r="AI74" s="31" t="s">
        <v>1271</v>
      </c>
      <c r="AJ74" s="165">
        <v>0</v>
      </c>
      <c r="AK74" s="29">
        <v>1</v>
      </c>
      <c r="AL74" s="1">
        <v>1.5051158607595139</v>
      </c>
      <c r="AM74" s="31" t="s">
        <v>1271</v>
      </c>
      <c r="AN74" s="165">
        <v>0</v>
      </c>
      <c r="AO74" s="29">
        <v>1</v>
      </c>
      <c r="AP74" s="1">
        <v>1.5051158607595139</v>
      </c>
      <c r="AQ74" s="31" t="s">
        <v>1271</v>
      </c>
      <c r="AR74" s="31"/>
      <c r="AS74" s="165">
        <v>0</v>
      </c>
      <c r="AT74" s="29">
        <v>1</v>
      </c>
      <c r="AU74" s="1">
        <v>1.5051158607595139</v>
      </c>
      <c r="AV74" s="31" t="s">
        <v>1271</v>
      </c>
      <c r="AW74" s="31"/>
    </row>
    <row r="75" spans="1:49" ht="12.75" customHeight="1">
      <c r="A75" s="214">
        <v>544</v>
      </c>
      <c r="B75" s="163" t="s">
        <v>525</v>
      </c>
      <c r="C75" s="151" t="s">
        <v>525</v>
      </c>
      <c r="D75" s="50" t="s">
        <v>402</v>
      </c>
      <c r="E75" s="10" t="s">
        <v>527</v>
      </c>
      <c r="F75" s="144" t="s">
        <v>988</v>
      </c>
      <c r="G75" s="125" t="s">
        <v>402</v>
      </c>
      <c r="H75" s="164" t="s">
        <v>325</v>
      </c>
      <c r="I75" s="126" t="s">
        <v>685</v>
      </c>
      <c r="J75" s="124" t="s">
        <v>402</v>
      </c>
      <c r="K75" s="125" t="s">
        <v>395</v>
      </c>
      <c r="L75" s="165">
        <v>0</v>
      </c>
      <c r="M75" s="29">
        <v>1</v>
      </c>
      <c r="N75" s="1">
        <v>1.5051158607595139</v>
      </c>
      <c r="O75" s="31" t="s">
        <v>1271</v>
      </c>
      <c r="P75" s="165">
        <v>0</v>
      </c>
      <c r="Q75" s="29">
        <v>1</v>
      </c>
      <c r="R75" s="1">
        <v>1.5051158607595139</v>
      </c>
      <c r="S75" s="31" t="s">
        <v>1271</v>
      </c>
      <c r="T75" s="165">
        <v>0</v>
      </c>
      <c r="U75" s="29">
        <v>1</v>
      </c>
      <c r="V75" s="1">
        <v>1.5051158607595139</v>
      </c>
      <c r="W75" s="31" t="s">
        <v>1271</v>
      </c>
      <c r="X75" s="165">
        <v>0</v>
      </c>
      <c r="Y75" s="29">
        <v>1</v>
      </c>
      <c r="Z75" s="1">
        <v>1.5051158607595139</v>
      </c>
      <c r="AA75" s="31" t="s">
        <v>1271</v>
      </c>
      <c r="AB75" s="165">
        <v>0</v>
      </c>
      <c r="AC75" s="29">
        <v>1</v>
      </c>
      <c r="AD75" s="1">
        <v>1.5051158607595139</v>
      </c>
      <c r="AE75" s="31" t="s">
        <v>1271</v>
      </c>
      <c r="AF75" s="165">
        <v>0</v>
      </c>
      <c r="AG75" s="29">
        <v>1</v>
      </c>
      <c r="AH75" s="1">
        <v>1.5051158607595139</v>
      </c>
      <c r="AI75" s="31" t="s">
        <v>1271</v>
      </c>
      <c r="AJ75" s="165">
        <v>0</v>
      </c>
      <c r="AK75" s="29">
        <v>1</v>
      </c>
      <c r="AL75" s="1">
        <v>1.5051158607595139</v>
      </c>
      <c r="AM75" s="31" t="s">
        <v>1271</v>
      </c>
      <c r="AN75" s="165">
        <v>0</v>
      </c>
      <c r="AO75" s="29">
        <v>1</v>
      </c>
      <c r="AP75" s="1">
        <v>1.5051158607595139</v>
      </c>
      <c r="AQ75" s="31" t="s">
        <v>1271</v>
      </c>
      <c r="AR75" s="31"/>
      <c r="AS75" s="165">
        <v>0</v>
      </c>
      <c r="AT75" s="29">
        <v>1</v>
      </c>
      <c r="AU75" s="1">
        <v>1.5051158607595139</v>
      </c>
      <c r="AV75" s="31" t="s">
        <v>1271</v>
      </c>
      <c r="AW75" s="31"/>
    </row>
    <row r="76" spans="1:49" ht="23.25" customHeight="1">
      <c r="A76" s="156">
        <v>551</v>
      </c>
      <c r="B76" s="163" t="s">
        <v>525</v>
      </c>
      <c r="C76" s="151" t="s">
        <v>525</v>
      </c>
      <c r="D76" s="50" t="s">
        <v>402</v>
      </c>
      <c r="E76" s="10" t="s">
        <v>527</v>
      </c>
      <c r="F76" s="144" t="s">
        <v>989</v>
      </c>
      <c r="G76" s="125" t="s">
        <v>402</v>
      </c>
      <c r="H76" s="164" t="s">
        <v>325</v>
      </c>
      <c r="I76" s="126" t="s">
        <v>686</v>
      </c>
      <c r="J76" s="124" t="s">
        <v>402</v>
      </c>
      <c r="K76" s="125" t="s">
        <v>395</v>
      </c>
      <c r="L76" s="165">
        <v>1.3806706114398421E-4</v>
      </c>
      <c r="M76" s="29">
        <v>1</v>
      </c>
      <c r="N76" s="1">
        <v>1.5051158607595139</v>
      </c>
      <c r="O76" s="31" t="s">
        <v>1271</v>
      </c>
      <c r="P76" s="165">
        <v>6.9033530571992099E-4</v>
      </c>
      <c r="Q76" s="29">
        <v>1</v>
      </c>
      <c r="R76" s="1">
        <v>1.5051158607595139</v>
      </c>
      <c r="S76" s="31" t="s">
        <v>1271</v>
      </c>
      <c r="T76" s="165">
        <v>1.3806706114398421E-4</v>
      </c>
      <c r="U76" s="29">
        <v>1</v>
      </c>
      <c r="V76" s="1">
        <v>1.5051158607595139</v>
      </c>
      <c r="W76" s="31" t="s">
        <v>1271</v>
      </c>
      <c r="X76" s="165">
        <v>6.9033530571992099E-4</v>
      </c>
      <c r="Y76" s="29">
        <v>1</v>
      </c>
      <c r="Z76" s="1">
        <v>1.5051158607595139</v>
      </c>
      <c r="AA76" s="31" t="s">
        <v>1271</v>
      </c>
      <c r="AB76" s="165">
        <v>1.3806706114398421E-4</v>
      </c>
      <c r="AC76" s="29">
        <v>1</v>
      </c>
      <c r="AD76" s="1">
        <v>1.5051158607595139</v>
      </c>
      <c r="AE76" s="31" t="s">
        <v>1271</v>
      </c>
      <c r="AF76" s="165">
        <v>6.9033530571992099E-4</v>
      </c>
      <c r="AG76" s="29">
        <v>1</v>
      </c>
      <c r="AH76" s="1">
        <v>1.5051158607595139</v>
      </c>
      <c r="AI76" s="31" t="s">
        <v>1271</v>
      </c>
      <c r="AJ76" s="165">
        <v>1.3806706114398421E-4</v>
      </c>
      <c r="AK76" s="29">
        <v>1</v>
      </c>
      <c r="AL76" s="1">
        <v>1.5051158607595139</v>
      </c>
      <c r="AM76" s="31" t="s">
        <v>1271</v>
      </c>
      <c r="AN76" s="165">
        <v>6.9033530571992099E-4</v>
      </c>
      <c r="AO76" s="29">
        <v>1</v>
      </c>
      <c r="AP76" s="1">
        <v>1.5051158607595139</v>
      </c>
      <c r="AQ76" s="31" t="s">
        <v>1271</v>
      </c>
      <c r="AR76" s="31"/>
      <c r="AS76" s="165">
        <v>6.9033530571992099E-4</v>
      </c>
      <c r="AT76" s="29">
        <v>1</v>
      </c>
      <c r="AU76" s="1">
        <v>1.5051158607595139</v>
      </c>
      <c r="AV76" s="31" t="s">
        <v>1271</v>
      </c>
      <c r="AW76" s="31"/>
    </row>
    <row r="77" spans="1:49" ht="17.25" customHeight="1">
      <c r="A77" s="214">
        <v>652</v>
      </c>
      <c r="B77" s="163" t="s">
        <v>525</v>
      </c>
      <c r="C77" s="151" t="s">
        <v>525</v>
      </c>
      <c r="D77" s="50" t="s">
        <v>402</v>
      </c>
      <c r="E77" s="10" t="s">
        <v>527</v>
      </c>
      <c r="F77" s="144" t="s">
        <v>992</v>
      </c>
      <c r="G77" s="125" t="s">
        <v>402</v>
      </c>
      <c r="H77" s="164" t="s">
        <v>325</v>
      </c>
      <c r="I77" s="126" t="s">
        <v>685</v>
      </c>
      <c r="J77" s="124" t="s">
        <v>402</v>
      </c>
      <c r="K77" s="125" t="s">
        <v>395</v>
      </c>
      <c r="L77" s="165">
        <v>7.725180802103879E-6</v>
      </c>
      <c r="M77" s="29">
        <v>1</v>
      </c>
      <c r="N77" s="1">
        <v>5.0043075231704233</v>
      </c>
      <c r="O77" s="31" t="s">
        <v>1271</v>
      </c>
      <c r="P77" s="165">
        <v>7.725180802103879E-6</v>
      </c>
      <c r="Q77" s="29">
        <v>1</v>
      </c>
      <c r="R77" s="1">
        <v>5.0043075231704233</v>
      </c>
      <c r="S77" s="31" t="s">
        <v>1271</v>
      </c>
      <c r="T77" s="165">
        <v>7.725180802103879E-6</v>
      </c>
      <c r="U77" s="29">
        <v>1</v>
      </c>
      <c r="V77" s="1">
        <v>5.0043075231704233</v>
      </c>
      <c r="W77" s="31" t="s">
        <v>1271</v>
      </c>
      <c r="X77" s="165">
        <v>7.725180802103879E-6</v>
      </c>
      <c r="Y77" s="29">
        <v>1</v>
      </c>
      <c r="Z77" s="1">
        <v>5.0043075231704233</v>
      </c>
      <c r="AA77" s="31" t="s">
        <v>1271</v>
      </c>
      <c r="AB77" s="165">
        <v>7.725180802103879E-6</v>
      </c>
      <c r="AC77" s="29">
        <v>1</v>
      </c>
      <c r="AD77" s="1">
        <v>5.0043075231704233</v>
      </c>
      <c r="AE77" s="31" t="s">
        <v>1271</v>
      </c>
      <c r="AF77" s="165">
        <v>7.725180802103879E-6</v>
      </c>
      <c r="AG77" s="29">
        <v>1</v>
      </c>
      <c r="AH77" s="1">
        <v>5.0043075231704233</v>
      </c>
      <c r="AI77" s="31" t="s">
        <v>1271</v>
      </c>
      <c r="AJ77" s="165">
        <v>7.725180802103879E-6</v>
      </c>
      <c r="AK77" s="29">
        <v>1</v>
      </c>
      <c r="AL77" s="1">
        <v>5.0043075231704233</v>
      </c>
      <c r="AM77" s="31" t="s">
        <v>1271</v>
      </c>
      <c r="AN77" s="165">
        <v>7.725180802103879E-6</v>
      </c>
      <c r="AO77" s="29">
        <v>1</v>
      </c>
      <c r="AP77" s="1">
        <v>5.0043075231704233</v>
      </c>
      <c r="AQ77" s="31" t="s">
        <v>1271</v>
      </c>
      <c r="AR77" s="31"/>
      <c r="AS77" s="165">
        <v>7.725180802103879E-6</v>
      </c>
      <c r="AT77" s="29">
        <v>1</v>
      </c>
      <c r="AU77" s="1">
        <v>5.0043075231704233</v>
      </c>
      <c r="AV77" s="31" t="s">
        <v>1271</v>
      </c>
      <c r="AW77" s="31"/>
    </row>
    <row r="78" spans="1:49" ht="23.25" customHeight="1">
      <c r="A78" s="156">
        <v>832</v>
      </c>
      <c r="B78" s="163" t="s">
        <v>525</v>
      </c>
      <c r="C78" s="151" t="s">
        <v>525</v>
      </c>
      <c r="D78" s="50" t="s">
        <v>402</v>
      </c>
      <c r="E78" s="10" t="s">
        <v>527</v>
      </c>
      <c r="F78" s="144" t="s">
        <v>997</v>
      </c>
      <c r="G78" s="125" t="s">
        <v>402</v>
      </c>
      <c r="H78" s="164" t="s">
        <v>325</v>
      </c>
      <c r="I78" s="126" t="s">
        <v>685</v>
      </c>
      <c r="J78" s="124" t="s">
        <v>402</v>
      </c>
      <c r="K78" s="125" t="s">
        <v>395</v>
      </c>
      <c r="L78" s="165">
        <v>0</v>
      </c>
      <c r="M78" s="29">
        <v>1</v>
      </c>
      <c r="N78" s="1">
        <v>1.5051158607595139</v>
      </c>
      <c r="O78" s="31" t="s">
        <v>1271</v>
      </c>
      <c r="P78" s="165">
        <v>0</v>
      </c>
      <c r="Q78" s="29">
        <v>1</v>
      </c>
      <c r="R78" s="1">
        <v>1.5051158607595139</v>
      </c>
      <c r="S78" s="31" t="s">
        <v>1271</v>
      </c>
      <c r="T78" s="165">
        <v>0</v>
      </c>
      <c r="U78" s="29">
        <v>1</v>
      </c>
      <c r="V78" s="1">
        <v>1.5051158607595139</v>
      </c>
      <c r="W78" s="31" t="s">
        <v>1271</v>
      </c>
      <c r="X78" s="165">
        <v>0</v>
      </c>
      <c r="Y78" s="29">
        <v>1</v>
      </c>
      <c r="Z78" s="1">
        <v>1.5051158607595139</v>
      </c>
      <c r="AA78" s="31" t="s">
        <v>1271</v>
      </c>
      <c r="AB78" s="165">
        <v>0</v>
      </c>
      <c r="AC78" s="29">
        <v>1</v>
      </c>
      <c r="AD78" s="1">
        <v>1.5051158607595139</v>
      </c>
      <c r="AE78" s="31" t="s">
        <v>1271</v>
      </c>
      <c r="AF78" s="165">
        <v>0</v>
      </c>
      <c r="AG78" s="29">
        <v>1</v>
      </c>
      <c r="AH78" s="1">
        <v>1.5051158607595139</v>
      </c>
      <c r="AI78" s="31" t="s">
        <v>1271</v>
      </c>
      <c r="AJ78" s="165">
        <v>0</v>
      </c>
      <c r="AK78" s="29">
        <v>1</v>
      </c>
      <c r="AL78" s="1">
        <v>1.5051158607595139</v>
      </c>
      <c r="AM78" s="31" t="s">
        <v>1271</v>
      </c>
      <c r="AN78" s="165">
        <v>0</v>
      </c>
      <c r="AO78" s="29">
        <v>1</v>
      </c>
      <c r="AP78" s="1">
        <v>1.5051158607595139</v>
      </c>
      <c r="AQ78" s="31" t="s">
        <v>1271</v>
      </c>
      <c r="AR78" s="31"/>
      <c r="AS78" s="165">
        <v>0</v>
      </c>
      <c r="AT78" s="29">
        <v>1</v>
      </c>
      <c r="AU78" s="1">
        <v>1.5051158607595139</v>
      </c>
      <c r="AV78" s="31" t="s">
        <v>1271</v>
      </c>
      <c r="AW78" s="31"/>
    </row>
    <row r="79" spans="1:49" ht="18" customHeight="1">
      <c r="A79" s="156">
        <v>826</v>
      </c>
      <c r="B79" s="163" t="s">
        <v>525</v>
      </c>
      <c r="C79" s="151" t="s">
        <v>525</v>
      </c>
      <c r="D79" s="50" t="s">
        <v>402</v>
      </c>
      <c r="E79" s="10" t="s">
        <v>527</v>
      </c>
      <c r="F79" s="144" t="s">
        <v>996</v>
      </c>
      <c r="G79" s="125" t="s">
        <v>402</v>
      </c>
      <c r="H79" s="164" t="s">
        <v>325</v>
      </c>
      <c r="I79" s="126" t="s">
        <v>685</v>
      </c>
      <c r="J79" s="124" t="s">
        <v>402</v>
      </c>
      <c r="K79" s="125" t="s">
        <v>395</v>
      </c>
      <c r="L79" s="165">
        <v>0</v>
      </c>
      <c r="M79" s="29">
        <v>1</v>
      </c>
      <c r="N79" s="1">
        <v>1.6074425446378071</v>
      </c>
      <c r="O79" s="31" t="s">
        <v>1292</v>
      </c>
      <c r="P79" s="165">
        <v>0</v>
      </c>
      <c r="Q79" s="29">
        <v>1</v>
      </c>
      <c r="R79" s="1">
        <v>1.6074425446378071</v>
      </c>
      <c r="S79" s="31" t="s">
        <v>1292</v>
      </c>
      <c r="T79" s="165">
        <v>0</v>
      </c>
      <c r="U79" s="29">
        <v>1</v>
      </c>
      <c r="V79" s="1">
        <v>1.6074425446378071</v>
      </c>
      <c r="W79" s="31" t="s">
        <v>1292</v>
      </c>
      <c r="X79" s="165">
        <v>0</v>
      </c>
      <c r="Y79" s="29">
        <v>1</v>
      </c>
      <c r="Z79" s="1">
        <v>1.6074425446378071</v>
      </c>
      <c r="AA79" s="31" t="s">
        <v>1292</v>
      </c>
      <c r="AB79" s="165">
        <v>0</v>
      </c>
      <c r="AC79" s="29">
        <v>1</v>
      </c>
      <c r="AD79" s="1">
        <v>1.6074425446378071</v>
      </c>
      <c r="AE79" s="31" t="s">
        <v>1292</v>
      </c>
      <c r="AF79" s="165">
        <v>0</v>
      </c>
      <c r="AG79" s="29">
        <v>1</v>
      </c>
      <c r="AH79" s="1">
        <v>1.6074425446378071</v>
      </c>
      <c r="AI79" s="31" t="s">
        <v>1292</v>
      </c>
      <c r="AJ79" s="165">
        <v>0</v>
      </c>
      <c r="AK79" s="29">
        <v>1</v>
      </c>
      <c r="AL79" s="1">
        <v>1.6074425446378071</v>
      </c>
      <c r="AM79" s="31" t="s">
        <v>1292</v>
      </c>
      <c r="AN79" s="165">
        <v>0</v>
      </c>
      <c r="AO79" s="29">
        <v>1</v>
      </c>
      <c r="AP79" s="1">
        <v>1.6074425446378071</v>
      </c>
      <c r="AQ79" s="31" t="s">
        <v>1292</v>
      </c>
      <c r="AR79" s="31"/>
      <c r="AS79" s="165">
        <v>0</v>
      </c>
      <c r="AT79" s="29">
        <v>1</v>
      </c>
      <c r="AU79" s="1">
        <v>1.6074425446378071</v>
      </c>
      <c r="AV79" s="31" t="s">
        <v>1292</v>
      </c>
      <c r="AW79" s="31"/>
    </row>
    <row r="80" spans="1:49" ht="29.25" customHeight="1">
      <c r="A80" s="214">
        <v>766</v>
      </c>
      <c r="B80" s="163" t="s">
        <v>525</v>
      </c>
      <c r="C80" s="151" t="s">
        <v>525</v>
      </c>
      <c r="D80" s="50" t="s">
        <v>402</v>
      </c>
      <c r="E80" s="10" t="s">
        <v>527</v>
      </c>
      <c r="F80" s="144" t="s">
        <v>1293</v>
      </c>
      <c r="G80" s="125" t="s">
        <v>402</v>
      </c>
      <c r="H80" s="164" t="s">
        <v>325</v>
      </c>
      <c r="I80" s="126" t="s">
        <v>685</v>
      </c>
      <c r="J80" s="124" t="s">
        <v>402</v>
      </c>
      <c r="K80" s="125" t="s">
        <v>395</v>
      </c>
      <c r="L80" s="165">
        <v>0</v>
      </c>
      <c r="M80" s="29">
        <v>1</v>
      </c>
      <c r="N80" s="1">
        <v>1.5051158607595139</v>
      </c>
      <c r="O80" s="31" t="s">
        <v>1271</v>
      </c>
      <c r="P80" s="165">
        <v>0</v>
      </c>
      <c r="Q80" s="29">
        <v>1</v>
      </c>
      <c r="R80" s="1">
        <v>1.5051158607595139</v>
      </c>
      <c r="S80" s="31" t="s">
        <v>1271</v>
      </c>
      <c r="T80" s="165">
        <v>0</v>
      </c>
      <c r="U80" s="29">
        <v>1</v>
      </c>
      <c r="V80" s="1">
        <v>1.5051158607595139</v>
      </c>
      <c r="W80" s="31" t="s">
        <v>1271</v>
      </c>
      <c r="X80" s="165">
        <v>0</v>
      </c>
      <c r="Y80" s="29">
        <v>1</v>
      </c>
      <c r="Z80" s="1">
        <v>1.5051158607595139</v>
      </c>
      <c r="AA80" s="31" t="s">
        <v>1271</v>
      </c>
      <c r="AB80" s="165">
        <v>0</v>
      </c>
      <c r="AC80" s="29">
        <v>1</v>
      </c>
      <c r="AD80" s="1">
        <v>1.5051158607595139</v>
      </c>
      <c r="AE80" s="31" t="s">
        <v>1271</v>
      </c>
      <c r="AF80" s="165">
        <v>0</v>
      </c>
      <c r="AG80" s="29">
        <v>1</v>
      </c>
      <c r="AH80" s="1">
        <v>1.5051158607595139</v>
      </c>
      <c r="AI80" s="31" t="s">
        <v>1271</v>
      </c>
      <c r="AJ80" s="165">
        <v>0</v>
      </c>
      <c r="AK80" s="29">
        <v>1</v>
      </c>
      <c r="AL80" s="1">
        <v>1.5051158607595139</v>
      </c>
      <c r="AM80" s="31" t="s">
        <v>1271</v>
      </c>
      <c r="AN80" s="165">
        <v>0</v>
      </c>
      <c r="AO80" s="29">
        <v>1</v>
      </c>
      <c r="AP80" s="1">
        <v>1.5051158607595139</v>
      </c>
      <c r="AQ80" s="31" t="s">
        <v>1271</v>
      </c>
      <c r="AR80" s="31"/>
      <c r="AS80" s="165">
        <v>0</v>
      </c>
      <c r="AT80" s="29">
        <v>1</v>
      </c>
      <c r="AU80" s="1">
        <v>1.5051158607595139</v>
      </c>
      <c r="AV80" s="31" t="s">
        <v>1271</v>
      </c>
      <c r="AW80" s="31"/>
    </row>
    <row r="81" spans="1:49" ht="18" customHeight="1">
      <c r="A81" s="215">
        <v>862</v>
      </c>
      <c r="B81" s="163" t="s">
        <v>525</v>
      </c>
      <c r="C81" s="151" t="s">
        <v>525</v>
      </c>
      <c r="D81" s="50" t="s">
        <v>402</v>
      </c>
      <c r="E81" s="10" t="s">
        <v>527</v>
      </c>
      <c r="F81" s="144" t="s">
        <v>998</v>
      </c>
      <c r="G81" s="125" t="s">
        <v>402</v>
      </c>
      <c r="H81" s="164" t="s">
        <v>325</v>
      </c>
      <c r="I81" s="126" t="s">
        <v>685</v>
      </c>
      <c r="J81" s="124" t="s">
        <v>402</v>
      </c>
      <c r="K81" s="125" t="s">
        <v>395</v>
      </c>
      <c r="L81" s="165">
        <v>0</v>
      </c>
      <c r="M81" s="29">
        <v>1</v>
      </c>
      <c r="N81" s="1">
        <v>3.0037858420674688</v>
      </c>
      <c r="O81" s="31" t="s">
        <v>1271</v>
      </c>
      <c r="P81" s="165">
        <v>0</v>
      </c>
      <c r="Q81" s="29">
        <v>1</v>
      </c>
      <c r="R81" s="1">
        <v>3.0037858420674688</v>
      </c>
      <c r="S81" s="31" t="s">
        <v>1271</v>
      </c>
      <c r="T81" s="165">
        <v>0</v>
      </c>
      <c r="U81" s="29">
        <v>1</v>
      </c>
      <c r="V81" s="1">
        <v>3.0037858420674688</v>
      </c>
      <c r="W81" s="31" t="s">
        <v>1271</v>
      </c>
      <c r="X81" s="165">
        <v>0</v>
      </c>
      <c r="Y81" s="29">
        <v>1</v>
      </c>
      <c r="Z81" s="1">
        <v>3.0037858420674688</v>
      </c>
      <c r="AA81" s="31" t="s">
        <v>1271</v>
      </c>
      <c r="AB81" s="165">
        <v>0</v>
      </c>
      <c r="AC81" s="29">
        <v>1</v>
      </c>
      <c r="AD81" s="1">
        <v>3.0037858420674688</v>
      </c>
      <c r="AE81" s="31" t="s">
        <v>1271</v>
      </c>
      <c r="AF81" s="165">
        <v>0</v>
      </c>
      <c r="AG81" s="29">
        <v>1</v>
      </c>
      <c r="AH81" s="1">
        <v>3.0037858420674688</v>
      </c>
      <c r="AI81" s="31" t="s">
        <v>1271</v>
      </c>
      <c r="AJ81" s="165">
        <v>0</v>
      </c>
      <c r="AK81" s="29">
        <v>1</v>
      </c>
      <c r="AL81" s="1">
        <v>3.0037858420674688</v>
      </c>
      <c r="AM81" s="31" t="s">
        <v>1271</v>
      </c>
      <c r="AN81" s="165">
        <v>0</v>
      </c>
      <c r="AO81" s="29">
        <v>1</v>
      </c>
      <c r="AP81" s="1">
        <v>3.0037858420674688</v>
      </c>
      <c r="AQ81" s="31" t="s">
        <v>1271</v>
      </c>
      <c r="AR81" s="31"/>
      <c r="AS81" s="165">
        <v>0</v>
      </c>
      <c r="AT81" s="29">
        <v>1</v>
      </c>
      <c r="AU81" s="1">
        <v>3.0037858420674688</v>
      </c>
      <c r="AV81" s="31" t="s">
        <v>1271</v>
      </c>
      <c r="AW81" s="31"/>
    </row>
    <row r="82" spans="1:49" ht="21" customHeight="1">
      <c r="A82" s="214">
        <v>1042</v>
      </c>
      <c r="B82" s="163" t="s">
        <v>525</v>
      </c>
      <c r="C82" s="151" t="s">
        <v>525</v>
      </c>
      <c r="D82" s="50" t="s">
        <v>402</v>
      </c>
      <c r="E82" s="10" t="s">
        <v>527</v>
      </c>
      <c r="F82" s="144" t="s">
        <v>1002</v>
      </c>
      <c r="G82" s="125" t="s">
        <v>402</v>
      </c>
      <c r="H82" s="164" t="s">
        <v>325</v>
      </c>
      <c r="I82" s="126" t="s">
        <v>685</v>
      </c>
      <c r="J82" s="124" t="s">
        <v>402</v>
      </c>
      <c r="K82" s="125" t="s">
        <v>395</v>
      </c>
      <c r="L82" s="165">
        <v>3.1681459566074953E-8</v>
      </c>
      <c r="M82" s="29">
        <v>1</v>
      </c>
      <c r="N82" s="1">
        <v>5.0043075231704233</v>
      </c>
      <c r="O82" s="31" t="s">
        <v>1271</v>
      </c>
      <c r="P82" s="165">
        <v>3.1681459566074953E-8</v>
      </c>
      <c r="Q82" s="29">
        <v>1</v>
      </c>
      <c r="R82" s="1">
        <v>5.0043075231704233</v>
      </c>
      <c r="S82" s="31" t="s">
        <v>1271</v>
      </c>
      <c r="T82" s="165">
        <v>3.1681459566074953E-8</v>
      </c>
      <c r="U82" s="29">
        <v>1</v>
      </c>
      <c r="V82" s="1">
        <v>5.0043075231704233</v>
      </c>
      <c r="W82" s="31" t="s">
        <v>1271</v>
      </c>
      <c r="X82" s="165">
        <v>3.1681459566074953E-8</v>
      </c>
      <c r="Y82" s="29">
        <v>1</v>
      </c>
      <c r="Z82" s="1">
        <v>5.0043075231704233</v>
      </c>
      <c r="AA82" s="31" t="s">
        <v>1271</v>
      </c>
      <c r="AB82" s="165">
        <v>3.1681459566074953E-8</v>
      </c>
      <c r="AC82" s="29">
        <v>1</v>
      </c>
      <c r="AD82" s="1">
        <v>5.0043075231704233</v>
      </c>
      <c r="AE82" s="31" t="s">
        <v>1271</v>
      </c>
      <c r="AF82" s="165">
        <v>3.1681459566074953E-8</v>
      </c>
      <c r="AG82" s="29">
        <v>1</v>
      </c>
      <c r="AH82" s="1">
        <v>5.0043075231704233</v>
      </c>
      <c r="AI82" s="31" t="s">
        <v>1271</v>
      </c>
      <c r="AJ82" s="165">
        <v>3.1681459566074953E-8</v>
      </c>
      <c r="AK82" s="29">
        <v>1</v>
      </c>
      <c r="AL82" s="1">
        <v>5.0043075231704233</v>
      </c>
      <c r="AM82" s="31" t="s">
        <v>1271</v>
      </c>
      <c r="AN82" s="165">
        <v>3.1681459566074953E-8</v>
      </c>
      <c r="AO82" s="29">
        <v>1</v>
      </c>
      <c r="AP82" s="1">
        <v>5.0043075231704233</v>
      </c>
      <c r="AQ82" s="31" t="s">
        <v>1271</v>
      </c>
      <c r="AR82" s="31"/>
      <c r="AS82" s="165">
        <v>3.1681459566074953E-8</v>
      </c>
      <c r="AT82" s="29">
        <v>1</v>
      </c>
      <c r="AU82" s="1">
        <v>5.0043075231704233</v>
      </c>
      <c r="AV82" s="31" t="s">
        <v>1271</v>
      </c>
      <c r="AW82" s="31"/>
    </row>
    <row r="83" spans="1:49" ht="18" customHeight="1">
      <c r="A83" s="214">
        <v>3241</v>
      </c>
      <c r="B83" s="163" t="s">
        <v>525</v>
      </c>
      <c r="C83" s="151" t="s">
        <v>525</v>
      </c>
      <c r="D83" s="50" t="s">
        <v>402</v>
      </c>
      <c r="E83" s="10" t="s">
        <v>527</v>
      </c>
      <c r="F83" s="144" t="s">
        <v>1004</v>
      </c>
      <c r="G83" s="125" t="s">
        <v>402</v>
      </c>
      <c r="H83" s="164" t="s">
        <v>325</v>
      </c>
      <c r="I83" s="126" t="s">
        <v>685</v>
      </c>
      <c r="J83" s="124" t="s">
        <v>402</v>
      </c>
      <c r="K83" s="125" t="s">
        <v>395</v>
      </c>
      <c r="L83" s="165">
        <v>7.725180802103879E-6</v>
      </c>
      <c r="M83" s="29">
        <v>1</v>
      </c>
      <c r="N83" s="1">
        <v>5.0043075231704233</v>
      </c>
      <c r="O83" s="31" t="s">
        <v>1271</v>
      </c>
      <c r="P83" s="165">
        <v>7.725180802103879E-6</v>
      </c>
      <c r="Q83" s="29">
        <v>1</v>
      </c>
      <c r="R83" s="1">
        <v>5.0043075231704233</v>
      </c>
      <c r="S83" s="31" t="s">
        <v>1271</v>
      </c>
      <c r="T83" s="165">
        <v>7.725180802103879E-6</v>
      </c>
      <c r="U83" s="29">
        <v>1</v>
      </c>
      <c r="V83" s="1">
        <v>5.0043075231704233</v>
      </c>
      <c r="W83" s="31" t="s">
        <v>1271</v>
      </c>
      <c r="X83" s="165">
        <v>7.725180802103879E-6</v>
      </c>
      <c r="Y83" s="29">
        <v>1</v>
      </c>
      <c r="Z83" s="1">
        <v>5.0043075231704233</v>
      </c>
      <c r="AA83" s="31" t="s">
        <v>1271</v>
      </c>
      <c r="AB83" s="165">
        <v>7.725180802103879E-6</v>
      </c>
      <c r="AC83" s="29">
        <v>1</v>
      </c>
      <c r="AD83" s="1">
        <v>5.0043075231704233</v>
      </c>
      <c r="AE83" s="31" t="s">
        <v>1271</v>
      </c>
      <c r="AF83" s="165">
        <v>7.725180802103879E-6</v>
      </c>
      <c r="AG83" s="29">
        <v>1</v>
      </c>
      <c r="AH83" s="1">
        <v>5.0043075231704233</v>
      </c>
      <c r="AI83" s="31" t="s">
        <v>1271</v>
      </c>
      <c r="AJ83" s="165">
        <v>7.725180802103879E-6</v>
      </c>
      <c r="AK83" s="29">
        <v>1</v>
      </c>
      <c r="AL83" s="1">
        <v>5.0043075231704233</v>
      </c>
      <c r="AM83" s="31" t="s">
        <v>1271</v>
      </c>
      <c r="AN83" s="165">
        <v>7.725180802103879E-6</v>
      </c>
      <c r="AO83" s="29">
        <v>1</v>
      </c>
      <c r="AP83" s="1">
        <v>5.0043075231704233</v>
      </c>
      <c r="AQ83" s="31" t="s">
        <v>1271</v>
      </c>
      <c r="AR83" s="31"/>
      <c r="AS83" s="165">
        <v>7.725180802103879E-6</v>
      </c>
      <c r="AT83" s="29">
        <v>1</v>
      </c>
      <c r="AU83" s="1">
        <v>5.0043075231704233</v>
      </c>
      <c r="AV83" s="31" t="s">
        <v>1271</v>
      </c>
      <c r="AW83" s="31"/>
    </row>
    <row r="84" spans="1:49" ht="23.25" customHeight="1">
      <c r="A84" s="214">
        <v>1054</v>
      </c>
      <c r="B84" s="163" t="s">
        <v>525</v>
      </c>
      <c r="C84" s="151" t="s">
        <v>525</v>
      </c>
      <c r="D84" s="50" t="s">
        <v>402</v>
      </c>
      <c r="E84" s="10" t="s">
        <v>527</v>
      </c>
      <c r="F84" s="144" t="s">
        <v>1005</v>
      </c>
      <c r="G84" s="125" t="s">
        <v>402</v>
      </c>
      <c r="H84" s="164" t="s">
        <v>325</v>
      </c>
      <c r="I84" s="126" t="s">
        <v>685</v>
      </c>
      <c r="J84" s="124" t="s">
        <v>402</v>
      </c>
      <c r="K84" s="125" t="s">
        <v>395</v>
      </c>
      <c r="L84" s="165">
        <v>0</v>
      </c>
      <c r="M84" s="29">
        <v>1</v>
      </c>
      <c r="N84" s="1">
        <v>5.0043075231704233</v>
      </c>
      <c r="O84" s="31" t="s">
        <v>1271</v>
      </c>
      <c r="P84" s="165">
        <v>0</v>
      </c>
      <c r="Q84" s="29">
        <v>1</v>
      </c>
      <c r="R84" s="1">
        <v>5.0043075231704233</v>
      </c>
      <c r="S84" s="31" t="s">
        <v>1271</v>
      </c>
      <c r="T84" s="165">
        <v>0</v>
      </c>
      <c r="U84" s="29">
        <v>1</v>
      </c>
      <c r="V84" s="1">
        <v>5.0043075231704233</v>
      </c>
      <c r="W84" s="31" t="s">
        <v>1271</v>
      </c>
      <c r="X84" s="165">
        <v>0</v>
      </c>
      <c r="Y84" s="29">
        <v>1</v>
      </c>
      <c r="Z84" s="1">
        <v>5.0043075231704233</v>
      </c>
      <c r="AA84" s="31" t="s">
        <v>1271</v>
      </c>
      <c r="AB84" s="165">
        <v>0</v>
      </c>
      <c r="AC84" s="29">
        <v>1</v>
      </c>
      <c r="AD84" s="1">
        <v>5.0043075231704233</v>
      </c>
      <c r="AE84" s="31" t="s">
        <v>1271</v>
      </c>
      <c r="AF84" s="165">
        <v>0</v>
      </c>
      <c r="AG84" s="29">
        <v>1</v>
      </c>
      <c r="AH84" s="1">
        <v>5.0043075231704233</v>
      </c>
      <c r="AI84" s="31" t="s">
        <v>1271</v>
      </c>
      <c r="AJ84" s="165">
        <v>0</v>
      </c>
      <c r="AK84" s="29">
        <v>1</v>
      </c>
      <c r="AL84" s="1">
        <v>5.0043075231704233</v>
      </c>
      <c r="AM84" s="31" t="s">
        <v>1271</v>
      </c>
      <c r="AN84" s="165">
        <v>0</v>
      </c>
      <c r="AO84" s="29">
        <v>1</v>
      </c>
      <c r="AP84" s="1">
        <v>5.0043075231704233</v>
      </c>
      <c r="AQ84" s="31" t="s">
        <v>1271</v>
      </c>
      <c r="AR84" s="31"/>
      <c r="AS84" s="165">
        <v>0</v>
      </c>
      <c r="AT84" s="29">
        <v>1</v>
      </c>
      <c r="AU84" s="1">
        <v>5.0043075231704233</v>
      </c>
      <c r="AV84" s="31" t="s">
        <v>1271</v>
      </c>
      <c r="AW84" s="31"/>
    </row>
    <row r="85" spans="1:49" ht="21.75" customHeight="1">
      <c r="A85" s="214">
        <v>1150</v>
      </c>
      <c r="B85" s="163" t="s">
        <v>525</v>
      </c>
      <c r="C85" s="151" t="s">
        <v>525</v>
      </c>
      <c r="D85" s="50" t="s">
        <v>402</v>
      </c>
      <c r="E85" s="10" t="s">
        <v>527</v>
      </c>
      <c r="F85" s="144" t="s">
        <v>1007</v>
      </c>
      <c r="G85" s="125" t="s">
        <v>402</v>
      </c>
      <c r="H85" s="164" t="s">
        <v>325</v>
      </c>
      <c r="I85" s="126" t="s">
        <v>685</v>
      </c>
      <c r="J85" s="124" t="s">
        <v>402</v>
      </c>
      <c r="K85" s="125" t="s">
        <v>395</v>
      </c>
      <c r="L85" s="165">
        <v>7.725180802103879E-6</v>
      </c>
      <c r="M85" s="29">
        <v>1</v>
      </c>
      <c r="N85" s="1">
        <v>5.0043075231704233</v>
      </c>
      <c r="O85" s="31" t="s">
        <v>1271</v>
      </c>
      <c r="P85" s="165">
        <v>7.725180802103879E-6</v>
      </c>
      <c r="Q85" s="29">
        <v>1</v>
      </c>
      <c r="R85" s="1">
        <v>5.0043075231704233</v>
      </c>
      <c r="S85" s="31" t="s">
        <v>1271</v>
      </c>
      <c r="T85" s="165">
        <v>7.725180802103879E-6</v>
      </c>
      <c r="U85" s="29">
        <v>1</v>
      </c>
      <c r="V85" s="1">
        <v>5.0043075231704233</v>
      </c>
      <c r="W85" s="31" t="s">
        <v>1271</v>
      </c>
      <c r="X85" s="165">
        <v>7.725180802103879E-6</v>
      </c>
      <c r="Y85" s="29">
        <v>1</v>
      </c>
      <c r="Z85" s="1">
        <v>5.0043075231704233</v>
      </c>
      <c r="AA85" s="31" t="s">
        <v>1271</v>
      </c>
      <c r="AB85" s="165">
        <v>7.725180802103879E-6</v>
      </c>
      <c r="AC85" s="29">
        <v>1</v>
      </c>
      <c r="AD85" s="1">
        <v>5.0043075231704233</v>
      </c>
      <c r="AE85" s="31" t="s">
        <v>1271</v>
      </c>
      <c r="AF85" s="165">
        <v>7.725180802103879E-6</v>
      </c>
      <c r="AG85" s="29">
        <v>1</v>
      </c>
      <c r="AH85" s="1">
        <v>5.0043075231704233</v>
      </c>
      <c r="AI85" s="31" t="s">
        <v>1271</v>
      </c>
      <c r="AJ85" s="165">
        <v>7.725180802103879E-6</v>
      </c>
      <c r="AK85" s="29">
        <v>1</v>
      </c>
      <c r="AL85" s="1">
        <v>5.0043075231704233</v>
      </c>
      <c r="AM85" s="31" t="s">
        <v>1271</v>
      </c>
      <c r="AN85" s="165">
        <v>7.725180802103879E-6</v>
      </c>
      <c r="AO85" s="29">
        <v>1</v>
      </c>
      <c r="AP85" s="1">
        <v>5.0043075231704233</v>
      </c>
      <c r="AQ85" s="31" t="s">
        <v>1271</v>
      </c>
      <c r="AR85" s="31"/>
      <c r="AS85" s="165">
        <v>7.725180802103879E-6</v>
      </c>
      <c r="AT85" s="29">
        <v>1</v>
      </c>
      <c r="AU85" s="1">
        <v>5.0043075231704233</v>
      </c>
      <c r="AV85" s="31" t="s">
        <v>1271</v>
      </c>
      <c r="AW85" s="31"/>
    </row>
    <row r="86" spans="1:49" s="689" customFormat="1" ht="21.75" customHeight="1">
      <c r="A86" s="693">
        <v>64</v>
      </c>
      <c r="B86" s="671" t="s">
        <v>525</v>
      </c>
      <c r="C86" s="672" t="s">
        <v>525</v>
      </c>
      <c r="D86" s="673" t="s">
        <v>402</v>
      </c>
      <c r="E86" s="674" t="s">
        <v>527</v>
      </c>
      <c r="F86" s="675" t="s">
        <v>969</v>
      </c>
      <c r="G86" s="676" t="s">
        <v>402</v>
      </c>
      <c r="H86" s="677" t="s">
        <v>325</v>
      </c>
      <c r="I86" s="715" t="s">
        <v>685</v>
      </c>
      <c r="J86" s="679" t="s">
        <v>402</v>
      </c>
      <c r="K86" s="676" t="s">
        <v>395</v>
      </c>
      <c r="L86" s="680">
        <v>3.7310979618671928E-5</v>
      </c>
      <c r="M86" s="681">
        <v>1</v>
      </c>
      <c r="N86" s="682">
        <v>1.2089750740786649</v>
      </c>
      <c r="O86" s="684" t="s">
        <v>1271</v>
      </c>
      <c r="P86" s="680">
        <v>5.2186061801446422E-4</v>
      </c>
      <c r="Q86" s="681">
        <v>1</v>
      </c>
      <c r="R86" s="682">
        <v>1.2089750740786649</v>
      </c>
      <c r="S86" s="684" t="s">
        <v>1271</v>
      </c>
      <c r="T86" s="680">
        <v>3.7310979618671928E-5</v>
      </c>
      <c r="U86" s="681">
        <v>1</v>
      </c>
      <c r="V86" s="682">
        <v>1.2089750740786649</v>
      </c>
      <c r="W86" s="684" t="s">
        <v>1271</v>
      </c>
      <c r="X86" s="680">
        <v>5.2186061801446422E-4</v>
      </c>
      <c r="Y86" s="681">
        <v>1</v>
      </c>
      <c r="Z86" s="682">
        <v>1.2089750740786649</v>
      </c>
      <c r="AA86" s="684" t="s">
        <v>1271</v>
      </c>
      <c r="AB86" s="680">
        <v>3.7310979618671928E-5</v>
      </c>
      <c r="AC86" s="681">
        <v>1</v>
      </c>
      <c r="AD86" s="682">
        <v>1.2089750740786649</v>
      </c>
      <c r="AE86" s="684" t="s">
        <v>1271</v>
      </c>
      <c r="AF86" s="680">
        <v>5.2186061801446422E-4</v>
      </c>
      <c r="AG86" s="681">
        <v>1</v>
      </c>
      <c r="AH86" s="682">
        <v>1.2089750740786649</v>
      </c>
      <c r="AI86" s="684" t="s">
        <v>1271</v>
      </c>
      <c r="AJ86" s="680">
        <v>3.7310979618671928E-5</v>
      </c>
      <c r="AK86" s="681">
        <v>1</v>
      </c>
      <c r="AL86" s="682">
        <v>1.2089750740786649</v>
      </c>
      <c r="AM86" s="684" t="s">
        <v>1271</v>
      </c>
      <c r="AN86" s="680">
        <v>5.2186061801446422E-4</v>
      </c>
      <c r="AO86" s="681">
        <v>1</v>
      </c>
      <c r="AP86" s="682">
        <v>1.2089750740786649</v>
      </c>
      <c r="AQ86" s="684" t="s">
        <v>1271</v>
      </c>
      <c r="AR86" s="684"/>
      <c r="AS86" s="680">
        <v>5.2186061801446422E-4</v>
      </c>
      <c r="AT86" s="681">
        <v>1</v>
      </c>
      <c r="AU86" s="682">
        <v>1.2089750740786649</v>
      </c>
      <c r="AV86" s="684" t="s">
        <v>1271</v>
      </c>
      <c r="AW86" s="684"/>
    </row>
    <row r="87" spans="1:49" s="689" customFormat="1" ht="21.75" customHeight="1">
      <c r="A87" s="693">
        <v>196</v>
      </c>
      <c r="B87" s="671" t="s">
        <v>525</v>
      </c>
      <c r="C87" s="672" t="s">
        <v>525</v>
      </c>
      <c r="D87" s="673" t="s">
        <v>402</v>
      </c>
      <c r="E87" s="674" t="s">
        <v>527</v>
      </c>
      <c r="F87" s="675" t="s">
        <v>977</v>
      </c>
      <c r="G87" s="676" t="s">
        <v>402</v>
      </c>
      <c r="H87" s="677" t="s">
        <v>325</v>
      </c>
      <c r="I87" s="715" t="s">
        <v>685</v>
      </c>
      <c r="J87" s="679" t="s">
        <v>402</v>
      </c>
      <c r="K87" s="676" t="s">
        <v>395</v>
      </c>
      <c r="L87" s="680">
        <v>0.1668310322156476</v>
      </c>
      <c r="M87" s="681">
        <v>1</v>
      </c>
      <c r="N87" s="682">
        <v>1.0744244531716256</v>
      </c>
      <c r="O87" s="684" t="s">
        <v>1271</v>
      </c>
      <c r="P87" s="680">
        <v>0.68211702827087439</v>
      </c>
      <c r="Q87" s="681">
        <v>1</v>
      </c>
      <c r="R87" s="682">
        <v>1.0744244531716256</v>
      </c>
      <c r="S87" s="684" t="s">
        <v>1271</v>
      </c>
      <c r="T87" s="680">
        <v>0.1668310322156476</v>
      </c>
      <c r="U87" s="681">
        <v>1</v>
      </c>
      <c r="V87" s="682">
        <v>1.0744244531716256</v>
      </c>
      <c r="W87" s="684" t="s">
        <v>1271</v>
      </c>
      <c r="X87" s="680">
        <v>0.68211702827087439</v>
      </c>
      <c r="Y87" s="681">
        <v>1</v>
      </c>
      <c r="Z87" s="682">
        <v>1.0744244531716256</v>
      </c>
      <c r="AA87" s="684" t="s">
        <v>1271</v>
      </c>
      <c r="AB87" s="680">
        <v>0.1668310322156476</v>
      </c>
      <c r="AC87" s="681">
        <v>1</v>
      </c>
      <c r="AD87" s="682">
        <v>1.0744244531716256</v>
      </c>
      <c r="AE87" s="684" t="s">
        <v>1271</v>
      </c>
      <c r="AF87" s="680">
        <v>0.68211702827087439</v>
      </c>
      <c r="AG87" s="681">
        <v>1</v>
      </c>
      <c r="AH87" s="682">
        <v>1.0744244531716256</v>
      </c>
      <c r="AI87" s="684" t="s">
        <v>1271</v>
      </c>
      <c r="AJ87" s="680">
        <v>0.1668310322156476</v>
      </c>
      <c r="AK87" s="681">
        <v>1</v>
      </c>
      <c r="AL87" s="682">
        <v>1.0744244531716256</v>
      </c>
      <c r="AM87" s="684" t="s">
        <v>1271</v>
      </c>
      <c r="AN87" s="680">
        <v>0.68211702827087439</v>
      </c>
      <c r="AO87" s="681">
        <v>1</v>
      </c>
      <c r="AP87" s="682">
        <v>1.0744244531716256</v>
      </c>
      <c r="AQ87" s="684" t="s">
        <v>1271</v>
      </c>
      <c r="AR87" s="684"/>
      <c r="AS87" s="680">
        <v>0.68211702827087439</v>
      </c>
      <c r="AT87" s="681">
        <v>1</v>
      </c>
      <c r="AU87" s="682">
        <v>1.0744244531716256</v>
      </c>
      <c r="AV87" s="684" t="s">
        <v>1271</v>
      </c>
      <c r="AW87" s="684"/>
    </row>
    <row r="88" spans="1:49" s="689" customFormat="1" ht="21.75" customHeight="1">
      <c r="A88" s="693">
        <v>3286</v>
      </c>
      <c r="B88" s="671" t="s">
        <v>525</v>
      </c>
      <c r="C88" s="672" t="s">
        <v>525</v>
      </c>
      <c r="D88" s="673" t="s">
        <v>402</v>
      </c>
      <c r="E88" s="674" t="s">
        <v>527</v>
      </c>
      <c r="F88" s="675" t="s">
        <v>980</v>
      </c>
      <c r="G88" s="676" t="s">
        <v>402</v>
      </c>
      <c r="H88" s="677" t="s">
        <v>325</v>
      </c>
      <c r="I88" s="715" t="s">
        <v>685</v>
      </c>
      <c r="J88" s="679" t="s">
        <v>402</v>
      </c>
      <c r="K88" s="676" t="s">
        <v>395</v>
      </c>
      <c r="L88" s="680">
        <v>4.602235371466141E-5</v>
      </c>
      <c r="M88" s="681">
        <v>1</v>
      </c>
      <c r="N88" s="682">
        <v>1.5051158607595139</v>
      </c>
      <c r="O88" s="684" t="s">
        <v>1271</v>
      </c>
      <c r="P88" s="680">
        <v>0</v>
      </c>
      <c r="Q88" s="681">
        <v>1</v>
      </c>
      <c r="R88" s="682">
        <v>1.5051158607595139</v>
      </c>
      <c r="S88" s="684" t="s">
        <v>1271</v>
      </c>
      <c r="T88" s="680">
        <v>4.602235371466141E-5</v>
      </c>
      <c r="U88" s="681">
        <v>1</v>
      </c>
      <c r="V88" s="682">
        <v>1.5051158607595139</v>
      </c>
      <c r="W88" s="684" t="s">
        <v>1271</v>
      </c>
      <c r="X88" s="680">
        <v>0</v>
      </c>
      <c r="Y88" s="681">
        <v>1</v>
      </c>
      <c r="Z88" s="682">
        <v>1.5051158607595139</v>
      </c>
      <c r="AA88" s="684" t="s">
        <v>1271</v>
      </c>
      <c r="AB88" s="680">
        <v>4.602235371466141E-5</v>
      </c>
      <c r="AC88" s="681">
        <v>1</v>
      </c>
      <c r="AD88" s="682">
        <v>1.5051158607595139</v>
      </c>
      <c r="AE88" s="684" t="s">
        <v>1271</v>
      </c>
      <c r="AF88" s="680">
        <v>0</v>
      </c>
      <c r="AG88" s="681">
        <v>1</v>
      </c>
      <c r="AH88" s="682">
        <v>1.5051158607595139</v>
      </c>
      <c r="AI88" s="684" t="s">
        <v>1271</v>
      </c>
      <c r="AJ88" s="680">
        <v>4.602235371466141E-5</v>
      </c>
      <c r="AK88" s="681">
        <v>1</v>
      </c>
      <c r="AL88" s="682">
        <v>1.5051158607595139</v>
      </c>
      <c r="AM88" s="684" t="s">
        <v>1271</v>
      </c>
      <c r="AN88" s="680">
        <v>0</v>
      </c>
      <c r="AO88" s="681">
        <v>1</v>
      </c>
      <c r="AP88" s="682">
        <v>1.5051158607595139</v>
      </c>
      <c r="AQ88" s="684" t="s">
        <v>1271</v>
      </c>
      <c r="AR88" s="684"/>
      <c r="AS88" s="680">
        <v>0</v>
      </c>
      <c r="AT88" s="681">
        <v>1</v>
      </c>
      <c r="AU88" s="682">
        <v>1.5051158607595139</v>
      </c>
      <c r="AV88" s="684" t="s">
        <v>1271</v>
      </c>
      <c r="AW88" s="684"/>
    </row>
    <row r="89" spans="1:49" s="689" customFormat="1" ht="21.75" customHeight="1">
      <c r="A89" s="693">
        <v>3294</v>
      </c>
      <c r="B89" s="671" t="s">
        <v>525</v>
      </c>
      <c r="C89" s="672" t="s">
        <v>525</v>
      </c>
      <c r="D89" s="673" t="s">
        <v>402</v>
      </c>
      <c r="E89" s="674" t="s">
        <v>527</v>
      </c>
      <c r="F89" s="675" t="s">
        <v>987</v>
      </c>
      <c r="G89" s="676" t="s">
        <v>402</v>
      </c>
      <c r="H89" s="677" t="s">
        <v>325</v>
      </c>
      <c r="I89" s="715" t="s">
        <v>685</v>
      </c>
      <c r="J89" s="679" t="s">
        <v>402</v>
      </c>
      <c r="K89" s="676" t="s">
        <v>395</v>
      </c>
      <c r="L89" s="680">
        <v>1.1012491781722551E-2</v>
      </c>
      <c r="M89" s="681">
        <v>1</v>
      </c>
      <c r="N89" s="682">
        <v>1.5051158607595139</v>
      </c>
      <c r="O89" s="684" t="s">
        <v>1271</v>
      </c>
      <c r="P89" s="680">
        <v>4.4378698224852069E-4</v>
      </c>
      <c r="Q89" s="681">
        <v>1</v>
      </c>
      <c r="R89" s="682">
        <v>1.5051158607595139</v>
      </c>
      <c r="S89" s="684" t="s">
        <v>1271</v>
      </c>
      <c r="T89" s="680">
        <v>1.1012491781722551E-2</v>
      </c>
      <c r="U89" s="681">
        <v>1</v>
      </c>
      <c r="V89" s="682">
        <v>1.5051158607595139</v>
      </c>
      <c r="W89" s="684" t="s">
        <v>1271</v>
      </c>
      <c r="X89" s="680">
        <v>4.4378698224852069E-4</v>
      </c>
      <c r="Y89" s="681">
        <v>1</v>
      </c>
      <c r="Z89" s="682">
        <v>1.5051158607595139</v>
      </c>
      <c r="AA89" s="684" t="s">
        <v>1271</v>
      </c>
      <c r="AB89" s="680">
        <v>1.1012491781722551E-2</v>
      </c>
      <c r="AC89" s="681">
        <v>1</v>
      </c>
      <c r="AD89" s="682">
        <v>1.5051158607595139</v>
      </c>
      <c r="AE89" s="684" t="s">
        <v>1271</v>
      </c>
      <c r="AF89" s="680">
        <v>4.4378698224852069E-4</v>
      </c>
      <c r="AG89" s="681">
        <v>1</v>
      </c>
      <c r="AH89" s="682">
        <v>1.5051158607595139</v>
      </c>
      <c r="AI89" s="684" t="s">
        <v>1271</v>
      </c>
      <c r="AJ89" s="680">
        <v>1.1012491781722551E-2</v>
      </c>
      <c r="AK89" s="681">
        <v>1</v>
      </c>
      <c r="AL89" s="682">
        <v>1.5051158607595139</v>
      </c>
      <c r="AM89" s="684" t="s">
        <v>1271</v>
      </c>
      <c r="AN89" s="680">
        <v>4.4378698224852069E-4</v>
      </c>
      <c r="AO89" s="681">
        <v>1</v>
      </c>
      <c r="AP89" s="682">
        <v>1.5051158607595139</v>
      </c>
      <c r="AQ89" s="684" t="s">
        <v>1271</v>
      </c>
      <c r="AR89" s="684"/>
      <c r="AS89" s="680">
        <v>4.4378698224852069E-4</v>
      </c>
      <c r="AT89" s="681">
        <v>1</v>
      </c>
      <c r="AU89" s="682">
        <v>1.5051158607595139</v>
      </c>
      <c r="AV89" s="684" t="s">
        <v>1271</v>
      </c>
      <c r="AW89" s="684"/>
    </row>
    <row r="90" spans="1:49" s="689" customFormat="1" ht="21.75" customHeight="1">
      <c r="A90" s="693">
        <v>4371</v>
      </c>
      <c r="B90" s="671" t="s">
        <v>525</v>
      </c>
      <c r="C90" s="672" t="s">
        <v>525</v>
      </c>
      <c r="D90" s="673" t="s">
        <v>402</v>
      </c>
      <c r="E90" s="674" t="s">
        <v>527</v>
      </c>
      <c r="F90" s="675" t="s">
        <v>966</v>
      </c>
      <c r="G90" s="676" t="s">
        <v>402</v>
      </c>
      <c r="H90" s="677" t="s">
        <v>325</v>
      </c>
      <c r="I90" s="715" t="s">
        <v>685</v>
      </c>
      <c r="J90" s="679" t="s">
        <v>402</v>
      </c>
      <c r="K90" s="676" t="s">
        <v>395</v>
      </c>
      <c r="L90" s="680">
        <v>1.4710716633793556E-2</v>
      </c>
      <c r="M90" s="681">
        <v>1</v>
      </c>
      <c r="N90" s="682">
        <v>1.5051158607595139</v>
      </c>
      <c r="O90" s="684" t="s">
        <v>1271</v>
      </c>
      <c r="P90" s="680">
        <v>0</v>
      </c>
      <c r="Q90" s="681">
        <v>1</v>
      </c>
      <c r="R90" s="682">
        <v>1.5051158607595139</v>
      </c>
      <c r="S90" s="684" t="s">
        <v>1271</v>
      </c>
      <c r="T90" s="680">
        <v>1.4710716633793556E-2</v>
      </c>
      <c r="U90" s="681">
        <v>1</v>
      </c>
      <c r="V90" s="682">
        <v>1.5051158607595139</v>
      </c>
      <c r="W90" s="684" t="s">
        <v>1271</v>
      </c>
      <c r="X90" s="680">
        <v>0</v>
      </c>
      <c r="Y90" s="681">
        <v>1</v>
      </c>
      <c r="Z90" s="682">
        <v>1.5051158607595139</v>
      </c>
      <c r="AA90" s="684" t="s">
        <v>1271</v>
      </c>
      <c r="AB90" s="680">
        <v>1.4710716633793556E-2</v>
      </c>
      <c r="AC90" s="681">
        <v>1</v>
      </c>
      <c r="AD90" s="682">
        <v>1.5051158607595139</v>
      </c>
      <c r="AE90" s="684" t="s">
        <v>1271</v>
      </c>
      <c r="AF90" s="680">
        <v>0</v>
      </c>
      <c r="AG90" s="681">
        <v>1</v>
      </c>
      <c r="AH90" s="682">
        <v>1.5051158607595139</v>
      </c>
      <c r="AI90" s="684" t="s">
        <v>1271</v>
      </c>
      <c r="AJ90" s="680">
        <v>1.4710716633793556E-2</v>
      </c>
      <c r="AK90" s="681">
        <v>1</v>
      </c>
      <c r="AL90" s="682">
        <v>1.5051158607595139</v>
      </c>
      <c r="AM90" s="684" t="s">
        <v>1271</v>
      </c>
      <c r="AN90" s="680">
        <v>0</v>
      </c>
      <c r="AO90" s="681">
        <v>1</v>
      </c>
      <c r="AP90" s="682">
        <v>1.5051158607595139</v>
      </c>
      <c r="AQ90" s="684" t="s">
        <v>1271</v>
      </c>
      <c r="AR90" s="684"/>
      <c r="AS90" s="680">
        <v>0</v>
      </c>
      <c r="AT90" s="681">
        <v>1</v>
      </c>
      <c r="AU90" s="682">
        <v>1.5051158607595139</v>
      </c>
      <c r="AV90" s="684" t="s">
        <v>1271</v>
      </c>
      <c r="AW90" s="684"/>
    </row>
    <row r="91" spans="1:49" s="689" customFormat="1" ht="21.75" customHeight="1">
      <c r="A91" s="693">
        <v>4</v>
      </c>
      <c r="B91" s="671" t="s">
        <v>525</v>
      </c>
      <c r="C91" s="672" t="s">
        <v>525</v>
      </c>
      <c r="D91" s="673" t="s">
        <v>402</v>
      </c>
      <c r="E91" s="674" t="s">
        <v>527</v>
      </c>
      <c r="F91" s="675" t="s">
        <v>967</v>
      </c>
      <c r="G91" s="676" t="s">
        <v>402</v>
      </c>
      <c r="H91" s="677" t="s">
        <v>325</v>
      </c>
      <c r="I91" s="715" t="s">
        <v>685</v>
      </c>
      <c r="J91" s="679" t="s">
        <v>402</v>
      </c>
      <c r="K91" s="676" t="s">
        <v>395</v>
      </c>
      <c r="L91" s="680">
        <v>6.3280736357659438E-4</v>
      </c>
      <c r="M91" s="681">
        <v>1</v>
      </c>
      <c r="N91" s="682">
        <v>1.5051158607595139</v>
      </c>
      <c r="O91" s="684" t="s">
        <v>1271</v>
      </c>
      <c r="P91" s="680">
        <v>0</v>
      </c>
      <c r="Q91" s="681">
        <v>1</v>
      </c>
      <c r="R91" s="682">
        <v>1.5051158607595139</v>
      </c>
      <c r="S91" s="684" t="s">
        <v>1271</v>
      </c>
      <c r="T91" s="680">
        <v>6.3280736357659438E-4</v>
      </c>
      <c r="U91" s="681">
        <v>1</v>
      </c>
      <c r="V91" s="682">
        <v>1.5051158607595139</v>
      </c>
      <c r="W91" s="684" t="s">
        <v>1271</v>
      </c>
      <c r="X91" s="680">
        <v>0</v>
      </c>
      <c r="Y91" s="681">
        <v>1</v>
      </c>
      <c r="Z91" s="682">
        <v>1.5051158607595139</v>
      </c>
      <c r="AA91" s="684" t="s">
        <v>1271</v>
      </c>
      <c r="AB91" s="680">
        <v>6.3280736357659438E-4</v>
      </c>
      <c r="AC91" s="681">
        <v>1</v>
      </c>
      <c r="AD91" s="682">
        <v>1.5051158607595139</v>
      </c>
      <c r="AE91" s="684" t="s">
        <v>1271</v>
      </c>
      <c r="AF91" s="680">
        <v>0</v>
      </c>
      <c r="AG91" s="681">
        <v>1</v>
      </c>
      <c r="AH91" s="682">
        <v>1.5051158607595139</v>
      </c>
      <c r="AI91" s="684" t="s">
        <v>1271</v>
      </c>
      <c r="AJ91" s="680">
        <v>6.3280736357659438E-4</v>
      </c>
      <c r="AK91" s="681">
        <v>1</v>
      </c>
      <c r="AL91" s="682">
        <v>1.5051158607595139</v>
      </c>
      <c r="AM91" s="684" t="s">
        <v>1271</v>
      </c>
      <c r="AN91" s="680">
        <v>0</v>
      </c>
      <c r="AO91" s="681">
        <v>1</v>
      </c>
      <c r="AP91" s="682">
        <v>1.5051158607595139</v>
      </c>
      <c r="AQ91" s="684" t="s">
        <v>1271</v>
      </c>
      <c r="AR91" s="684" t="s">
        <v>1128</v>
      </c>
      <c r="AS91" s="680">
        <v>0</v>
      </c>
      <c r="AT91" s="681">
        <v>1</v>
      </c>
      <c r="AU91" s="682">
        <v>1.5051158607595139</v>
      </c>
      <c r="AV91" s="684" t="s">
        <v>1271</v>
      </c>
      <c r="AW91" s="684"/>
    </row>
    <row r="92" spans="1:49" s="689" customFormat="1" ht="21.75" customHeight="1">
      <c r="A92" s="693">
        <v>346</v>
      </c>
      <c r="B92" s="671" t="s">
        <v>525</v>
      </c>
      <c r="C92" s="672" t="s">
        <v>525</v>
      </c>
      <c r="D92" s="673" t="s">
        <v>402</v>
      </c>
      <c r="E92" s="674" t="s">
        <v>527</v>
      </c>
      <c r="F92" s="675" t="s">
        <v>984</v>
      </c>
      <c r="G92" s="676" t="s">
        <v>402</v>
      </c>
      <c r="H92" s="677" t="s">
        <v>325</v>
      </c>
      <c r="I92" s="715" t="s">
        <v>685</v>
      </c>
      <c r="J92" s="679" t="s">
        <v>402</v>
      </c>
      <c r="K92" s="676" t="s">
        <v>395</v>
      </c>
      <c r="L92" s="680">
        <v>3.1188362919132145E-5</v>
      </c>
      <c r="M92" s="681">
        <v>1</v>
      </c>
      <c r="N92" s="682">
        <v>1.5051158607595139</v>
      </c>
      <c r="O92" s="684" t="s">
        <v>1271</v>
      </c>
      <c r="P92" s="680">
        <v>2.7284681130834977E-5</v>
      </c>
      <c r="Q92" s="681">
        <v>1</v>
      </c>
      <c r="R92" s="682">
        <v>1.5051158607595139</v>
      </c>
      <c r="S92" s="684" t="s">
        <v>1271</v>
      </c>
      <c r="T92" s="680">
        <v>3.1188362919132145E-5</v>
      </c>
      <c r="U92" s="681">
        <v>1</v>
      </c>
      <c r="V92" s="682">
        <v>1.5051158607595139</v>
      </c>
      <c r="W92" s="684" t="s">
        <v>1271</v>
      </c>
      <c r="X92" s="680">
        <v>2.7284681130834977E-5</v>
      </c>
      <c r="Y92" s="681">
        <v>1</v>
      </c>
      <c r="Z92" s="682">
        <v>1.5051158607595139</v>
      </c>
      <c r="AA92" s="684" t="s">
        <v>1271</v>
      </c>
      <c r="AB92" s="680">
        <v>3.1188362919132145E-5</v>
      </c>
      <c r="AC92" s="681">
        <v>1</v>
      </c>
      <c r="AD92" s="682">
        <v>1.5051158607595139</v>
      </c>
      <c r="AE92" s="684" t="s">
        <v>1271</v>
      </c>
      <c r="AF92" s="680">
        <v>2.7284681130834977E-5</v>
      </c>
      <c r="AG92" s="681">
        <v>1</v>
      </c>
      <c r="AH92" s="682">
        <v>1.5051158607595139</v>
      </c>
      <c r="AI92" s="684" t="s">
        <v>1271</v>
      </c>
      <c r="AJ92" s="680">
        <v>3.1188362919132145E-5</v>
      </c>
      <c r="AK92" s="681">
        <v>1</v>
      </c>
      <c r="AL92" s="682">
        <v>1.5051158607595139</v>
      </c>
      <c r="AM92" s="684" t="s">
        <v>1271</v>
      </c>
      <c r="AN92" s="680">
        <v>2.7284681130834977E-5</v>
      </c>
      <c r="AO92" s="681">
        <v>1</v>
      </c>
      <c r="AP92" s="682">
        <v>1.5051158607595139</v>
      </c>
      <c r="AQ92" s="684" t="s">
        <v>1271</v>
      </c>
      <c r="AR92" s="684"/>
      <c r="AS92" s="680">
        <v>2.7284681130834977E-5</v>
      </c>
      <c r="AT92" s="681">
        <v>1</v>
      </c>
      <c r="AU92" s="682">
        <v>1.5051158607595139</v>
      </c>
      <c r="AV92" s="684" t="s">
        <v>1271</v>
      </c>
      <c r="AW92" s="684"/>
    </row>
    <row r="93" spans="1:49" s="689" customFormat="1" ht="21.75" customHeight="1">
      <c r="A93" s="693">
        <v>1042</v>
      </c>
      <c r="B93" s="671" t="s">
        <v>525</v>
      </c>
      <c r="C93" s="672" t="s">
        <v>525</v>
      </c>
      <c r="D93" s="673" t="s">
        <v>402</v>
      </c>
      <c r="E93" s="674" t="s">
        <v>527</v>
      </c>
      <c r="F93" s="675" t="s">
        <v>1002</v>
      </c>
      <c r="G93" s="676" t="s">
        <v>402</v>
      </c>
      <c r="H93" s="677" t="s">
        <v>325</v>
      </c>
      <c r="I93" s="715" t="s">
        <v>685</v>
      </c>
      <c r="J93" s="679" t="s">
        <v>402</v>
      </c>
      <c r="K93" s="676" t="s">
        <v>395</v>
      </c>
      <c r="L93" s="680">
        <v>3.3284023668639053E-4</v>
      </c>
      <c r="M93" s="681">
        <v>1</v>
      </c>
      <c r="N93" s="682">
        <v>5.0043075231704233</v>
      </c>
      <c r="O93" s="684" t="s">
        <v>1271</v>
      </c>
      <c r="P93" s="680">
        <v>1.4710716633793556E-4</v>
      </c>
      <c r="Q93" s="681">
        <v>1</v>
      </c>
      <c r="R93" s="682">
        <v>5.0043075231704233</v>
      </c>
      <c r="S93" s="684" t="s">
        <v>1271</v>
      </c>
      <c r="T93" s="680">
        <v>3.3284023668639053E-4</v>
      </c>
      <c r="U93" s="681">
        <v>1</v>
      </c>
      <c r="V93" s="682">
        <v>5.0043075231704233</v>
      </c>
      <c r="W93" s="684" t="s">
        <v>1271</v>
      </c>
      <c r="X93" s="680">
        <v>1.4710716633793556E-4</v>
      </c>
      <c r="Y93" s="681">
        <v>1</v>
      </c>
      <c r="Z93" s="682">
        <v>5.0043075231704233</v>
      </c>
      <c r="AA93" s="684" t="s">
        <v>1271</v>
      </c>
      <c r="AB93" s="680">
        <v>3.3284023668639053E-4</v>
      </c>
      <c r="AC93" s="681">
        <v>1</v>
      </c>
      <c r="AD93" s="682">
        <v>5.0043075231704233</v>
      </c>
      <c r="AE93" s="684" t="s">
        <v>1271</v>
      </c>
      <c r="AF93" s="680">
        <v>1.4710716633793556E-4</v>
      </c>
      <c r="AG93" s="681">
        <v>1</v>
      </c>
      <c r="AH93" s="682">
        <v>5.0043075231704233</v>
      </c>
      <c r="AI93" s="684" t="s">
        <v>1271</v>
      </c>
      <c r="AJ93" s="680">
        <v>3.3284023668639053E-4</v>
      </c>
      <c r="AK93" s="681">
        <v>1</v>
      </c>
      <c r="AL93" s="682">
        <v>5.0043075231704233</v>
      </c>
      <c r="AM93" s="684" t="s">
        <v>1271</v>
      </c>
      <c r="AN93" s="680">
        <v>1.4710716633793556E-4</v>
      </c>
      <c r="AO93" s="681">
        <v>1</v>
      </c>
      <c r="AP93" s="682">
        <v>5.0043075231704233</v>
      </c>
      <c r="AQ93" s="684" t="s">
        <v>1271</v>
      </c>
      <c r="AR93" s="684" t="s">
        <v>1129</v>
      </c>
      <c r="AS93" s="680">
        <v>1.4710716633793556E-4</v>
      </c>
      <c r="AT93" s="681">
        <v>1</v>
      </c>
      <c r="AU93" s="682">
        <v>5.0043075231704233</v>
      </c>
      <c r="AV93" s="684" t="s">
        <v>1271</v>
      </c>
      <c r="AW93" s="684"/>
    </row>
    <row r="94" spans="1:49" s="689" customFormat="1" ht="21.75" customHeight="1">
      <c r="A94" s="693">
        <v>1042</v>
      </c>
      <c r="B94" s="671" t="s">
        <v>525</v>
      </c>
      <c r="C94" s="672" t="s">
        <v>525</v>
      </c>
      <c r="D94" s="673" t="s">
        <v>402</v>
      </c>
      <c r="E94" s="674" t="s">
        <v>527</v>
      </c>
      <c r="F94" s="675" t="s">
        <v>1002</v>
      </c>
      <c r="G94" s="676" t="s">
        <v>402</v>
      </c>
      <c r="H94" s="677" t="s">
        <v>325</v>
      </c>
      <c r="I94" s="715" t="s">
        <v>685</v>
      </c>
      <c r="J94" s="679" t="s">
        <v>402</v>
      </c>
      <c r="K94" s="676" t="s">
        <v>395</v>
      </c>
      <c r="L94" s="680">
        <v>2.6298487836949372E-3</v>
      </c>
      <c r="M94" s="681">
        <v>1</v>
      </c>
      <c r="N94" s="682">
        <v>5.0043075231704233</v>
      </c>
      <c r="O94" s="684" t="s">
        <v>1271</v>
      </c>
      <c r="P94" s="680">
        <v>5.9993425378040764E-6</v>
      </c>
      <c r="Q94" s="681">
        <v>1</v>
      </c>
      <c r="R94" s="682">
        <v>5.0043075231704233</v>
      </c>
      <c r="S94" s="684" t="s">
        <v>1271</v>
      </c>
      <c r="T94" s="680">
        <v>2.6298487836949372E-3</v>
      </c>
      <c r="U94" s="681">
        <v>1</v>
      </c>
      <c r="V94" s="682">
        <v>5.0043075231704233</v>
      </c>
      <c r="W94" s="684" t="s">
        <v>1271</v>
      </c>
      <c r="X94" s="680">
        <v>5.9993425378040764E-6</v>
      </c>
      <c r="Y94" s="681">
        <v>1</v>
      </c>
      <c r="Z94" s="682">
        <v>5.0043075231704233</v>
      </c>
      <c r="AA94" s="684" t="s">
        <v>1271</v>
      </c>
      <c r="AB94" s="680">
        <v>2.6298487836949372E-3</v>
      </c>
      <c r="AC94" s="681">
        <v>1</v>
      </c>
      <c r="AD94" s="682">
        <v>5.0043075231704233</v>
      </c>
      <c r="AE94" s="684" t="s">
        <v>1271</v>
      </c>
      <c r="AF94" s="680">
        <v>5.9993425378040764E-6</v>
      </c>
      <c r="AG94" s="681">
        <v>1</v>
      </c>
      <c r="AH94" s="682">
        <v>5.0043075231704233</v>
      </c>
      <c r="AI94" s="684" t="s">
        <v>1271</v>
      </c>
      <c r="AJ94" s="680">
        <v>2.6298487836949372E-3</v>
      </c>
      <c r="AK94" s="681">
        <v>1</v>
      </c>
      <c r="AL94" s="682">
        <v>5.0043075231704233</v>
      </c>
      <c r="AM94" s="684" t="s">
        <v>1271</v>
      </c>
      <c r="AN94" s="680">
        <v>5.9993425378040764E-6</v>
      </c>
      <c r="AO94" s="681">
        <v>1</v>
      </c>
      <c r="AP94" s="682">
        <v>5.0043075231704233</v>
      </c>
      <c r="AQ94" s="684" t="s">
        <v>1271</v>
      </c>
      <c r="AR94" s="684" t="s">
        <v>1003</v>
      </c>
      <c r="AS94" s="680">
        <v>5.9993425378040764E-6</v>
      </c>
      <c r="AT94" s="681">
        <v>1</v>
      </c>
      <c r="AU94" s="682">
        <v>5.0043075231704233</v>
      </c>
      <c r="AV94" s="684" t="s">
        <v>1271</v>
      </c>
      <c r="AW94" s="684"/>
    </row>
    <row r="95" spans="1:49" s="689" customFormat="1" ht="21.75" customHeight="1">
      <c r="A95" s="693">
        <v>832</v>
      </c>
      <c r="B95" s="671" t="s">
        <v>525</v>
      </c>
      <c r="C95" s="672" t="s">
        <v>525</v>
      </c>
      <c r="D95" s="673" t="s">
        <v>402</v>
      </c>
      <c r="E95" s="674" t="s">
        <v>527</v>
      </c>
      <c r="F95" s="675" t="s">
        <v>997</v>
      </c>
      <c r="G95" s="676" t="s">
        <v>402</v>
      </c>
      <c r="H95" s="677" t="s">
        <v>325</v>
      </c>
      <c r="I95" s="715" t="s">
        <v>685</v>
      </c>
      <c r="J95" s="679" t="s">
        <v>402</v>
      </c>
      <c r="K95" s="676" t="s">
        <v>395</v>
      </c>
      <c r="L95" s="680">
        <v>1.2615055884286653E-2</v>
      </c>
      <c r="M95" s="681">
        <v>1</v>
      </c>
      <c r="N95" s="682">
        <v>1.5051158607595139</v>
      </c>
      <c r="O95" s="684" t="s">
        <v>1271</v>
      </c>
      <c r="P95" s="680">
        <v>3.5297501643655492E-4</v>
      </c>
      <c r="Q95" s="681">
        <v>1</v>
      </c>
      <c r="R95" s="682">
        <v>1.5051158607595139</v>
      </c>
      <c r="S95" s="684" t="s">
        <v>1271</v>
      </c>
      <c r="T95" s="680">
        <v>1.2615055884286653E-2</v>
      </c>
      <c r="U95" s="681">
        <v>1</v>
      </c>
      <c r="V95" s="682">
        <v>1.5051158607595139</v>
      </c>
      <c r="W95" s="684" t="s">
        <v>1271</v>
      </c>
      <c r="X95" s="680">
        <v>3.5297501643655492E-4</v>
      </c>
      <c r="Y95" s="681">
        <v>1</v>
      </c>
      <c r="Z95" s="682">
        <v>1.5051158607595139</v>
      </c>
      <c r="AA95" s="684" t="s">
        <v>1271</v>
      </c>
      <c r="AB95" s="680">
        <v>1.2615055884286653E-2</v>
      </c>
      <c r="AC95" s="681">
        <v>1</v>
      </c>
      <c r="AD95" s="682">
        <v>1.5051158607595139</v>
      </c>
      <c r="AE95" s="684" t="s">
        <v>1271</v>
      </c>
      <c r="AF95" s="680">
        <v>3.5297501643655492E-4</v>
      </c>
      <c r="AG95" s="681">
        <v>1</v>
      </c>
      <c r="AH95" s="682">
        <v>1.5051158607595139</v>
      </c>
      <c r="AI95" s="684" t="s">
        <v>1271</v>
      </c>
      <c r="AJ95" s="680">
        <v>1.2615055884286653E-2</v>
      </c>
      <c r="AK95" s="681">
        <v>1</v>
      </c>
      <c r="AL95" s="682">
        <v>1.5051158607595139</v>
      </c>
      <c r="AM95" s="684" t="s">
        <v>1271</v>
      </c>
      <c r="AN95" s="680">
        <v>3.5297501643655492E-4</v>
      </c>
      <c r="AO95" s="681">
        <v>1</v>
      </c>
      <c r="AP95" s="682">
        <v>1.5051158607595139</v>
      </c>
      <c r="AQ95" s="684" t="s">
        <v>1271</v>
      </c>
      <c r="AR95" s="684" t="s">
        <v>1130</v>
      </c>
      <c r="AS95" s="680">
        <v>3.5297501643655492E-4</v>
      </c>
      <c r="AT95" s="681">
        <v>1</v>
      </c>
      <c r="AU95" s="682">
        <v>1.5051158607595139</v>
      </c>
      <c r="AV95" s="684" t="s">
        <v>1271</v>
      </c>
      <c r="AW95" s="684"/>
    </row>
    <row r="96" spans="1:49" s="689" customFormat="1" ht="21.75" customHeight="1">
      <c r="A96" s="693">
        <v>9979</v>
      </c>
      <c r="B96" s="671" t="s">
        <v>525</v>
      </c>
      <c r="C96" s="672" t="s">
        <v>525</v>
      </c>
      <c r="D96" s="673" t="s">
        <v>402</v>
      </c>
      <c r="E96" s="674" t="s">
        <v>527</v>
      </c>
      <c r="F96" s="675" t="s">
        <v>1008</v>
      </c>
      <c r="G96" s="676" t="s">
        <v>402</v>
      </c>
      <c r="H96" s="677" t="s">
        <v>325</v>
      </c>
      <c r="I96" s="715" t="s">
        <v>685</v>
      </c>
      <c r="J96" s="679" t="s">
        <v>402</v>
      </c>
      <c r="K96" s="676" t="s">
        <v>395</v>
      </c>
      <c r="L96" s="680">
        <v>11.587771203155818</v>
      </c>
      <c r="M96" s="681">
        <v>1</v>
      </c>
      <c r="N96" s="682">
        <v>1.5051158607595139</v>
      </c>
      <c r="O96" s="684" t="s">
        <v>1271</v>
      </c>
      <c r="P96" s="680">
        <v>5.9582511505588425</v>
      </c>
      <c r="Q96" s="681">
        <v>1</v>
      </c>
      <c r="R96" s="682">
        <v>1.5051158607595139</v>
      </c>
      <c r="S96" s="684" t="s">
        <v>1271</v>
      </c>
      <c r="T96" s="680">
        <v>11.587771203155818</v>
      </c>
      <c r="U96" s="681">
        <v>1</v>
      </c>
      <c r="V96" s="682">
        <v>1.5051158607595139</v>
      </c>
      <c r="W96" s="684" t="s">
        <v>1271</v>
      </c>
      <c r="X96" s="680">
        <v>5.9582511505588425</v>
      </c>
      <c r="Y96" s="681">
        <v>1</v>
      </c>
      <c r="Z96" s="682">
        <v>1.5051158607595139</v>
      </c>
      <c r="AA96" s="684" t="s">
        <v>1271</v>
      </c>
      <c r="AB96" s="680">
        <v>11.587771203155818</v>
      </c>
      <c r="AC96" s="681">
        <v>1</v>
      </c>
      <c r="AD96" s="682">
        <v>1.5051158607595139</v>
      </c>
      <c r="AE96" s="684" t="s">
        <v>1271</v>
      </c>
      <c r="AF96" s="680">
        <v>5.9582511505588425</v>
      </c>
      <c r="AG96" s="681">
        <v>1</v>
      </c>
      <c r="AH96" s="682">
        <v>1.5051158607595139</v>
      </c>
      <c r="AI96" s="684" t="s">
        <v>1271</v>
      </c>
      <c r="AJ96" s="680">
        <v>11.587771203155818</v>
      </c>
      <c r="AK96" s="681">
        <v>1</v>
      </c>
      <c r="AL96" s="682">
        <v>1.5051158607595139</v>
      </c>
      <c r="AM96" s="684" t="s">
        <v>1271</v>
      </c>
      <c r="AN96" s="680">
        <v>5.9582511505588425</v>
      </c>
      <c r="AO96" s="681">
        <v>1</v>
      </c>
      <c r="AP96" s="682">
        <v>1.5051158607595139</v>
      </c>
      <c r="AQ96" s="684" t="s">
        <v>1271</v>
      </c>
      <c r="AR96" s="684"/>
      <c r="AS96" s="680">
        <v>5.9582511505588425</v>
      </c>
      <c r="AT96" s="681">
        <v>1</v>
      </c>
      <c r="AU96" s="682">
        <v>1.5051158607595139</v>
      </c>
      <c r="AV96" s="684" t="s">
        <v>1271</v>
      </c>
      <c r="AW96" s="684"/>
    </row>
    <row r="97" spans="1:49" s="689" customFormat="1" ht="21.75" customHeight="1">
      <c r="A97" s="693">
        <v>5195</v>
      </c>
      <c r="B97" s="671" t="s">
        <v>525</v>
      </c>
      <c r="C97" s="672" t="s">
        <v>525</v>
      </c>
      <c r="D97" s="673" t="s">
        <v>402</v>
      </c>
      <c r="E97" s="674" t="s">
        <v>527</v>
      </c>
      <c r="F97" s="675" t="s">
        <v>995</v>
      </c>
      <c r="G97" s="676" t="s">
        <v>402</v>
      </c>
      <c r="H97" s="677" t="s">
        <v>325</v>
      </c>
      <c r="I97" s="715" t="s">
        <v>685</v>
      </c>
      <c r="J97" s="679" t="s">
        <v>402</v>
      </c>
      <c r="K97" s="676" t="s">
        <v>395</v>
      </c>
      <c r="L97" s="680">
        <v>0</v>
      </c>
      <c r="M97" s="681">
        <v>1</v>
      </c>
      <c r="N97" s="682">
        <v>1.5051158607595139</v>
      </c>
      <c r="O97" s="684" t="s">
        <v>1271</v>
      </c>
      <c r="P97" s="680">
        <v>1.1916502301117687E-4</v>
      </c>
      <c r="Q97" s="681">
        <v>1</v>
      </c>
      <c r="R97" s="682">
        <v>1.5051158607595139</v>
      </c>
      <c r="S97" s="684" t="s">
        <v>1271</v>
      </c>
      <c r="T97" s="680">
        <v>0</v>
      </c>
      <c r="U97" s="681">
        <v>1</v>
      </c>
      <c r="V97" s="682">
        <v>1.5051158607595139</v>
      </c>
      <c r="W97" s="684" t="s">
        <v>1271</v>
      </c>
      <c r="X97" s="680">
        <v>1.1916502301117687E-4</v>
      </c>
      <c r="Y97" s="681">
        <v>1</v>
      </c>
      <c r="Z97" s="682">
        <v>1.5051158607595139</v>
      </c>
      <c r="AA97" s="684" t="s">
        <v>1271</v>
      </c>
      <c r="AB97" s="680">
        <v>0</v>
      </c>
      <c r="AC97" s="681">
        <v>1</v>
      </c>
      <c r="AD97" s="682">
        <v>1.5051158607595139</v>
      </c>
      <c r="AE97" s="684" t="s">
        <v>1271</v>
      </c>
      <c r="AF97" s="680">
        <v>1.1916502301117687E-4</v>
      </c>
      <c r="AG97" s="681">
        <v>1</v>
      </c>
      <c r="AH97" s="682">
        <v>1.5051158607595139</v>
      </c>
      <c r="AI97" s="684" t="s">
        <v>1271</v>
      </c>
      <c r="AJ97" s="680">
        <v>0</v>
      </c>
      <c r="AK97" s="681">
        <v>1</v>
      </c>
      <c r="AL97" s="682">
        <v>1.5051158607595139</v>
      </c>
      <c r="AM97" s="684" t="s">
        <v>1271</v>
      </c>
      <c r="AN97" s="680">
        <v>1.1916502301117687E-4</v>
      </c>
      <c r="AO97" s="681">
        <v>1</v>
      </c>
      <c r="AP97" s="682">
        <v>1.5051158607595139</v>
      </c>
      <c r="AQ97" s="684" t="s">
        <v>1271</v>
      </c>
      <c r="AR97" s="684"/>
      <c r="AS97" s="680">
        <v>1.1916502301117687E-4</v>
      </c>
      <c r="AT97" s="681">
        <v>1</v>
      </c>
      <c r="AU97" s="682">
        <v>1.5051158607595139</v>
      </c>
      <c r="AV97" s="684" t="s">
        <v>1271</v>
      </c>
      <c r="AW97" s="684"/>
    </row>
    <row r="98" spans="1:49" s="689" customFormat="1" ht="21.75" customHeight="1">
      <c r="A98" s="693">
        <v>826</v>
      </c>
      <c r="B98" s="671" t="s">
        <v>525</v>
      </c>
      <c r="C98" s="672" t="s">
        <v>525</v>
      </c>
      <c r="D98" s="673" t="s">
        <v>402</v>
      </c>
      <c r="E98" s="674" t="s">
        <v>527</v>
      </c>
      <c r="F98" s="675" t="s">
        <v>996</v>
      </c>
      <c r="G98" s="676" t="s">
        <v>402</v>
      </c>
      <c r="H98" s="677" t="s">
        <v>325</v>
      </c>
      <c r="I98" s="715" t="s">
        <v>685</v>
      </c>
      <c r="J98" s="679" t="s">
        <v>402</v>
      </c>
      <c r="K98" s="676" t="s">
        <v>395</v>
      </c>
      <c r="L98" s="680">
        <v>0</v>
      </c>
      <c r="M98" s="681">
        <v>1</v>
      </c>
      <c r="N98" s="682">
        <v>1.5051158607595139</v>
      </c>
      <c r="O98" s="684" t="s">
        <v>1271</v>
      </c>
      <c r="P98" s="680">
        <v>1.2409598948060487E-2</v>
      </c>
      <c r="Q98" s="681">
        <v>1</v>
      </c>
      <c r="R98" s="682">
        <v>1.5051158607595139</v>
      </c>
      <c r="S98" s="684" t="s">
        <v>1271</v>
      </c>
      <c r="T98" s="680">
        <v>0</v>
      </c>
      <c r="U98" s="681">
        <v>1</v>
      </c>
      <c r="V98" s="682">
        <v>1.5051158607595139</v>
      </c>
      <c r="W98" s="684" t="s">
        <v>1271</v>
      </c>
      <c r="X98" s="680">
        <v>1.2409598948060487E-2</v>
      </c>
      <c r="Y98" s="681">
        <v>1</v>
      </c>
      <c r="Z98" s="682">
        <v>1.5051158607595139</v>
      </c>
      <c r="AA98" s="684" t="s">
        <v>1271</v>
      </c>
      <c r="AB98" s="680">
        <v>0</v>
      </c>
      <c r="AC98" s="681">
        <v>1</v>
      </c>
      <c r="AD98" s="682">
        <v>1.5051158607595139</v>
      </c>
      <c r="AE98" s="684" t="s">
        <v>1271</v>
      </c>
      <c r="AF98" s="680">
        <v>1.2409598948060487E-2</v>
      </c>
      <c r="AG98" s="681">
        <v>1</v>
      </c>
      <c r="AH98" s="682">
        <v>1.5051158607595139</v>
      </c>
      <c r="AI98" s="684" t="s">
        <v>1271</v>
      </c>
      <c r="AJ98" s="680">
        <v>0</v>
      </c>
      <c r="AK98" s="681">
        <v>1</v>
      </c>
      <c r="AL98" s="682">
        <v>1.5051158607595139</v>
      </c>
      <c r="AM98" s="684" t="s">
        <v>1271</v>
      </c>
      <c r="AN98" s="680">
        <v>1.2409598948060487E-2</v>
      </c>
      <c r="AO98" s="681">
        <v>1</v>
      </c>
      <c r="AP98" s="682">
        <v>1.5051158607595139</v>
      </c>
      <c r="AQ98" s="684" t="s">
        <v>1271</v>
      </c>
      <c r="AR98" s="684" t="s">
        <v>578</v>
      </c>
      <c r="AS98" s="680">
        <v>1.2409598948060487E-2</v>
      </c>
      <c r="AT98" s="681">
        <v>1</v>
      </c>
      <c r="AU98" s="682">
        <v>1.5051158607595139</v>
      </c>
      <c r="AV98" s="684" t="s">
        <v>1271</v>
      </c>
      <c r="AW98" s="684"/>
    </row>
    <row r="99" spans="1:49" s="689" customFormat="1" ht="21.75" customHeight="1">
      <c r="A99" s="693">
        <v>826</v>
      </c>
      <c r="B99" s="671" t="s">
        <v>525</v>
      </c>
      <c r="C99" s="672" t="s">
        <v>525</v>
      </c>
      <c r="D99" s="673" t="s">
        <v>402</v>
      </c>
      <c r="E99" s="674" t="s">
        <v>527</v>
      </c>
      <c r="F99" s="675" t="s">
        <v>996</v>
      </c>
      <c r="G99" s="676" t="s">
        <v>402</v>
      </c>
      <c r="H99" s="677" t="s">
        <v>325</v>
      </c>
      <c r="I99" s="715" t="s">
        <v>685</v>
      </c>
      <c r="J99" s="679" t="s">
        <v>402</v>
      </c>
      <c r="K99" s="676" t="s">
        <v>395</v>
      </c>
      <c r="L99" s="680">
        <v>0</v>
      </c>
      <c r="M99" s="681">
        <v>1</v>
      </c>
      <c r="N99" s="682">
        <v>1.5051158607595139</v>
      </c>
      <c r="O99" s="684" t="s">
        <v>1271</v>
      </c>
      <c r="P99" s="680">
        <v>3.6406969099276789E-3</v>
      </c>
      <c r="Q99" s="681">
        <v>1</v>
      </c>
      <c r="R99" s="682">
        <v>1.5051158607595139</v>
      </c>
      <c r="S99" s="684" t="s">
        <v>1271</v>
      </c>
      <c r="T99" s="680">
        <v>0</v>
      </c>
      <c r="U99" s="681">
        <v>1</v>
      </c>
      <c r="V99" s="682">
        <v>1.5051158607595139</v>
      </c>
      <c r="W99" s="684" t="s">
        <v>1271</v>
      </c>
      <c r="X99" s="680">
        <v>3.6406969099276789E-3</v>
      </c>
      <c r="Y99" s="681">
        <v>1</v>
      </c>
      <c r="Z99" s="682">
        <v>1.5051158607595139</v>
      </c>
      <c r="AA99" s="684" t="s">
        <v>1271</v>
      </c>
      <c r="AB99" s="680">
        <v>0</v>
      </c>
      <c r="AC99" s="681">
        <v>1</v>
      </c>
      <c r="AD99" s="682">
        <v>1.5051158607595139</v>
      </c>
      <c r="AE99" s="684" t="s">
        <v>1271</v>
      </c>
      <c r="AF99" s="680">
        <v>3.6406969099276789E-3</v>
      </c>
      <c r="AG99" s="681">
        <v>1</v>
      </c>
      <c r="AH99" s="682">
        <v>1.5051158607595139</v>
      </c>
      <c r="AI99" s="684" t="s">
        <v>1271</v>
      </c>
      <c r="AJ99" s="680">
        <v>0</v>
      </c>
      <c r="AK99" s="681">
        <v>1</v>
      </c>
      <c r="AL99" s="682">
        <v>1.5051158607595139</v>
      </c>
      <c r="AM99" s="684" t="s">
        <v>1271</v>
      </c>
      <c r="AN99" s="680">
        <v>3.6406969099276789E-3</v>
      </c>
      <c r="AO99" s="681">
        <v>1</v>
      </c>
      <c r="AP99" s="682">
        <v>1.5051158607595139</v>
      </c>
      <c r="AQ99" s="684" t="s">
        <v>1271</v>
      </c>
      <c r="AR99" s="684" t="s">
        <v>1131</v>
      </c>
      <c r="AS99" s="680">
        <v>3.6406969099276789E-3</v>
      </c>
      <c r="AT99" s="681">
        <v>1</v>
      </c>
      <c r="AU99" s="682">
        <v>1.5051158607595139</v>
      </c>
      <c r="AV99" s="684" t="s">
        <v>1271</v>
      </c>
      <c r="AW99" s="684"/>
    </row>
    <row r="100" spans="1:49" s="689" customFormat="1" ht="21.75" customHeight="1">
      <c r="A100" s="693">
        <v>2850</v>
      </c>
      <c r="B100" s="671" t="s">
        <v>525</v>
      </c>
      <c r="C100" s="672" t="s">
        <v>525</v>
      </c>
      <c r="D100" s="673" t="s">
        <v>402</v>
      </c>
      <c r="E100" s="674" t="s">
        <v>527</v>
      </c>
      <c r="F100" s="675" t="s">
        <v>335</v>
      </c>
      <c r="G100" s="676" t="s">
        <v>402</v>
      </c>
      <c r="H100" s="677" t="s">
        <v>211</v>
      </c>
      <c r="I100" s="715" t="s">
        <v>686</v>
      </c>
      <c r="J100" s="679" t="s">
        <v>402</v>
      </c>
      <c r="K100" s="676" t="s">
        <v>395</v>
      </c>
      <c r="L100" s="680">
        <v>0</v>
      </c>
      <c r="M100" s="681">
        <v>1</v>
      </c>
      <c r="N100" s="682">
        <v>5.0043075231704233</v>
      </c>
      <c r="O100" s="684" t="s">
        <v>1271</v>
      </c>
      <c r="P100" s="680">
        <v>0</v>
      </c>
      <c r="Q100" s="681">
        <v>1</v>
      </c>
      <c r="R100" s="682">
        <v>5.0043075231704233</v>
      </c>
      <c r="S100" s="684" t="s">
        <v>1271</v>
      </c>
      <c r="T100" s="680">
        <v>0</v>
      </c>
      <c r="U100" s="681">
        <v>1</v>
      </c>
      <c r="V100" s="682">
        <v>5.0043075231704233</v>
      </c>
      <c r="W100" s="684" t="s">
        <v>1271</v>
      </c>
      <c r="X100" s="680">
        <v>0</v>
      </c>
      <c r="Y100" s="681">
        <v>1</v>
      </c>
      <c r="Z100" s="682">
        <v>5.0043075231704233</v>
      </c>
      <c r="AA100" s="684" t="s">
        <v>1271</v>
      </c>
      <c r="AB100" s="680">
        <v>0</v>
      </c>
      <c r="AC100" s="681">
        <v>1</v>
      </c>
      <c r="AD100" s="682">
        <v>5.0043075231704233</v>
      </c>
      <c r="AE100" s="684" t="s">
        <v>1271</v>
      </c>
      <c r="AF100" s="680">
        <v>0</v>
      </c>
      <c r="AG100" s="681">
        <v>1</v>
      </c>
      <c r="AH100" s="682">
        <v>5.0043075231704233</v>
      </c>
      <c r="AI100" s="684" t="s">
        <v>1271</v>
      </c>
      <c r="AJ100" s="680">
        <v>0</v>
      </c>
      <c r="AK100" s="681">
        <v>1</v>
      </c>
      <c r="AL100" s="682">
        <v>5.0043075231704233</v>
      </c>
      <c r="AM100" s="684" t="s">
        <v>1271</v>
      </c>
      <c r="AN100" s="680">
        <v>0</v>
      </c>
      <c r="AO100" s="681">
        <v>1</v>
      </c>
      <c r="AP100" s="682">
        <v>5.0043075231704233</v>
      </c>
      <c r="AQ100" s="684" t="s">
        <v>1271</v>
      </c>
      <c r="AR100" s="684"/>
      <c r="AS100" s="680">
        <v>0</v>
      </c>
      <c r="AT100" s="681">
        <v>1</v>
      </c>
      <c r="AU100" s="682">
        <v>5.0043075231704233</v>
      </c>
      <c r="AV100" s="684" t="s">
        <v>1271</v>
      </c>
      <c r="AW100" s="684"/>
    </row>
    <row r="101" spans="1:49" s="689" customFormat="1" ht="21.75" customHeight="1">
      <c r="A101" s="693">
        <v>2715</v>
      </c>
      <c r="B101" s="671" t="s">
        <v>525</v>
      </c>
      <c r="C101" s="672" t="s">
        <v>525</v>
      </c>
      <c r="D101" s="673" t="s">
        <v>402</v>
      </c>
      <c r="E101" s="674" t="s">
        <v>527</v>
      </c>
      <c r="F101" s="675" t="s">
        <v>1001</v>
      </c>
      <c r="G101" s="676" t="s">
        <v>402</v>
      </c>
      <c r="H101" s="677" t="s">
        <v>211</v>
      </c>
      <c r="I101" s="715" t="s">
        <v>686</v>
      </c>
      <c r="J101" s="679" t="s">
        <v>402</v>
      </c>
      <c r="K101" s="676" t="s">
        <v>395</v>
      </c>
      <c r="L101" s="680">
        <v>0</v>
      </c>
      <c r="M101" s="681">
        <v>1</v>
      </c>
      <c r="N101" s="682">
        <v>5.0043075231704233</v>
      </c>
      <c r="O101" s="684" t="s">
        <v>1271</v>
      </c>
      <c r="P101" s="680">
        <v>0</v>
      </c>
      <c r="Q101" s="681">
        <v>1</v>
      </c>
      <c r="R101" s="682">
        <v>5.0043075231704233</v>
      </c>
      <c r="S101" s="684" t="s">
        <v>1271</v>
      </c>
      <c r="T101" s="680">
        <v>0</v>
      </c>
      <c r="U101" s="681">
        <v>1</v>
      </c>
      <c r="V101" s="682">
        <v>5.0043075231704233</v>
      </c>
      <c r="W101" s="684" t="s">
        <v>1271</v>
      </c>
      <c r="X101" s="680">
        <v>0</v>
      </c>
      <c r="Y101" s="681">
        <v>1</v>
      </c>
      <c r="Z101" s="682">
        <v>5.0043075231704233</v>
      </c>
      <c r="AA101" s="684" t="s">
        <v>1271</v>
      </c>
      <c r="AB101" s="680">
        <v>0</v>
      </c>
      <c r="AC101" s="681">
        <v>1</v>
      </c>
      <c r="AD101" s="682">
        <v>5.0043075231704233</v>
      </c>
      <c r="AE101" s="684" t="s">
        <v>1271</v>
      </c>
      <c r="AF101" s="680">
        <v>0</v>
      </c>
      <c r="AG101" s="681">
        <v>1</v>
      </c>
      <c r="AH101" s="682">
        <v>5.0043075231704233</v>
      </c>
      <c r="AI101" s="684" t="s">
        <v>1271</v>
      </c>
      <c r="AJ101" s="680">
        <v>0</v>
      </c>
      <c r="AK101" s="681">
        <v>1</v>
      </c>
      <c r="AL101" s="682">
        <v>5.0043075231704233</v>
      </c>
      <c r="AM101" s="684" t="s">
        <v>1271</v>
      </c>
      <c r="AN101" s="680">
        <v>0</v>
      </c>
      <c r="AO101" s="681">
        <v>1</v>
      </c>
      <c r="AP101" s="682">
        <v>5.0043075231704233</v>
      </c>
      <c r="AQ101" s="684" t="s">
        <v>1271</v>
      </c>
      <c r="AR101" s="684"/>
      <c r="AS101" s="680">
        <v>0</v>
      </c>
      <c r="AT101" s="681">
        <v>1</v>
      </c>
      <c r="AU101" s="682">
        <v>5.0043075231704233</v>
      </c>
      <c r="AV101" s="684" t="s">
        <v>1271</v>
      </c>
      <c r="AW101" s="684"/>
    </row>
    <row r="102" spans="1:49" s="689" customFormat="1" ht="21.75" customHeight="1">
      <c r="A102" s="693">
        <v>1995</v>
      </c>
      <c r="B102" s="671" t="s">
        <v>525</v>
      </c>
      <c r="C102" s="672" t="s">
        <v>525</v>
      </c>
      <c r="D102" s="673" t="s">
        <v>402</v>
      </c>
      <c r="E102" s="674" t="s">
        <v>527</v>
      </c>
      <c r="F102" s="675" t="s">
        <v>5</v>
      </c>
      <c r="G102" s="676" t="s">
        <v>402</v>
      </c>
      <c r="H102" s="677" t="s">
        <v>211</v>
      </c>
      <c r="I102" s="715" t="s">
        <v>686</v>
      </c>
      <c r="J102" s="679" t="s">
        <v>402</v>
      </c>
      <c r="K102" s="676" t="s">
        <v>395</v>
      </c>
      <c r="L102" s="680">
        <v>0</v>
      </c>
      <c r="M102" s="681">
        <v>1</v>
      </c>
      <c r="N102" s="682">
        <v>3.0037858420674688</v>
      </c>
      <c r="O102" s="684" t="s">
        <v>1271</v>
      </c>
      <c r="P102" s="680">
        <v>0</v>
      </c>
      <c r="Q102" s="681">
        <v>1</v>
      </c>
      <c r="R102" s="682">
        <v>3.0037858420674688</v>
      </c>
      <c r="S102" s="684" t="s">
        <v>1271</v>
      </c>
      <c r="T102" s="680">
        <v>0</v>
      </c>
      <c r="U102" s="681">
        <v>1</v>
      </c>
      <c r="V102" s="682">
        <v>3.0037858420674688</v>
      </c>
      <c r="W102" s="684" t="s">
        <v>1271</v>
      </c>
      <c r="X102" s="680">
        <v>0</v>
      </c>
      <c r="Y102" s="681">
        <v>1</v>
      </c>
      <c r="Z102" s="682">
        <v>3.0037858420674688</v>
      </c>
      <c r="AA102" s="684" t="s">
        <v>1271</v>
      </c>
      <c r="AB102" s="680">
        <v>0</v>
      </c>
      <c r="AC102" s="681">
        <v>1</v>
      </c>
      <c r="AD102" s="682">
        <v>3.0037858420674688</v>
      </c>
      <c r="AE102" s="684" t="s">
        <v>1271</v>
      </c>
      <c r="AF102" s="680">
        <v>0</v>
      </c>
      <c r="AG102" s="681">
        <v>1</v>
      </c>
      <c r="AH102" s="682">
        <v>3.0037858420674688</v>
      </c>
      <c r="AI102" s="684" t="s">
        <v>1271</v>
      </c>
      <c r="AJ102" s="680">
        <v>0</v>
      </c>
      <c r="AK102" s="681">
        <v>1</v>
      </c>
      <c r="AL102" s="682">
        <v>3.0037858420674688</v>
      </c>
      <c r="AM102" s="684" t="s">
        <v>1271</v>
      </c>
      <c r="AN102" s="680">
        <v>0</v>
      </c>
      <c r="AO102" s="681">
        <v>1</v>
      </c>
      <c r="AP102" s="682">
        <v>3.0037858420674688</v>
      </c>
      <c r="AQ102" s="684" t="s">
        <v>1271</v>
      </c>
      <c r="AR102" s="684"/>
      <c r="AS102" s="680">
        <v>0</v>
      </c>
      <c r="AT102" s="681">
        <v>1</v>
      </c>
      <c r="AU102" s="682">
        <v>3.0037858420674688</v>
      </c>
      <c r="AV102" s="684" t="s">
        <v>1271</v>
      </c>
      <c r="AW102" s="684"/>
    </row>
    <row r="103" spans="1:49" s="689" customFormat="1" ht="21.75" customHeight="1">
      <c r="A103" s="693">
        <v>2193</v>
      </c>
      <c r="B103" s="671" t="s">
        <v>525</v>
      </c>
      <c r="C103" s="672" t="s">
        <v>525</v>
      </c>
      <c r="D103" s="673" t="s">
        <v>402</v>
      </c>
      <c r="E103" s="674" t="s">
        <v>527</v>
      </c>
      <c r="F103" s="675" t="s">
        <v>6</v>
      </c>
      <c r="G103" s="676" t="s">
        <v>402</v>
      </c>
      <c r="H103" s="677" t="s">
        <v>211</v>
      </c>
      <c r="I103" s="715" t="s">
        <v>686</v>
      </c>
      <c r="J103" s="679" t="s">
        <v>402</v>
      </c>
      <c r="K103" s="676" t="s">
        <v>395</v>
      </c>
      <c r="L103" s="680">
        <v>0</v>
      </c>
      <c r="M103" s="681">
        <v>1</v>
      </c>
      <c r="N103" s="682">
        <v>1.5051158607595139</v>
      </c>
      <c r="O103" s="684" t="s">
        <v>1271</v>
      </c>
      <c r="P103" s="680">
        <v>0</v>
      </c>
      <c r="Q103" s="681">
        <v>1</v>
      </c>
      <c r="R103" s="682">
        <v>1.5051158607595139</v>
      </c>
      <c r="S103" s="684" t="s">
        <v>1271</v>
      </c>
      <c r="T103" s="680">
        <v>0</v>
      </c>
      <c r="U103" s="681">
        <v>1</v>
      </c>
      <c r="V103" s="682">
        <v>1.5051158607595139</v>
      </c>
      <c r="W103" s="684" t="s">
        <v>1271</v>
      </c>
      <c r="X103" s="680">
        <v>0</v>
      </c>
      <c r="Y103" s="681">
        <v>1</v>
      </c>
      <c r="Z103" s="682">
        <v>1.5051158607595139</v>
      </c>
      <c r="AA103" s="684" t="s">
        <v>1271</v>
      </c>
      <c r="AB103" s="680">
        <v>0</v>
      </c>
      <c r="AC103" s="681">
        <v>1</v>
      </c>
      <c r="AD103" s="682">
        <v>1.5051158607595139</v>
      </c>
      <c r="AE103" s="684" t="s">
        <v>1271</v>
      </c>
      <c r="AF103" s="680">
        <v>0</v>
      </c>
      <c r="AG103" s="681">
        <v>1</v>
      </c>
      <c r="AH103" s="682">
        <v>1.5051158607595139</v>
      </c>
      <c r="AI103" s="684" t="s">
        <v>1271</v>
      </c>
      <c r="AJ103" s="680">
        <v>0</v>
      </c>
      <c r="AK103" s="681">
        <v>1</v>
      </c>
      <c r="AL103" s="682">
        <v>1.5051158607595139</v>
      </c>
      <c r="AM103" s="684" t="s">
        <v>1271</v>
      </c>
      <c r="AN103" s="680">
        <v>0</v>
      </c>
      <c r="AO103" s="681">
        <v>1</v>
      </c>
      <c r="AP103" s="682">
        <v>1.5051158607595139</v>
      </c>
      <c r="AQ103" s="684" t="s">
        <v>1271</v>
      </c>
      <c r="AR103" s="684"/>
      <c r="AS103" s="680">
        <v>0</v>
      </c>
      <c r="AT103" s="681">
        <v>1</v>
      </c>
      <c r="AU103" s="682">
        <v>1.5051158607595139</v>
      </c>
      <c r="AV103" s="684" t="s">
        <v>1271</v>
      </c>
      <c r="AW103" s="684"/>
    </row>
    <row r="104" spans="1:49" s="689" customFormat="1" ht="21.75" customHeight="1">
      <c r="A104" s="693">
        <v>2634</v>
      </c>
      <c r="B104" s="671" t="s">
        <v>525</v>
      </c>
      <c r="C104" s="672" t="s">
        <v>525</v>
      </c>
      <c r="D104" s="673" t="s">
        <v>402</v>
      </c>
      <c r="E104" s="674" t="s">
        <v>527</v>
      </c>
      <c r="F104" s="675" t="s">
        <v>334</v>
      </c>
      <c r="G104" s="676" t="s">
        <v>402</v>
      </c>
      <c r="H104" s="677" t="s">
        <v>211</v>
      </c>
      <c r="I104" s="715" t="s">
        <v>686</v>
      </c>
      <c r="J104" s="679" t="s">
        <v>402</v>
      </c>
      <c r="K104" s="676" t="s">
        <v>395</v>
      </c>
      <c r="L104" s="680">
        <v>0</v>
      </c>
      <c r="M104" s="681">
        <v>1</v>
      </c>
      <c r="N104" s="682">
        <v>1.5051158607595139</v>
      </c>
      <c r="O104" s="684" t="s">
        <v>1271</v>
      </c>
      <c r="P104" s="680">
        <v>0</v>
      </c>
      <c r="Q104" s="681">
        <v>1</v>
      </c>
      <c r="R104" s="682">
        <v>1.5051158607595139</v>
      </c>
      <c r="S104" s="684" t="s">
        <v>1271</v>
      </c>
      <c r="T104" s="680">
        <v>0</v>
      </c>
      <c r="U104" s="681">
        <v>1</v>
      </c>
      <c r="V104" s="682">
        <v>1.5051158607595139</v>
      </c>
      <c r="W104" s="684" t="s">
        <v>1271</v>
      </c>
      <c r="X104" s="680">
        <v>0</v>
      </c>
      <c r="Y104" s="681">
        <v>1</v>
      </c>
      <c r="Z104" s="682">
        <v>1.5051158607595139</v>
      </c>
      <c r="AA104" s="684" t="s">
        <v>1271</v>
      </c>
      <c r="AB104" s="680">
        <v>0</v>
      </c>
      <c r="AC104" s="681">
        <v>1</v>
      </c>
      <c r="AD104" s="682">
        <v>1.5051158607595139</v>
      </c>
      <c r="AE104" s="684" t="s">
        <v>1271</v>
      </c>
      <c r="AF104" s="680">
        <v>0</v>
      </c>
      <c r="AG104" s="681">
        <v>1</v>
      </c>
      <c r="AH104" s="682">
        <v>1.5051158607595139</v>
      </c>
      <c r="AI104" s="684" t="s">
        <v>1271</v>
      </c>
      <c r="AJ104" s="680">
        <v>0</v>
      </c>
      <c r="AK104" s="681">
        <v>1</v>
      </c>
      <c r="AL104" s="682">
        <v>1.5051158607595139</v>
      </c>
      <c r="AM104" s="684" t="s">
        <v>1271</v>
      </c>
      <c r="AN104" s="680">
        <v>0</v>
      </c>
      <c r="AO104" s="681">
        <v>1</v>
      </c>
      <c r="AP104" s="682">
        <v>1.5051158607595139</v>
      </c>
      <c r="AQ104" s="684" t="s">
        <v>1271</v>
      </c>
      <c r="AR104" s="684"/>
      <c r="AS104" s="680">
        <v>0</v>
      </c>
      <c r="AT104" s="681">
        <v>1</v>
      </c>
      <c r="AU104" s="682">
        <v>1.5051158607595139</v>
      </c>
      <c r="AV104" s="684" t="s">
        <v>1271</v>
      </c>
      <c r="AW104" s="684"/>
    </row>
    <row r="105" spans="1:49" s="689" customFormat="1" ht="21.75" customHeight="1">
      <c r="A105" s="693">
        <v>1752</v>
      </c>
      <c r="B105" s="671" t="s">
        <v>525</v>
      </c>
      <c r="C105" s="672" t="s">
        <v>525</v>
      </c>
      <c r="D105" s="673" t="s">
        <v>402</v>
      </c>
      <c r="E105" s="674" t="s">
        <v>527</v>
      </c>
      <c r="F105" s="675" t="s">
        <v>4</v>
      </c>
      <c r="G105" s="676" t="s">
        <v>402</v>
      </c>
      <c r="H105" s="677" t="s">
        <v>211</v>
      </c>
      <c r="I105" s="715" t="s">
        <v>686</v>
      </c>
      <c r="J105" s="679" t="s">
        <v>402</v>
      </c>
      <c r="K105" s="676" t="s">
        <v>395</v>
      </c>
      <c r="L105" s="680">
        <v>0</v>
      </c>
      <c r="M105" s="681">
        <v>1</v>
      </c>
      <c r="N105" s="682">
        <v>1.5051158607595139</v>
      </c>
      <c r="O105" s="684" t="s">
        <v>1271</v>
      </c>
      <c r="P105" s="680">
        <v>0</v>
      </c>
      <c r="Q105" s="681">
        <v>1</v>
      </c>
      <c r="R105" s="682">
        <v>1.5051158607595139</v>
      </c>
      <c r="S105" s="684" t="s">
        <v>1271</v>
      </c>
      <c r="T105" s="680">
        <v>0</v>
      </c>
      <c r="U105" s="681">
        <v>1</v>
      </c>
      <c r="V105" s="682">
        <v>1.5051158607595139</v>
      </c>
      <c r="W105" s="684" t="s">
        <v>1271</v>
      </c>
      <c r="X105" s="680">
        <v>0</v>
      </c>
      <c r="Y105" s="681">
        <v>1</v>
      </c>
      <c r="Z105" s="682">
        <v>1.5051158607595139</v>
      </c>
      <c r="AA105" s="684" t="s">
        <v>1271</v>
      </c>
      <c r="AB105" s="680">
        <v>0</v>
      </c>
      <c r="AC105" s="681">
        <v>1</v>
      </c>
      <c r="AD105" s="682">
        <v>1.5051158607595139</v>
      </c>
      <c r="AE105" s="684" t="s">
        <v>1271</v>
      </c>
      <c r="AF105" s="680">
        <v>0</v>
      </c>
      <c r="AG105" s="681">
        <v>1</v>
      </c>
      <c r="AH105" s="682">
        <v>1.5051158607595139</v>
      </c>
      <c r="AI105" s="684" t="s">
        <v>1271</v>
      </c>
      <c r="AJ105" s="680">
        <v>0</v>
      </c>
      <c r="AK105" s="681">
        <v>1</v>
      </c>
      <c r="AL105" s="682">
        <v>1.5051158607595139</v>
      </c>
      <c r="AM105" s="684" t="s">
        <v>1271</v>
      </c>
      <c r="AN105" s="680">
        <v>0</v>
      </c>
      <c r="AO105" s="681">
        <v>1</v>
      </c>
      <c r="AP105" s="682">
        <v>1.5051158607595139</v>
      </c>
      <c r="AQ105" s="684" t="s">
        <v>1271</v>
      </c>
      <c r="AR105" s="684"/>
      <c r="AS105" s="680">
        <v>0</v>
      </c>
      <c r="AT105" s="681">
        <v>1</v>
      </c>
      <c r="AU105" s="682">
        <v>1.5051158607595139</v>
      </c>
      <c r="AV105" s="684" t="s">
        <v>1271</v>
      </c>
      <c r="AW105" s="684"/>
    </row>
    <row r="106" spans="1:49" outlineLevel="2"/>
    <row r="107" spans="1:49" outlineLevel="2">
      <c r="A107" s="7" t="s">
        <v>1683</v>
      </c>
    </row>
    <row r="109" spans="1:49" s="689" customFormat="1" ht="21.75" customHeight="1">
      <c r="A109" s="693" t="s">
        <v>1126</v>
      </c>
      <c r="B109" s="671" t="s">
        <v>525</v>
      </c>
      <c r="C109" s="672" t="s">
        <v>525</v>
      </c>
      <c r="D109" s="673" t="s">
        <v>526</v>
      </c>
      <c r="E109" s="674" t="s">
        <v>402</v>
      </c>
      <c r="F109" s="675" t="e">
        <v>#N/A</v>
      </c>
      <c r="G109" s="676" t="e">
        <v>#N/A</v>
      </c>
      <c r="H109" s="677" t="s">
        <v>402</v>
      </c>
      <c r="I109" s="715" t="s">
        <v>685</v>
      </c>
      <c r="J109" s="679" t="e">
        <v>#N/A</v>
      </c>
      <c r="K109" s="676" t="e">
        <v>#N/A</v>
      </c>
      <c r="L109" s="680">
        <v>0</v>
      </c>
      <c r="M109" s="681">
        <v>1</v>
      </c>
      <c r="N109" s="682" t="e">
        <v>#N/A</v>
      </c>
      <c r="O109" s="684" t="s">
        <v>1271</v>
      </c>
      <c r="P109" s="680">
        <v>0</v>
      </c>
      <c r="Q109" s="681">
        <v>1</v>
      </c>
      <c r="R109" s="682" t="e">
        <v>#N/A</v>
      </c>
      <c r="S109" s="684" t="s">
        <v>1271</v>
      </c>
      <c r="T109" s="680">
        <v>0</v>
      </c>
      <c r="U109" s="681">
        <v>1</v>
      </c>
      <c r="V109" s="682" t="e">
        <v>#N/A</v>
      </c>
      <c r="W109" s="684" t="s">
        <v>1271</v>
      </c>
      <c r="X109" s="680">
        <v>0</v>
      </c>
      <c r="Y109" s="681">
        <v>1</v>
      </c>
      <c r="Z109" s="682" t="e">
        <v>#N/A</v>
      </c>
      <c r="AA109" s="684" t="s">
        <v>1271</v>
      </c>
      <c r="AB109" s="680">
        <v>0</v>
      </c>
      <c r="AC109" s="681">
        <v>1</v>
      </c>
      <c r="AD109" s="682" t="e">
        <v>#N/A</v>
      </c>
      <c r="AE109" s="684" t="s">
        <v>1271</v>
      </c>
      <c r="AF109" s="680">
        <v>0</v>
      </c>
      <c r="AG109" s="681">
        <v>1</v>
      </c>
      <c r="AH109" s="682" t="e">
        <v>#N/A</v>
      </c>
      <c r="AI109" s="684" t="s">
        <v>1271</v>
      </c>
      <c r="AJ109" s="680">
        <v>0</v>
      </c>
      <c r="AK109" s="681">
        <v>1</v>
      </c>
      <c r="AL109" s="682" t="e">
        <v>#N/A</v>
      </c>
      <c r="AM109" s="684" t="s">
        <v>1271</v>
      </c>
      <c r="AN109" s="680">
        <v>0</v>
      </c>
      <c r="AO109" s="681">
        <v>1</v>
      </c>
      <c r="AP109" s="682" t="e">
        <v>#N/A</v>
      </c>
      <c r="AQ109" s="684" t="s">
        <v>1271</v>
      </c>
      <c r="AR109" s="684"/>
      <c r="AS109" s="680">
        <v>0</v>
      </c>
      <c r="AT109" s="681">
        <v>1</v>
      </c>
      <c r="AU109" s="682" t="e">
        <v>#N/A</v>
      </c>
      <c r="AV109" s="684" t="s">
        <v>1271</v>
      </c>
      <c r="AW109" s="684"/>
    </row>
    <row r="110" spans="1:49" s="689" customFormat="1" ht="21.75" customHeight="1">
      <c r="A110" s="693" t="s">
        <v>1126</v>
      </c>
      <c r="B110" s="671" t="s">
        <v>525</v>
      </c>
      <c r="C110" s="672" t="s">
        <v>525</v>
      </c>
      <c r="D110" s="673" t="s">
        <v>402</v>
      </c>
      <c r="E110" s="674" t="s">
        <v>527</v>
      </c>
      <c r="F110" s="675" t="e">
        <v>#N/A</v>
      </c>
      <c r="G110" s="676" t="s">
        <v>402</v>
      </c>
      <c r="H110" s="677" t="e">
        <v>#N/A</v>
      </c>
      <c r="I110" s="715" t="s">
        <v>685</v>
      </c>
      <c r="J110" s="679" t="s">
        <v>402</v>
      </c>
      <c r="K110" s="676" t="e">
        <v>#N/A</v>
      </c>
      <c r="L110" s="680">
        <v>1988.8231426692964</v>
      </c>
      <c r="M110" s="681">
        <v>1</v>
      </c>
      <c r="N110" s="682" t="e">
        <v>#N/A</v>
      </c>
      <c r="O110" s="684" t="s">
        <v>1271</v>
      </c>
      <c r="P110" s="680">
        <v>1158.7771203155819</v>
      </c>
      <c r="Q110" s="681">
        <v>1</v>
      </c>
      <c r="R110" s="682" t="e">
        <v>#N/A</v>
      </c>
      <c r="S110" s="684" t="s">
        <v>1271</v>
      </c>
      <c r="T110" s="680">
        <v>1988.8231426692964</v>
      </c>
      <c r="U110" s="681">
        <v>1</v>
      </c>
      <c r="V110" s="682" t="e">
        <v>#N/A</v>
      </c>
      <c r="W110" s="684" t="s">
        <v>1271</v>
      </c>
      <c r="X110" s="680">
        <v>1158.7771203155819</v>
      </c>
      <c r="Y110" s="681">
        <v>1</v>
      </c>
      <c r="Z110" s="682" t="e">
        <v>#N/A</v>
      </c>
      <c r="AA110" s="684" t="s">
        <v>1271</v>
      </c>
      <c r="AB110" s="680">
        <v>1988.8231426692964</v>
      </c>
      <c r="AC110" s="681">
        <v>1</v>
      </c>
      <c r="AD110" s="682" t="e">
        <v>#N/A</v>
      </c>
      <c r="AE110" s="684" t="s">
        <v>1271</v>
      </c>
      <c r="AF110" s="680">
        <v>1158.7771203155819</v>
      </c>
      <c r="AG110" s="681">
        <v>1</v>
      </c>
      <c r="AH110" s="682" t="e">
        <v>#N/A</v>
      </c>
      <c r="AI110" s="684" t="s">
        <v>1271</v>
      </c>
      <c r="AJ110" s="680">
        <v>1988.8231426692964</v>
      </c>
      <c r="AK110" s="681">
        <v>1</v>
      </c>
      <c r="AL110" s="682" t="e">
        <v>#N/A</v>
      </c>
      <c r="AM110" s="684" t="s">
        <v>1271</v>
      </c>
      <c r="AN110" s="680">
        <v>1158.7771203155819</v>
      </c>
      <c r="AO110" s="681">
        <v>1</v>
      </c>
      <c r="AP110" s="682" t="e">
        <v>#N/A</v>
      </c>
      <c r="AQ110" s="684" t="s">
        <v>1271</v>
      </c>
      <c r="AR110" s="684"/>
      <c r="AS110" s="680">
        <v>1158.7771203155819</v>
      </c>
      <c r="AT110" s="681">
        <v>1</v>
      </c>
      <c r="AU110" s="682" t="e">
        <v>#N/A</v>
      </c>
      <c r="AV110" s="684" t="s">
        <v>1271</v>
      </c>
      <c r="AW110" s="684"/>
    </row>
    <row r="111" spans="1:49" s="689" customFormat="1" ht="21.75" customHeight="1">
      <c r="A111" s="693" t="s">
        <v>1126</v>
      </c>
      <c r="B111" s="671" t="s">
        <v>525</v>
      </c>
      <c r="C111" s="672" t="s">
        <v>525</v>
      </c>
      <c r="D111" s="673" t="s">
        <v>402</v>
      </c>
      <c r="E111" s="674" t="s">
        <v>527</v>
      </c>
      <c r="F111" s="675" t="e">
        <v>#N/A</v>
      </c>
      <c r="G111" s="676" t="s">
        <v>402</v>
      </c>
      <c r="H111" s="677" t="e">
        <v>#N/A</v>
      </c>
      <c r="I111" s="715" t="s">
        <v>685</v>
      </c>
      <c r="J111" s="679" t="s">
        <v>402</v>
      </c>
      <c r="K111" s="676" t="e">
        <v>#N/A</v>
      </c>
      <c r="L111" s="680">
        <v>521.86061801446419</v>
      </c>
      <c r="M111" s="681">
        <v>1</v>
      </c>
      <c r="N111" s="682" t="e">
        <v>#N/A</v>
      </c>
      <c r="O111" s="684" t="s">
        <v>1271</v>
      </c>
      <c r="P111" s="680">
        <v>302.02169625246546</v>
      </c>
      <c r="Q111" s="681">
        <v>1</v>
      </c>
      <c r="R111" s="682" t="e">
        <v>#N/A</v>
      </c>
      <c r="S111" s="684" t="s">
        <v>1271</v>
      </c>
      <c r="T111" s="680">
        <v>521.86061801446419</v>
      </c>
      <c r="U111" s="681">
        <v>1</v>
      </c>
      <c r="V111" s="682" t="e">
        <v>#N/A</v>
      </c>
      <c r="W111" s="684" t="s">
        <v>1271</v>
      </c>
      <c r="X111" s="680">
        <v>302.02169625246546</v>
      </c>
      <c r="Y111" s="681">
        <v>1</v>
      </c>
      <c r="Z111" s="682" t="e">
        <v>#N/A</v>
      </c>
      <c r="AA111" s="684" t="s">
        <v>1271</v>
      </c>
      <c r="AB111" s="680">
        <v>521.86061801446419</v>
      </c>
      <c r="AC111" s="681">
        <v>1</v>
      </c>
      <c r="AD111" s="682" t="e">
        <v>#N/A</v>
      </c>
      <c r="AE111" s="684" t="s">
        <v>1271</v>
      </c>
      <c r="AF111" s="680">
        <v>302.02169625246546</v>
      </c>
      <c r="AG111" s="681">
        <v>1</v>
      </c>
      <c r="AH111" s="682" t="e">
        <v>#N/A</v>
      </c>
      <c r="AI111" s="684" t="s">
        <v>1271</v>
      </c>
      <c r="AJ111" s="680">
        <v>521.86061801446419</v>
      </c>
      <c r="AK111" s="681">
        <v>1</v>
      </c>
      <c r="AL111" s="682" t="e">
        <v>#N/A</v>
      </c>
      <c r="AM111" s="684" t="s">
        <v>1271</v>
      </c>
      <c r="AN111" s="680">
        <v>302.02169625246546</v>
      </c>
      <c r="AO111" s="681">
        <v>1</v>
      </c>
      <c r="AP111" s="682" t="e">
        <v>#N/A</v>
      </c>
      <c r="AQ111" s="684" t="s">
        <v>1271</v>
      </c>
      <c r="AR111" s="684"/>
      <c r="AS111" s="680">
        <v>302.02169625246546</v>
      </c>
      <c r="AT111" s="681">
        <v>1</v>
      </c>
      <c r="AU111" s="682" t="e">
        <v>#N/A</v>
      </c>
      <c r="AV111" s="684" t="s">
        <v>1271</v>
      </c>
      <c r="AW111" s="684"/>
    </row>
  </sheetData>
  <phoneticPr fontId="0" type="noConversion"/>
  <dataValidations xWindow="871" yWindow="361" count="1">
    <dataValidation allowBlank="1" showInputMessage="1" showErrorMessage="1" prompt="always 1" sqref="P7:P15 L7:L15 AJ7:AJ15 AN7:AN15 AS7:AS15 X7:X15 T7:T15 AF7:AF15 AB7:AB15"/>
  </dataValidations>
  <pageMargins left="0.78740157480314965" right="0.78740157480314965" top="0.98425196850393704" bottom="0.98425196850393704" header="0.51181102362204722" footer="0.51181102362204722"/>
  <pageSetup paperSize="9" scale="75" orientation="portrait" r:id="rId1"/>
  <headerFooter alignWithMargins="0">
    <oddHeader>&amp;A</oddHeader>
    <oddFooter>&amp;L&amp;"Arial,Fett"&amp;F&amp;C&amp;D&amp;RSeite &amp;P</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3">
    <pageSetUpPr fitToPage="1"/>
  </sheetPr>
  <dimension ref="A1:DJ86"/>
  <sheetViews>
    <sheetView topLeftCell="A55" zoomScale="85" zoomScaleNormal="85" workbookViewId="0">
      <selection activeCell="J46" sqref="J46"/>
    </sheetView>
  </sheetViews>
  <sheetFormatPr defaultColWidth="11.42578125" defaultRowHeight="12" outlineLevelRow="2" outlineLevelCol="1"/>
  <cols>
    <col min="1" max="1" width="10.85546875" style="7" customWidth="1"/>
    <col min="2" max="2" width="13.28515625" style="158" customWidth="1"/>
    <col min="3" max="3" width="3.7109375" style="159" hidden="1" customWidth="1" outlineLevel="1"/>
    <col min="4" max="4" width="3.140625" style="7" hidden="1" customWidth="1" outlineLevel="1"/>
    <col min="5" max="5" width="3.42578125" style="7" hidden="1" customWidth="1" outlineLevel="1"/>
    <col min="6" max="6" width="34.7109375" style="8" customWidth="1" collapsed="1"/>
    <col min="7" max="7" width="6" style="7" customWidth="1"/>
    <col min="8" max="8" width="5.7109375" style="7" hidden="1" customWidth="1" outlineLevel="1"/>
    <col min="9" max="9" width="19.42578125" style="7" hidden="1" customWidth="1" outlineLevel="1"/>
    <col min="10" max="10" width="3.28515625" style="7" customWidth="1" collapsed="1"/>
    <col min="11" max="11" width="5.140625" style="7" customWidth="1"/>
    <col min="12" max="12" width="11.42578125" style="8" customWidth="1" collapsed="1"/>
    <col min="13" max="13" width="2.42578125" style="33" hidden="1" customWidth="1" outlineLevel="1"/>
    <col min="14" max="14" width="4.28515625" style="33" hidden="1" customWidth="1" outlineLevel="1"/>
    <col min="15" max="15" width="30.85546875" style="33" hidden="1" customWidth="1" outlineLevel="1"/>
    <col min="16" max="16" width="11.42578125" style="8" customWidth="1" collapsed="1"/>
    <col min="17" max="17" width="2.42578125" style="33" hidden="1" customWidth="1" outlineLevel="1"/>
    <col min="18" max="18" width="4.28515625" style="33" hidden="1" customWidth="1" outlineLevel="1"/>
    <col min="19" max="19" width="30.85546875" style="33" hidden="1" customWidth="1" outlineLevel="1"/>
    <col min="20" max="20" width="11.42578125" style="8" customWidth="1" collapsed="1"/>
    <col min="21" max="21" width="2.42578125" style="33" hidden="1" customWidth="1" outlineLevel="1"/>
    <col min="22" max="22" width="4.28515625" style="33" hidden="1" customWidth="1" outlineLevel="1"/>
    <col min="23" max="23" width="30.85546875" style="33" hidden="1" customWidth="1" outlineLevel="1"/>
    <col min="24" max="24" width="11.42578125" style="8" customWidth="1" collapsed="1"/>
    <col min="25" max="25" width="2.42578125" style="33" hidden="1" customWidth="1" outlineLevel="1"/>
    <col min="26" max="26" width="4.28515625" style="33" hidden="1" customWidth="1" outlineLevel="1"/>
    <col min="27" max="27" width="30.85546875" style="33" hidden="1" customWidth="1" outlineLevel="1"/>
    <col min="28" max="28" width="11.42578125" style="8" customWidth="1" collapsed="1"/>
    <col min="29" max="29" width="2.42578125" style="33" hidden="1" customWidth="1" outlineLevel="1"/>
    <col min="30" max="30" width="4.28515625" style="33" hidden="1" customWidth="1" outlineLevel="1"/>
    <col min="31" max="31" width="30.85546875" style="33" hidden="1" customWidth="1" outlineLevel="1"/>
    <col min="32" max="32" width="11.42578125" style="8" customWidth="1" collapsed="1"/>
    <col min="33" max="33" width="2.42578125" style="33" hidden="1" customWidth="1" outlineLevel="1"/>
    <col min="34" max="34" width="4.28515625" style="33" hidden="1" customWidth="1" outlineLevel="1"/>
    <col min="35" max="35" width="30.85546875" style="33" hidden="1" customWidth="1" outlineLevel="1"/>
    <col min="36" max="36" width="11.42578125" style="8" customWidth="1" collapsed="1"/>
    <col min="37" max="37" width="2.42578125" style="33" hidden="1" customWidth="1" outlineLevel="1"/>
    <col min="38" max="38" width="5.140625" style="33" hidden="1" customWidth="1" outlineLevel="1"/>
    <col min="39" max="39" width="30.85546875" style="33" hidden="1" customWidth="1" outlineLevel="1"/>
    <col min="40" max="40" width="11.42578125" style="8" customWidth="1" collapsed="1"/>
    <col min="41" max="41" width="2.42578125" style="33" hidden="1" customWidth="1" outlineLevel="1"/>
    <col min="42" max="42" width="4.28515625" style="33" hidden="1" customWidth="1" outlineLevel="1"/>
    <col min="43" max="43" width="30.85546875" style="33" hidden="1" customWidth="1" outlineLevel="1"/>
    <col min="44" max="44" width="11.42578125" style="8" customWidth="1" collapsed="1"/>
    <col min="45" max="45" width="2.42578125" style="33" hidden="1" customWidth="1" outlineLevel="1"/>
    <col min="46" max="46" width="4.28515625" style="33" hidden="1" customWidth="1" outlineLevel="1"/>
    <col min="47" max="47" width="30.85546875" style="33" hidden="1" customWidth="1" outlineLevel="1"/>
    <col min="48" max="48" width="11.42578125" style="8" customWidth="1" collapsed="1"/>
    <col min="49" max="49" width="2.42578125" style="33" hidden="1" customWidth="1" outlineLevel="1"/>
    <col min="50" max="50" width="4.28515625" style="33" hidden="1" customWidth="1" outlineLevel="1"/>
    <col min="51" max="51" width="30.85546875" style="33" hidden="1" customWidth="1" outlineLevel="1"/>
    <col min="52" max="52" width="11.42578125" style="8" customWidth="1" collapsed="1"/>
    <col min="53" max="53" width="2.42578125" style="33" hidden="1" customWidth="1" outlineLevel="1"/>
    <col min="54" max="54" width="4.28515625" style="33" hidden="1" customWidth="1" outlineLevel="1"/>
    <col min="55" max="55" width="30.85546875" style="33" hidden="1" customWidth="1" outlineLevel="1"/>
    <col min="56" max="56" width="11.42578125" style="8" customWidth="1" collapsed="1"/>
    <col min="57" max="57" width="2.42578125" style="33" hidden="1" customWidth="1" outlineLevel="1"/>
    <col min="58" max="58" width="4.28515625" style="33" hidden="1" customWidth="1" outlineLevel="1"/>
    <col min="59" max="59" width="30.85546875" style="33" hidden="1" customWidth="1" outlineLevel="1"/>
    <col min="60" max="60" width="13" style="8" customWidth="1" collapsed="1"/>
    <col min="61" max="61" width="2.42578125" style="33" hidden="1" customWidth="1" outlineLevel="1"/>
    <col min="62" max="62" width="4.28515625" style="33" hidden="1" customWidth="1" outlineLevel="1"/>
    <col min="63" max="63" width="34.85546875" style="33" hidden="1" customWidth="1" outlineLevel="1"/>
    <col min="64" max="64" width="12.85546875" style="8" customWidth="1" collapsed="1"/>
    <col min="65" max="65" width="2.42578125" style="33" hidden="1" customWidth="1" outlineLevel="1"/>
    <col min="66" max="66" width="4.7109375" style="33" hidden="1" customWidth="1" outlineLevel="1"/>
    <col min="67" max="67" width="38" style="33" hidden="1" customWidth="1" outlineLevel="1"/>
    <col min="68" max="68" width="11.42578125" style="8" collapsed="1"/>
    <col min="69" max="69" width="2.42578125" style="33" hidden="1" customWidth="1" outlineLevel="1"/>
    <col min="70" max="70" width="4.28515625" style="33" hidden="1" customWidth="1" outlineLevel="1"/>
    <col min="71" max="71" width="30.85546875" style="33" hidden="1" customWidth="1" outlineLevel="1"/>
    <col min="72" max="72" width="11.42578125" style="8" customWidth="1" collapsed="1"/>
    <col min="73" max="73" width="3.140625" style="33" hidden="1" customWidth="1" outlineLevel="1"/>
    <col min="74" max="74" width="4.28515625" style="33" hidden="1" customWidth="1" outlineLevel="1"/>
    <col min="75" max="75" width="30.85546875" style="33" hidden="1" customWidth="1" outlineLevel="1"/>
    <col min="76" max="76" width="15.5703125" style="261" customWidth="1" collapsed="1"/>
    <col min="77" max="77" width="12.5703125" style="7" customWidth="1"/>
    <col min="78" max="78" width="3.140625" style="140" hidden="1" customWidth="1" outlineLevel="1"/>
    <col min="79" max="79" width="4.28515625" style="140" hidden="1" customWidth="1" outlineLevel="1"/>
    <col min="80" max="80" width="30.85546875" style="140" hidden="1" customWidth="1" outlineLevel="1"/>
    <col min="81" max="81" width="12" style="7" customWidth="1" collapsed="1"/>
    <col min="82" max="82" width="2.42578125" style="140" hidden="1" customWidth="1" outlineLevel="1"/>
    <col min="83" max="83" width="5.140625" style="140" hidden="1" customWidth="1" outlineLevel="1"/>
    <col min="84" max="84" width="63.42578125" style="140" hidden="1" customWidth="1" outlineLevel="1"/>
    <col min="85" max="85" width="7.7109375" style="174" customWidth="1" collapsed="1"/>
    <col min="86" max="86" width="7.7109375" style="174" customWidth="1"/>
    <col min="87" max="88" width="7.7109375" style="225" customWidth="1"/>
    <col min="89" max="89" width="7.7109375" style="174" customWidth="1"/>
    <col min="90" max="90" width="11.5703125" style="225" hidden="1" customWidth="1" outlineLevel="1"/>
    <col min="91" max="91" width="14.5703125" style="225" customWidth="1" collapsed="1"/>
    <col min="92" max="92" width="22.42578125" style="692" customWidth="1"/>
    <col min="93" max="93" width="38" style="79" customWidth="1"/>
    <col min="94" max="94" width="4" style="47" bestFit="1" customWidth="1"/>
    <col min="95" max="95" width="6.28515625" style="39" bestFit="1" customWidth="1"/>
    <col min="96" max="96" width="5.85546875" style="39" bestFit="1" customWidth="1"/>
    <col min="97" max="97" width="4.7109375" style="39" bestFit="1" customWidth="1"/>
    <col min="98" max="98" width="5.28515625" style="39" bestFit="1" customWidth="1"/>
    <col min="99" max="99" width="5.85546875" style="39" bestFit="1" customWidth="1"/>
    <col min="100" max="101" width="6.85546875" style="39" bestFit="1" customWidth="1"/>
    <col min="102" max="102" width="8.28515625" style="39" bestFit="1" customWidth="1"/>
    <col min="103" max="103" width="9.140625" style="39" bestFit="1" customWidth="1"/>
    <col min="104" max="104" width="12.140625" style="39" customWidth="1"/>
    <col min="105" max="107" width="5.42578125" style="7" customWidth="1"/>
    <col min="108" max="108" width="5.85546875" style="7" customWidth="1"/>
    <col min="109" max="109" width="5.42578125" style="7" customWidth="1"/>
    <col min="110" max="110" width="5.28515625" style="7" customWidth="1"/>
    <col min="111" max="112" width="11.42578125" style="7"/>
    <col min="115" max="16384" width="11.42578125" style="7"/>
  </cols>
  <sheetData>
    <row r="1" spans="1:110">
      <c r="A1" s="36"/>
      <c r="B1" s="34"/>
      <c r="C1" s="35"/>
      <c r="D1" s="36"/>
      <c r="E1" s="36"/>
      <c r="F1" s="37" t="s">
        <v>510</v>
      </c>
      <c r="G1" s="36"/>
      <c r="H1" s="36"/>
      <c r="I1" s="36"/>
      <c r="J1" s="36"/>
      <c r="K1" s="36"/>
      <c r="L1" s="293" t="s">
        <v>763</v>
      </c>
      <c r="M1" s="324"/>
      <c r="N1" s="324"/>
      <c r="O1" s="324"/>
      <c r="P1" s="293" t="s">
        <v>762</v>
      </c>
      <c r="Q1" s="324"/>
      <c r="R1" s="324"/>
      <c r="S1" s="324"/>
      <c r="T1" s="293" t="s">
        <v>781</v>
      </c>
      <c r="U1" s="324"/>
      <c r="V1" s="324"/>
      <c r="W1" s="324"/>
      <c r="X1" s="293" t="s">
        <v>780</v>
      </c>
      <c r="Y1" s="324"/>
      <c r="Z1" s="324"/>
      <c r="AA1" s="324"/>
      <c r="AB1" s="726" t="s">
        <v>890</v>
      </c>
      <c r="AC1" s="324"/>
      <c r="AD1" s="324"/>
      <c r="AE1" s="324"/>
      <c r="AF1" s="726" t="s">
        <v>889</v>
      </c>
      <c r="AG1" s="324"/>
      <c r="AH1" s="324"/>
      <c r="AI1" s="324"/>
      <c r="AJ1" s="726" t="s">
        <v>892</v>
      </c>
      <c r="AK1" s="324"/>
      <c r="AL1" s="324"/>
      <c r="AM1" s="324"/>
      <c r="AN1" s="726" t="s">
        <v>891</v>
      </c>
      <c r="AO1" s="324"/>
      <c r="AP1" s="324"/>
      <c r="AQ1" s="324"/>
      <c r="AR1" s="726" t="s">
        <v>894</v>
      </c>
      <c r="AS1" s="324"/>
      <c r="AT1" s="324"/>
      <c r="AU1" s="324"/>
      <c r="AV1" s="726" t="s">
        <v>893</v>
      </c>
      <c r="AW1" s="324"/>
      <c r="AX1" s="324"/>
      <c r="AY1" s="324"/>
      <c r="AZ1" s="726" t="s">
        <v>896</v>
      </c>
      <c r="BA1" s="324"/>
      <c r="BB1" s="324"/>
      <c r="BC1" s="324"/>
      <c r="BD1" s="726" t="s">
        <v>895</v>
      </c>
      <c r="BE1" s="324"/>
      <c r="BF1" s="324"/>
      <c r="BG1" s="324"/>
      <c r="BH1" s="293">
        <v>1623</v>
      </c>
      <c r="BI1" s="324"/>
      <c r="BJ1" s="324"/>
      <c r="BK1" s="324"/>
      <c r="BL1" s="293">
        <v>1624</v>
      </c>
      <c r="BM1" s="324"/>
      <c r="BN1" s="324"/>
      <c r="BO1" s="324"/>
      <c r="BP1" s="293">
        <v>1521</v>
      </c>
      <c r="BQ1" s="324"/>
      <c r="BR1" s="324"/>
      <c r="BS1" s="324"/>
      <c r="BT1" s="293">
        <v>1522</v>
      </c>
      <c r="BU1" s="324"/>
      <c r="BV1" s="324"/>
      <c r="BW1" s="324"/>
      <c r="BY1" s="157">
        <v>32063</v>
      </c>
      <c r="BZ1" s="22"/>
      <c r="CA1" s="22"/>
      <c r="CB1" s="22"/>
      <c r="CC1" s="122">
        <v>32065</v>
      </c>
      <c r="CD1" s="22"/>
      <c r="CE1" s="22"/>
      <c r="CF1" s="22"/>
      <c r="CG1" s="198"/>
      <c r="CH1" s="198"/>
      <c r="CI1" s="224"/>
      <c r="CJ1" s="224"/>
      <c r="CK1" s="198"/>
      <c r="CL1" s="224"/>
      <c r="CM1" s="229"/>
      <c r="CN1" s="229"/>
      <c r="CP1" s="80"/>
      <c r="CQ1" s="81"/>
      <c r="CR1" s="81"/>
      <c r="CS1" s="81"/>
      <c r="CT1" s="81"/>
      <c r="CU1" s="81"/>
    </row>
    <row r="2" spans="1:110" ht="60">
      <c r="A2" s="36"/>
      <c r="B2" s="147"/>
      <c r="C2" s="35" t="s">
        <v>511</v>
      </c>
      <c r="D2" s="147">
        <v>3503</v>
      </c>
      <c r="E2" s="147">
        <v>3504</v>
      </c>
      <c r="F2" s="147">
        <v>3702</v>
      </c>
      <c r="G2" s="147">
        <v>3703</v>
      </c>
      <c r="H2" s="147">
        <v>3506</v>
      </c>
      <c r="I2" s="147">
        <v>3507</v>
      </c>
      <c r="J2" s="147">
        <v>3508</v>
      </c>
      <c r="K2" s="147">
        <v>3706</v>
      </c>
      <c r="L2" s="147">
        <v>3707</v>
      </c>
      <c r="M2" s="23">
        <v>3708</v>
      </c>
      <c r="N2" s="23">
        <v>3709</v>
      </c>
      <c r="O2" s="24">
        <v>3792</v>
      </c>
      <c r="P2" s="147">
        <v>3707</v>
      </c>
      <c r="Q2" s="23">
        <v>3708</v>
      </c>
      <c r="R2" s="23">
        <v>3709</v>
      </c>
      <c r="S2" s="24">
        <v>3792</v>
      </c>
      <c r="T2" s="147">
        <v>3707</v>
      </c>
      <c r="U2" s="23">
        <v>3708</v>
      </c>
      <c r="V2" s="23">
        <v>3709</v>
      </c>
      <c r="W2" s="24">
        <v>3792</v>
      </c>
      <c r="X2" s="147">
        <v>3707</v>
      </c>
      <c r="Y2" s="23">
        <v>3708</v>
      </c>
      <c r="Z2" s="23">
        <v>3709</v>
      </c>
      <c r="AA2" s="24">
        <v>3792</v>
      </c>
      <c r="AB2" s="147">
        <v>3707</v>
      </c>
      <c r="AC2" s="23">
        <v>3708</v>
      </c>
      <c r="AD2" s="23">
        <v>3709</v>
      </c>
      <c r="AE2" s="24">
        <v>3792</v>
      </c>
      <c r="AF2" s="147">
        <v>3707</v>
      </c>
      <c r="AG2" s="23">
        <v>3708</v>
      </c>
      <c r="AH2" s="23">
        <v>3709</v>
      </c>
      <c r="AI2" s="24">
        <v>3792</v>
      </c>
      <c r="AJ2" s="147">
        <v>3707</v>
      </c>
      <c r="AK2" s="23">
        <v>3708</v>
      </c>
      <c r="AL2" s="23">
        <v>3709</v>
      </c>
      <c r="AM2" s="24">
        <v>3792</v>
      </c>
      <c r="AN2" s="147">
        <v>3707</v>
      </c>
      <c r="AO2" s="23">
        <v>3708</v>
      </c>
      <c r="AP2" s="23">
        <v>3709</v>
      </c>
      <c r="AQ2" s="24">
        <v>3792</v>
      </c>
      <c r="AR2" s="147">
        <v>3707</v>
      </c>
      <c r="AS2" s="23">
        <v>3708</v>
      </c>
      <c r="AT2" s="23">
        <v>3709</v>
      </c>
      <c r="AU2" s="24">
        <v>3792</v>
      </c>
      <c r="AV2" s="147">
        <v>3707</v>
      </c>
      <c r="AW2" s="23">
        <v>3708</v>
      </c>
      <c r="AX2" s="23">
        <v>3709</v>
      </c>
      <c r="AY2" s="24">
        <v>3792</v>
      </c>
      <c r="AZ2" s="147">
        <v>3707</v>
      </c>
      <c r="BA2" s="23">
        <v>3708</v>
      </c>
      <c r="BB2" s="23">
        <v>3709</v>
      </c>
      <c r="BC2" s="24">
        <v>3792</v>
      </c>
      <c r="BD2" s="147">
        <v>3707</v>
      </c>
      <c r="BE2" s="23">
        <v>3708</v>
      </c>
      <c r="BF2" s="23">
        <v>3709</v>
      </c>
      <c r="BG2" s="24">
        <v>3792</v>
      </c>
      <c r="BH2" s="147">
        <v>3707</v>
      </c>
      <c r="BI2" s="23">
        <v>3708</v>
      </c>
      <c r="BJ2" s="23">
        <v>3709</v>
      </c>
      <c r="BK2" s="24">
        <v>3792</v>
      </c>
      <c r="BL2" s="147">
        <v>3707</v>
      </c>
      <c r="BM2" s="23">
        <v>3708</v>
      </c>
      <c r="BN2" s="23">
        <v>3709</v>
      </c>
      <c r="BO2" s="24">
        <v>3792</v>
      </c>
      <c r="BP2" s="147">
        <v>3707</v>
      </c>
      <c r="BQ2" s="23">
        <v>3708</v>
      </c>
      <c r="BR2" s="23">
        <v>3709</v>
      </c>
      <c r="BS2" s="24">
        <v>3792</v>
      </c>
      <c r="BT2" s="147">
        <v>3707</v>
      </c>
      <c r="BU2" s="23">
        <v>3708</v>
      </c>
      <c r="BV2" s="23">
        <v>3709</v>
      </c>
      <c r="BW2" s="24">
        <v>3792</v>
      </c>
      <c r="BX2" s="695"/>
      <c r="BY2" s="147">
        <v>3707</v>
      </c>
      <c r="BZ2" s="23">
        <v>3708</v>
      </c>
      <c r="CA2" s="23">
        <v>3709</v>
      </c>
      <c r="CB2" s="134">
        <v>3792</v>
      </c>
      <c r="CC2" s="147">
        <v>3707</v>
      </c>
      <c r="CD2" s="23">
        <v>3708</v>
      </c>
      <c r="CE2" s="23">
        <v>3709</v>
      </c>
      <c r="CF2" s="134">
        <v>3792</v>
      </c>
      <c r="CG2" s="119"/>
      <c r="CH2" s="119"/>
      <c r="CI2" s="142"/>
      <c r="CJ2" s="142"/>
      <c r="CK2" s="119"/>
      <c r="CL2" s="142"/>
      <c r="CM2" s="256"/>
      <c r="CN2" s="256" t="s">
        <v>1124</v>
      </c>
      <c r="CO2" s="112" t="s">
        <v>264</v>
      </c>
      <c r="CP2" s="10" t="s">
        <v>249</v>
      </c>
      <c r="CQ2" s="10" t="s">
        <v>250</v>
      </c>
      <c r="CR2" s="10" t="s">
        <v>251</v>
      </c>
      <c r="CS2" s="10" t="s">
        <v>252</v>
      </c>
      <c r="CT2" s="10" t="s">
        <v>253</v>
      </c>
      <c r="CU2" s="10" t="s">
        <v>254</v>
      </c>
      <c r="CV2" s="82" t="s">
        <v>255</v>
      </c>
      <c r="CW2" s="82" t="s">
        <v>256</v>
      </c>
      <c r="CX2" s="11" t="s">
        <v>257</v>
      </c>
      <c r="CY2" s="12" t="s">
        <v>390</v>
      </c>
      <c r="CZ2" s="43" t="s">
        <v>263</v>
      </c>
      <c r="DA2" s="40" t="s">
        <v>249</v>
      </c>
      <c r="DB2" s="40" t="s">
        <v>250</v>
      </c>
      <c r="DC2" s="40" t="s">
        <v>251</v>
      </c>
      <c r="DD2" s="40" t="s">
        <v>252</v>
      </c>
      <c r="DE2" s="40" t="s">
        <v>253</v>
      </c>
      <c r="DF2" s="40" t="s">
        <v>254</v>
      </c>
    </row>
    <row r="3" spans="1:110" ht="101.25">
      <c r="A3" s="36" t="s">
        <v>398</v>
      </c>
      <c r="B3" s="166"/>
      <c r="C3" s="35">
        <v>401</v>
      </c>
      <c r="D3" s="167" t="s">
        <v>514</v>
      </c>
      <c r="E3" s="167" t="s">
        <v>515</v>
      </c>
      <c r="F3" s="132" t="s">
        <v>516</v>
      </c>
      <c r="G3" s="41" t="s">
        <v>517</v>
      </c>
      <c r="H3" s="41" t="s">
        <v>518</v>
      </c>
      <c r="I3" s="41" t="s">
        <v>519</v>
      </c>
      <c r="J3" s="41" t="s">
        <v>520</v>
      </c>
      <c r="K3" s="41" t="s">
        <v>394</v>
      </c>
      <c r="L3" s="727" t="s">
        <v>1294</v>
      </c>
      <c r="M3" s="25" t="s">
        <v>265</v>
      </c>
      <c r="N3" s="25" t="s">
        <v>266</v>
      </c>
      <c r="O3" s="128" t="s">
        <v>548</v>
      </c>
      <c r="P3" s="727" t="s">
        <v>1123</v>
      </c>
      <c r="Q3" s="25" t="s">
        <v>265</v>
      </c>
      <c r="R3" s="25" t="s">
        <v>266</v>
      </c>
      <c r="S3" s="128" t="s">
        <v>548</v>
      </c>
      <c r="T3" s="727" t="s">
        <v>1295</v>
      </c>
      <c r="U3" s="25" t="s">
        <v>265</v>
      </c>
      <c r="V3" s="25" t="s">
        <v>266</v>
      </c>
      <c r="W3" s="128" t="s">
        <v>548</v>
      </c>
      <c r="X3" s="727" t="s">
        <v>1296</v>
      </c>
      <c r="Y3" s="25" t="s">
        <v>265</v>
      </c>
      <c r="Z3" s="25" t="s">
        <v>266</v>
      </c>
      <c r="AA3" s="128" t="s">
        <v>548</v>
      </c>
      <c r="AB3" s="727" t="s">
        <v>1294</v>
      </c>
      <c r="AC3" s="25" t="s">
        <v>265</v>
      </c>
      <c r="AD3" s="25" t="s">
        <v>266</v>
      </c>
      <c r="AE3" s="128" t="s">
        <v>548</v>
      </c>
      <c r="AF3" s="727" t="s">
        <v>1123</v>
      </c>
      <c r="AG3" s="25" t="s">
        <v>265</v>
      </c>
      <c r="AH3" s="25" t="s">
        <v>266</v>
      </c>
      <c r="AI3" s="128" t="s">
        <v>548</v>
      </c>
      <c r="AJ3" s="727" t="s">
        <v>1295</v>
      </c>
      <c r="AK3" s="25" t="s">
        <v>265</v>
      </c>
      <c r="AL3" s="25" t="s">
        <v>266</v>
      </c>
      <c r="AM3" s="128" t="s">
        <v>548</v>
      </c>
      <c r="AN3" s="727" t="s">
        <v>1296</v>
      </c>
      <c r="AO3" s="25" t="s">
        <v>265</v>
      </c>
      <c r="AP3" s="25" t="s">
        <v>266</v>
      </c>
      <c r="AQ3" s="128" t="s">
        <v>548</v>
      </c>
      <c r="AR3" s="727" t="s">
        <v>1294</v>
      </c>
      <c r="AS3" s="25" t="s">
        <v>265</v>
      </c>
      <c r="AT3" s="25" t="s">
        <v>266</v>
      </c>
      <c r="AU3" s="128" t="s">
        <v>548</v>
      </c>
      <c r="AV3" s="727" t="s">
        <v>1123</v>
      </c>
      <c r="AW3" s="25" t="s">
        <v>265</v>
      </c>
      <c r="AX3" s="25" t="s">
        <v>266</v>
      </c>
      <c r="AY3" s="128" t="s">
        <v>548</v>
      </c>
      <c r="AZ3" s="727" t="s">
        <v>1295</v>
      </c>
      <c r="BA3" s="25" t="s">
        <v>265</v>
      </c>
      <c r="BB3" s="25" t="s">
        <v>266</v>
      </c>
      <c r="BC3" s="128" t="s">
        <v>548</v>
      </c>
      <c r="BD3" s="727" t="s">
        <v>1296</v>
      </c>
      <c r="BE3" s="25" t="s">
        <v>265</v>
      </c>
      <c r="BF3" s="25" t="s">
        <v>266</v>
      </c>
      <c r="BG3" s="128" t="s">
        <v>548</v>
      </c>
      <c r="BH3" s="727" t="s">
        <v>1294</v>
      </c>
      <c r="BI3" s="25" t="s">
        <v>265</v>
      </c>
      <c r="BJ3" s="25" t="s">
        <v>266</v>
      </c>
      <c r="BK3" s="128" t="s">
        <v>548</v>
      </c>
      <c r="BL3" s="727" t="s">
        <v>1123</v>
      </c>
      <c r="BM3" s="25" t="s">
        <v>265</v>
      </c>
      <c r="BN3" s="25" t="s">
        <v>266</v>
      </c>
      <c r="BO3" s="128" t="s">
        <v>548</v>
      </c>
      <c r="BP3" s="727" t="s">
        <v>1295</v>
      </c>
      <c r="BQ3" s="25" t="s">
        <v>265</v>
      </c>
      <c r="BR3" s="25" t="s">
        <v>266</v>
      </c>
      <c r="BS3" s="128" t="s">
        <v>548</v>
      </c>
      <c r="BT3" s="727" t="s">
        <v>1296</v>
      </c>
      <c r="BU3" s="25" t="s">
        <v>265</v>
      </c>
      <c r="BV3" s="25" t="s">
        <v>266</v>
      </c>
      <c r="BW3" s="128" t="s">
        <v>548</v>
      </c>
      <c r="BX3" s="717"/>
      <c r="BY3" s="177" t="s">
        <v>1297</v>
      </c>
      <c r="BZ3" s="25" t="s">
        <v>265</v>
      </c>
      <c r="CA3" s="25" t="s">
        <v>266</v>
      </c>
      <c r="CB3" s="136" t="s">
        <v>548</v>
      </c>
      <c r="CC3" s="177" t="s">
        <v>1298</v>
      </c>
      <c r="CD3" s="25" t="s">
        <v>265</v>
      </c>
      <c r="CE3" s="25" t="s">
        <v>266</v>
      </c>
      <c r="CF3" s="136" t="s">
        <v>548</v>
      </c>
      <c r="CG3" s="187" t="s">
        <v>330</v>
      </c>
      <c r="CH3" s="187" t="s">
        <v>175</v>
      </c>
      <c r="CI3" s="187" t="s">
        <v>429</v>
      </c>
      <c r="CJ3" s="187" t="s">
        <v>220</v>
      </c>
      <c r="CK3" s="187" t="s">
        <v>175</v>
      </c>
      <c r="CL3" s="187" t="s">
        <v>146</v>
      </c>
      <c r="CM3" s="257" t="s">
        <v>428</v>
      </c>
      <c r="CN3" s="719" t="s">
        <v>1123</v>
      </c>
      <c r="CO3" s="113"/>
      <c r="CP3" s="42"/>
      <c r="CQ3" s="10"/>
      <c r="CR3" s="10"/>
      <c r="CS3" s="10"/>
      <c r="CT3" s="10"/>
      <c r="CU3" s="10"/>
      <c r="CV3" s="9"/>
      <c r="CW3" s="9"/>
      <c r="CX3" s="11" t="s">
        <v>267</v>
      </c>
      <c r="CY3" s="12" t="s">
        <v>267</v>
      </c>
      <c r="CZ3" s="83"/>
    </row>
    <row r="4" spans="1:110" ht="84">
      <c r="A4" s="36"/>
      <c r="B4" s="166"/>
      <c r="C4" s="35">
        <v>662</v>
      </c>
      <c r="D4" s="13"/>
      <c r="E4" s="13"/>
      <c r="F4" s="132" t="s">
        <v>517</v>
      </c>
      <c r="G4" s="132"/>
      <c r="H4" s="132"/>
      <c r="I4" s="132"/>
      <c r="J4" s="132"/>
      <c r="K4" s="132"/>
      <c r="L4" s="727" t="s">
        <v>1105</v>
      </c>
      <c r="M4" s="27"/>
      <c r="N4" s="27"/>
      <c r="O4" s="28"/>
      <c r="P4" s="727" t="s">
        <v>1105</v>
      </c>
      <c r="Q4" s="27"/>
      <c r="R4" s="27"/>
      <c r="S4" s="28"/>
      <c r="T4" s="727" t="s">
        <v>1105</v>
      </c>
      <c r="U4" s="27"/>
      <c r="V4" s="27"/>
      <c r="W4" s="28"/>
      <c r="X4" s="727" t="s">
        <v>1105</v>
      </c>
      <c r="Y4" s="27"/>
      <c r="Z4" s="27"/>
      <c r="AA4" s="28"/>
      <c r="AB4" s="727" t="s">
        <v>465</v>
      </c>
      <c r="AC4" s="27"/>
      <c r="AD4" s="27"/>
      <c r="AE4" s="28"/>
      <c r="AF4" s="727" t="s">
        <v>465</v>
      </c>
      <c r="AG4" s="27"/>
      <c r="AH4" s="27"/>
      <c r="AI4" s="28"/>
      <c r="AJ4" s="727" t="s">
        <v>465</v>
      </c>
      <c r="AK4" s="27"/>
      <c r="AL4" s="27"/>
      <c r="AM4" s="28"/>
      <c r="AN4" s="727" t="s">
        <v>465</v>
      </c>
      <c r="AO4" s="27"/>
      <c r="AP4" s="27"/>
      <c r="AQ4" s="28"/>
      <c r="AR4" s="727" t="s">
        <v>956</v>
      </c>
      <c r="AS4" s="27"/>
      <c r="AT4" s="27"/>
      <c r="AU4" s="28"/>
      <c r="AV4" s="727" t="s">
        <v>956</v>
      </c>
      <c r="AW4" s="27"/>
      <c r="AX4" s="27"/>
      <c r="AY4" s="28"/>
      <c r="AZ4" s="727" t="s">
        <v>956</v>
      </c>
      <c r="BA4" s="27"/>
      <c r="BB4" s="27"/>
      <c r="BC4" s="28"/>
      <c r="BD4" s="727" t="s">
        <v>956</v>
      </c>
      <c r="BE4" s="27"/>
      <c r="BF4" s="27"/>
      <c r="BG4" s="28"/>
      <c r="BH4" s="727" t="s">
        <v>521</v>
      </c>
      <c r="BI4" s="27"/>
      <c r="BJ4" s="27"/>
      <c r="BK4" s="28"/>
      <c r="BL4" s="727" t="s">
        <v>521</v>
      </c>
      <c r="BM4" s="27"/>
      <c r="BN4" s="27"/>
      <c r="BO4" s="28"/>
      <c r="BP4" s="727" t="s">
        <v>521</v>
      </c>
      <c r="BQ4" s="27"/>
      <c r="BR4" s="27"/>
      <c r="BS4" s="28"/>
      <c r="BT4" s="727" t="s">
        <v>521</v>
      </c>
      <c r="BU4" s="27"/>
      <c r="BV4" s="27"/>
      <c r="BW4" s="28"/>
      <c r="BX4" s="718"/>
      <c r="BY4" s="177" t="s">
        <v>521</v>
      </c>
      <c r="BZ4" s="27"/>
      <c r="CA4" s="27"/>
      <c r="CB4" s="201"/>
      <c r="CC4" s="177" t="s">
        <v>521</v>
      </c>
      <c r="CD4" s="27"/>
      <c r="CE4" s="27"/>
      <c r="CF4" s="201"/>
      <c r="CG4" s="187" t="s">
        <v>521</v>
      </c>
      <c r="CH4" s="187" t="s">
        <v>268</v>
      </c>
      <c r="CI4" s="187" t="s">
        <v>268</v>
      </c>
      <c r="CJ4" s="187" t="s">
        <v>268</v>
      </c>
      <c r="CK4" s="187" t="s">
        <v>268</v>
      </c>
      <c r="CL4" s="187" t="s">
        <v>268</v>
      </c>
      <c r="CM4" s="257" t="s">
        <v>430</v>
      </c>
      <c r="CN4" s="719" t="s">
        <v>521</v>
      </c>
      <c r="CO4" s="114"/>
      <c r="CP4" s="44" t="s">
        <v>269</v>
      </c>
      <c r="CX4" s="45"/>
      <c r="CY4" s="45"/>
      <c r="CZ4" s="46"/>
    </row>
    <row r="5" spans="1:110">
      <c r="A5" s="36"/>
      <c r="B5" s="166"/>
      <c r="C5" s="35">
        <v>493</v>
      </c>
      <c r="D5" s="13"/>
      <c r="E5" s="13"/>
      <c r="F5" s="132" t="s">
        <v>520</v>
      </c>
      <c r="G5" s="132"/>
      <c r="H5" s="132"/>
      <c r="I5" s="132"/>
      <c r="J5" s="132"/>
      <c r="K5" s="132"/>
      <c r="L5" s="727">
        <v>1</v>
      </c>
      <c r="M5" s="27"/>
      <c r="N5" s="27"/>
      <c r="O5" s="28"/>
      <c r="P5" s="727">
        <v>1</v>
      </c>
      <c r="Q5" s="27"/>
      <c r="R5" s="27"/>
      <c r="S5" s="28"/>
      <c r="T5" s="727">
        <v>1</v>
      </c>
      <c r="U5" s="27"/>
      <c r="V5" s="27"/>
      <c r="W5" s="28"/>
      <c r="X5" s="727">
        <v>1</v>
      </c>
      <c r="Y5" s="27"/>
      <c r="Z5" s="27"/>
      <c r="AA5" s="28"/>
      <c r="AB5" s="727">
        <v>1</v>
      </c>
      <c r="AC5" s="27"/>
      <c r="AD5" s="27"/>
      <c r="AE5" s="28"/>
      <c r="AF5" s="727">
        <v>1</v>
      </c>
      <c r="AG5" s="27"/>
      <c r="AH5" s="27"/>
      <c r="AI5" s="28"/>
      <c r="AJ5" s="727">
        <v>1</v>
      </c>
      <c r="AK5" s="27"/>
      <c r="AL5" s="27"/>
      <c r="AM5" s="28"/>
      <c r="AN5" s="727">
        <v>1</v>
      </c>
      <c r="AO5" s="27"/>
      <c r="AP5" s="27"/>
      <c r="AQ5" s="28"/>
      <c r="AR5" s="727">
        <v>1</v>
      </c>
      <c r="AS5" s="27"/>
      <c r="AT5" s="27"/>
      <c r="AU5" s="28"/>
      <c r="AV5" s="727">
        <v>1</v>
      </c>
      <c r="AW5" s="27"/>
      <c r="AX5" s="27"/>
      <c r="AY5" s="28"/>
      <c r="AZ5" s="727">
        <v>1</v>
      </c>
      <c r="BA5" s="27"/>
      <c r="BB5" s="27"/>
      <c r="BC5" s="28"/>
      <c r="BD5" s="727">
        <v>1</v>
      </c>
      <c r="BE5" s="27"/>
      <c r="BF5" s="27"/>
      <c r="BG5" s="28"/>
      <c r="BH5" s="727">
        <v>1</v>
      </c>
      <c r="BI5" s="27"/>
      <c r="BJ5" s="27"/>
      <c r="BK5" s="28"/>
      <c r="BL5" s="727">
        <v>1</v>
      </c>
      <c r="BM5" s="27"/>
      <c r="BN5" s="27"/>
      <c r="BO5" s="28"/>
      <c r="BP5" s="727">
        <v>1</v>
      </c>
      <c r="BQ5" s="27"/>
      <c r="BR5" s="27"/>
      <c r="BS5" s="28"/>
      <c r="BT5" s="727">
        <v>1</v>
      </c>
      <c r="BU5" s="27"/>
      <c r="BV5" s="27"/>
      <c r="BW5" s="28"/>
      <c r="BX5" s="718"/>
      <c r="BY5" s="177">
        <v>1</v>
      </c>
      <c r="BZ5" s="27"/>
      <c r="CA5" s="27"/>
      <c r="CB5" s="201"/>
      <c r="CC5" s="177">
        <v>1</v>
      </c>
      <c r="CD5" s="27"/>
      <c r="CE5" s="27"/>
      <c r="CF5" s="201"/>
      <c r="CG5" s="187">
        <v>2005</v>
      </c>
      <c r="CH5" s="187">
        <v>2006</v>
      </c>
      <c r="CI5" s="187">
        <v>2001</v>
      </c>
      <c r="CJ5" s="187">
        <v>2000</v>
      </c>
      <c r="CK5" s="187">
        <v>2001</v>
      </c>
      <c r="CL5" s="187">
        <v>0</v>
      </c>
      <c r="CM5" s="257"/>
      <c r="CN5" s="719">
        <v>1</v>
      </c>
    </row>
    <row r="6" spans="1:110">
      <c r="A6" s="36"/>
      <c r="B6" s="166"/>
      <c r="C6" s="35">
        <v>403</v>
      </c>
      <c r="D6" s="13"/>
      <c r="E6" s="13"/>
      <c r="F6" s="132" t="s">
        <v>394</v>
      </c>
      <c r="G6" s="352"/>
      <c r="H6" s="132"/>
      <c r="I6" s="132"/>
      <c r="J6" s="132"/>
      <c r="K6" s="132"/>
      <c r="L6" s="727" t="s">
        <v>396</v>
      </c>
      <c r="M6" s="27"/>
      <c r="N6" s="27"/>
      <c r="O6" s="28"/>
      <c r="P6" s="727" t="s">
        <v>396</v>
      </c>
      <c r="Q6" s="27"/>
      <c r="R6" s="27"/>
      <c r="S6" s="28"/>
      <c r="T6" s="727" t="s">
        <v>396</v>
      </c>
      <c r="U6" s="27"/>
      <c r="V6" s="27"/>
      <c r="W6" s="28"/>
      <c r="X6" s="727" t="s">
        <v>396</v>
      </c>
      <c r="Y6" s="27"/>
      <c r="Z6" s="27"/>
      <c r="AA6" s="28"/>
      <c r="AB6" s="727" t="s">
        <v>396</v>
      </c>
      <c r="AC6" s="27"/>
      <c r="AD6" s="27"/>
      <c r="AE6" s="28"/>
      <c r="AF6" s="727" t="s">
        <v>396</v>
      </c>
      <c r="AG6" s="27"/>
      <c r="AH6" s="27"/>
      <c r="AI6" s="28"/>
      <c r="AJ6" s="727" t="s">
        <v>396</v>
      </c>
      <c r="AK6" s="27"/>
      <c r="AL6" s="27"/>
      <c r="AM6" s="28"/>
      <c r="AN6" s="727" t="s">
        <v>396</v>
      </c>
      <c r="AO6" s="27"/>
      <c r="AP6" s="27"/>
      <c r="AQ6" s="28"/>
      <c r="AR6" s="727" t="s">
        <v>396</v>
      </c>
      <c r="AS6" s="27"/>
      <c r="AT6" s="27"/>
      <c r="AU6" s="28"/>
      <c r="AV6" s="727" t="s">
        <v>396</v>
      </c>
      <c r="AW6" s="27"/>
      <c r="AX6" s="27"/>
      <c r="AY6" s="28"/>
      <c r="AZ6" s="727" t="s">
        <v>396</v>
      </c>
      <c r="BA6" s="27"/>
      <c r="BB6" s="27"/>
      <c r="BC6" s="28"/>
      <c r="BD6" s="727" t="s">
        <v>396</v>
      </c>
      <c r="BE6" s="27"/>
      <c r="BF6" s="27"/>
      <c r="BG6" s="28"/>
      <c r="BH6" s="727" t="s">
        <v>396</v>
      </c>
      <c r="BI6" s="27"/>
      <c r="BJ6" s="27"/>
      <c r="BK6" s="28"/>
      <c r="BL6" s="727" t="s">
        <v>396</v>
      </c>
      <c r="BM6" s="27"/>
      <c r="BN6" s="27"/>
      <c r="BO6" s="28"/>
      <c r="BP6" s="727" t="s">
        <v>396</v>
      </c>
      <c r="BQ6" s="27"/>
      <c r="BR6" s="27"/>
      <c r="BS6" s="28"/>
      <c r="BT6" s="727" t="s">
        <v>396</v>
      </c>
      <c r="BU6" s="27"/>
      <c r="BV6" s="27"/>
      <c r="BW6" s="28"/>
      <c r="BX6" s="718"/>
      <c r="BY6" s="177" t="s">
        <v>396</v>
      </c>
      <c r="BZ6" s="27"/>
      <c r="CA6" s="27"/>
      <c r="CB6" s="201"/>
      <c r="CC6" s="177" t="s">
        <v>396</v>
      </c>
      <c r="CD6" s="27"/>
      <c r="CE6" s="27"/>
      <c r="CF6" s="201"/>
      <c r="CG6" s="188" t="s">
        <v>396</v>
      </c>
      <c r="CH6" s="188" t="s">
        <v>396</v>
      </c>
      <c r="CI6" s="188" t="s">
        <v>396</v>
      </c>
      <c r="CJ6" s="188" t="s">
        <v>396</v>
      </c>
      <c r="CK6" s="188" t="s">
        <v>396</v>
      </c>
      <c r="CL6" s="188" t="s">
        <v>528</v>
      </c>
      <c r="CM6" s="257" t="s">
        <v>522</v>
      </c>
      <c r="CN6" s="719" t="s">
        <v>396</v>
      </c>
      <c r="CP6" s="48"/>
      <c r="CQ6" s="48"/>
      <c r="CR6" s="48"/>
      <c r="CS6" s="48"/>
      <c r="CT6" s="48"/>
      <c r="CU6" s="48"/>
      <c r="CX6" s="49"/>
      <c r="CY6" s="49"/>
      <c r="CZ6" s="85"/>
    </row>
    <row r="7" spans="1:110" outlineLevel="1">
      <c r="A7" s="471" t="s">
        <v>762</v>
      </c>
      <c r="B7" s="168" t="s">
        <v>523</v>
      </c>
      <c r="C7" s="169"/>
      <c r="D7" s="11" t="s">
        <v>402</v>
      </c>
      <c r="E7" s="170">
        <v>0</v>
      </c>
      <c r="F7" s="145" t="s">
        <v>1123</v>
      </c>
      <c r="G7" s="16" t="s">
        <v>1105</v>
      </c>
      <c r="H7" s="14" t="s">
        <v>402</v>
      </c>
      <c r="I7" s="14" t="s">
        <v>402</v>
      </c>
      <c r="J7" s="15">
        <v>1</v>
      </c>
      <c r="K7" s="16" t="s">
        <v>396</v>
      </c>
      <c r="L7" s="606">
        <v>0</v>
      </c>
      <c r="M7" s="29"/>
      <c r="N7" s="30"/>
      <c r="O7" s="139"/>
      <c r="P7" s="606">
        <v>1</v>
      </c>
      <c r="Q7" s="29"/>
      <c r="R7" s="30"/>
      <c r="S7" s="139"/>
      <c r="T7" s="606">
        <v>0</v>
      </c>
      <c r="U7" s="29"/>
      <c r="V7" s="30"/>
      <c r="W7" s="139"/>
      <c r="X7" s="606">
        <v>0</v>
      </c>
      <c r="Y7" s="29"/>
      <c r="Z7" s="30"/>
      <c r="AA7" s="139"/>
      <c r="AB7" s="606">
        <v>0</v>
      </c>
      <c r="AC7" s="29"/>
      <c r="AD7" s="30"/>
      <c r="AE7" s="139"/>
      <c r="AF7" s="606">
        <v>0</v>
      </c>
      <c r="AG7" s="29"/>
      <c r="AH7" s="30"/>
      <c r="AI7" s="139"/>
      <c r="AJ7" s="606">
        <v>0</v>
      </c>
      <c r="AK7" s="29"/>
      <c r="AL7" s="139"/>
      <c r="AM7" s="139"/>
      <c r="AN7" s="606">
        <v>0</v>
      </c>
      <c r="AO7" s="29"/>
      <c r="AP7" s="30"/>
      <c r="AQ7" s="139"/>
      <c r="AR7" s="606">
        <v>0</v>
      </c>
      <c r="AS7" s="29"/>
      <c r="AT7" s="30"/>
      <c r="AU7" s="139"/>
      <c r="AV7" s="606">
        <v>0</v>
      </c>
      <c r="AW7" s="29"/>
      <c r="AX7" s="30"/>
      <c r="AY7" s="139"/>
      <c r="AZ7" s="606">
        <v>0</v>
      </c>
      <c r="BA7" s="29"/>
      <c r="BB7" s="30"/>
      <c r="BC7" s="139"/>
      <c r="BD7" s="606">
        <v>0</v>
      </c>
      <c r="BE7" s="29"/>
      <c r="BF7" s="30"/>
      <c r="BG7" s="139"/>
      <c r="BH7" s="606">
        <v>0</v>
      </c>
      <c r="BI7" s="29"/>
      <c r="BJ7" s="1"/>
      <c r="BK7" s="139"/>
      <c r="BL7" s="606">
        <v>0</v>
      </c>
      <c r="BM7" s="29"/>
      <c r="BN7" s="1"/>
      <c r="BO7" s="139"/>
      <c r="BP7" s="606">
        <v>0</v>
      </c>
      <c r="BQ7" s="29"/>
      <c r="BR7" s="30"/>
      <c r="BS7" s="139"/>
      <c r="BT7" s="606">
        <v>0</v>
      </c>
      <c r="BU7" s="29"/>
      <c r="BV7" s="30"/>
      <c r="BW7" s="139"/>
      <c r="BX7" s="139"/>
      <c r="BY7" s="606">
        <v>0</v>
      </c>
      <c r="BZ7" s="29"/>
      <c r="CA7" s="30"/>
      <c r="CB7" s="139"/>
      <c r="CC7" s="606">
        <v>0</v>
      </c>
      <c r="CD7" s="29"/>
      <c r="CE7" s="1"/>
      <c r="CF7" s="139"/>
      <c r="CG7" s="344"/>
      <c r="CH7" s="344"/>
      <c r="CI7" s="186"/>
      <c r="CJ7" s="186"/>
      <c r="CK7" s="344"/>
      <c r="CL7" s="182"/>
      <c r="CM7" s="344"/>
      <c r="CO7" s="115"/>
      <c r="CP7" s="10"/>
      <c r="CQ7" s="50"/>
      <c r="CR7" s="50"/>
      <c r="CS7" s="50"/>
      <c r="CT7" s="50"/>
      <c r="CU7" s="50"/>
      <c r="CV7" s="50"/>
      <c r="CW7" s="51"/>
      <c r="CX7" s="87"/>
      <c r="CY7" s="88"/>
      <c r="CZ7" s="89"/>
      <c r="DA7" s="52"/>
      <c r="DB7" s="52"/>
      <c r="DC7" s="52"/>
      <c r="DD7" s="52"/>
      <c r="DE7" s="52"/>
      <c r="DF7" s="52"/>
    </row>
    <row r="8" spans="1:110" outlineLevel="1">
      <c r="A8" s="471" t="s">
        <v>763</v>
      </c>
      <c r="B8" s="146"/>
      <c r="C8" s="169"/>
      <c r="D8" s="11" t="s">
        <v>402</v>
      </c>
      <c r="E8" s="170">
        <v>0</v>
      </c>
      <c r="F8" s="145" t="s">
        <v>1294</v>
      </c>
      <c r="G8" s="16" t="s">
        <v>1105</v>
      </c>
      <c r="H8" s="14" t="s">
        <v>402</v>
      </c>
      <c r="I8" s="14" t="s">
        <v>402</v>
      </c>
      <c r="J8" s="15">
        <v>1</v>
      </c>
      <c r="K8" s="16" t="s">
        <v>396</v>
      </c>
      <c r="L8" s="606">
        <v>1</v>
      </c>
      <c r="M8" s="29"/>
      <c r="N8" s="30"/>
      <c r="O8" s="139"/>
      <c r="P8" s="606">
        <v>0</v>
      </c>
      <c r="Q8" s="29"/>
      <c r="R8" s="30"/>
      <c r="S8" s="139"/>
      <c r="T8" s="606">
        <v>0</v>
      </c>
      <c r="U8" s="29"/>
      <c r="V8" s="30"/>
      <c r="W8" s="139"/>
      <c r="X8" s="606">
        <v>0</v>
      </c>
      <c r="Y8" s="29"/>
      <c r="Z8" s="30"/>
      <c r="AA8" s="139"/>
      <c r="AB8" s="606">
        <v>0</v>
      </c>
      <c r="AC8" s="29"/>
      <c r="AD8" s="30"/>
      <c r="AE8" s="139"/>
      <c r="AF8" s="606">
        <v>0</v>
      </c>
      <c r="AG8" s="29"/>
      <c r="AH8" s="30"/>
      <c r="AI8" s="139"/>
      <c r="AJ8" s="606">
        <v>0</v>
      </c>
      <c r="AK8" s="29"/>
      <c r="AL8" s="139"/>
      <c r="AM8" s="139"/>
      <c r="AN8" s="606">
        <v>0</v>
      </c>
      <c r="AO8" s="29"/>
      <c r="AP8" s="30"/>
      <c r="AQ8" s="139"/>
      <c r="AR8" s="606">
        <v>0</v>
      </c>
      <c r="AS8" s="29"/>
      <c r="AT8" s="30"/>
      <c r="AU8" s="139"/>
      <c r="AV8" s="606">
        <v>0</v>
      </c>
      <c r="AW8" s="29"/>
      <c r="AX8" s="30"/>
      <c r="AY8" s="139"/>
      <c r="AZ8" s="606">
        <v>0</v>
      </c>
      <c r="BA8" s="29"/>
      <c r="BB8" s="30"/>
      <c r="BC8" s="139"/>
      <c r="BD8" s="606">
        <v>0</v>
      </c>
      <c r="BE8" s="29"/>
      <c r="BF8" s="30"/>
      <c r="BG8" s="139"/>
      <c r="BH8" s="606">
        <v>0</v>
      </c>
      <c r="BI8" s="29"/>
      <c r="BJ8" s="1"/>
      <c r="BK8" s="139"/>
      <c r="BL8" s="606">
        <v>0</v>
      </c>
      <c r="BM8" s="29"/>
      <c r="BN8" s="1"/>
      <c r="BO8" s="139"/>
      <c r="BP8" s="606">
        <v>0</v>
      </c>
      <c r="BQ8" s="29"/>
      <c r="BR8" s="30"/>
      <c r="BS8" s="139"/>
      <c r="BT8" s="606">
        <v>0</v>
      </c>
      <c r="BU8" s="29"/>
      <c r="BV8" s="30"/>
      <c r="BW8" s="139"/>
      <c r="BX8" s="139"/>
      <c r="BY8" s="606">
        <v>0</v>
      </c>
      <c r="BZ8" s="29"/>
      <c r="CA8" s="30"/>
      <c r="CB8" s="139"/>
      <c r="CC8" s="606">
        <v>0</v>
      </c>
      <c r="CD8" s="29"/>
      <c r="CE8" s="1"/>
      <c r="CF8" s="139"/>
      <c r="CG8" s="344"/>
      <c r="CH8" s="344"/>
      <c r="CI8" s="186"/>
      <c r="CJ8" s="186"/>
      <c r="CK8" s="344"/>
      <c r="CL8" s="182"/>
      <c r="CM8" s="344"/>
      <c r="CO8" s="115"/>
      <c r="CP8" s="10"/>
      <c r="CQ8" s="50"/>
      <c r="CR8" s="50"/>
      <c r="CS8" s="50"/>
      <c r="CT8" s="50"/>
      <c r="CU8" s="50"/>
      <c r="CV8" s="50"/>
      <c r="CW8" s="51"/>
      <c r="CX8" s="87"/>
      <c r="CY8" s="88"/>
      <c r="CZ8" s="89"/>
      <c r="DA8" s="52"/>
      <c r="DB8" s="52"/>
      <c r="DC8" s="52"/>
      <c r="DD8" s="52"/>
      <c r="DE8" s="52"/>
      <c r="DF8" s="52"/>
    </row>
    <row r="9" spans="1:110" outlineLevel="1">
      <c r="A9" s="614" t="s">
        <v>780</v>
      </c>
      <c r="B9" s="146"/>
      <c r="C9" s="169"/>
      <c r="D9" s="11" t="s">
        <v>402</v>
      </c>
      <c r="E9" s="170">
        <v>0</v>
      </c>
      <c r="F9" s="145" t="s">
        <v>1296</v>
      </c>
      <c r="G9" s="16" t="s">
        <v>1105</v>
      </c>
      <c r="H9" s="14" t="s">
        <v>402</v>
      </c>
      <c r="I9" s="14" t="s">
        <v>402</v>
      </c>
      <c r="J9" s="15">
        <v>1</v>
      </c>
      <c r="K9" s="16" t="s">
        <v>396</v>
      </c>
      <c r="L9" s="606">
        <v>0</v>
      </c>
      <c r="M9" s="29"/>
      <c r="N9" s="30"/>
      <c r="O9" s="139"/>
      <c r="P9" s="606">
        <v>0</v>
      </c>
      <c r="Q9" s="29"/>
      <c r="R9" s="30"/>
      <c r="S9" s="139"/>
      <c r="T9" s="606">
        <v>0</v>
      </c>
      <c r="U9" s="29"/>
      <c r="V9" s="30"/>
      <c r="W9" s="139"/>
      <c r="X9" s="606">
        <v>1</v>
      </c>
      <c r="Y9" s="29"/>
      <c r="Z9" s="30"/>
      <c r="AA9" s="139"/>
      <c r="AB9" s="606">
        <v>0</v>
      </c>
      <c r="AC9" s="29"/>
      <c r="AD9" s="30"/>
      <c r="AE9" s="139"/>
      <c r="AF9" s="606">
        <v>0</v>
      </c>
      <c r="AG9" s="29"/>
      <c r="AH9" s="30"/>
      <c r="AI9" s="139"/>
      <c r="AJ9" s="606">
        <v>0</v>
      </c>
      <c r="AK9" s="29"/>
      <c r="AL9" s="139"/>
      <c r="AM9" s="139"/>
      <c r="AN9" s="606">
        <v>0</v>
      </c>
      <c r="AO9" s="29"/>
      <c r="AP9" s="30"/>
      <c r="AQ9" s="139"/>
      <c r="AR9" s="606">
        <v>0</v>
      </c>
      <c r="AS9" s="29"/>
      <c r="AT9" s="30"/>
      <c r="AU9" s="139"/>
      <c r="AV9" s="606">
        <v>0</v>
      </c>
      <c r="AW9" s="29"/>
      <c r="AX9" s="30"/>
      <c r="AY9" s="139"/>
      <c r="AZ9" s="606">
        <v>0</v>
      </c>
      <c r="BA9" s="29"/>
      <c r="BB9" s="30"/>
      <c r="BC9" s="139"/>
      <c r="BD9" s="606">
        <v>0</v>
      </c>
      <c r="BE9" s="29"/>
      <c r="BF9" s="30"/>
      <c r="BG9" s="139"/>
      <c r="BH9" s="606">
        <v>0</v>
      </c>
      <c r="BI9" s="29"/>
      <c r="BJ9" s="1"/>
      <c r="BK9" s="139"/>
      <c r="BL9" s="606">
        <v>0</v>
      </c>
      <c r="BM9" s="29"/>
      <c r="BN9" s="1"/>
      <c r="BO9" s="139"/>
      <c r="BP9" s="606">
        <v>0</v>
      </c>
      <c r="BQ9" s="29"/>
      <c r="BR9" s="30"/>
      <c r="BS9" s="139"/>
      <c r="BT9" s="606">
        <v>0</v>
      </c>
      <c r="BU9" s="29"/>
      <c r="BV9" s="30"/>
      <c r="BW9" s="139"/>
      <c r="BX9" s="139"/>
      <c r="BY9" s="606">
        <v>0</v>
      </c>
      <c r="BZ9" s="29"/>
      <c r="CA9" s="30"/>
      <c r="CB9" s="139"/>
      <c r="CC9" s="606">
        <v>0</v>
      </c>
      <c r="CD9" s="29"/>
      <c r="CE9" s="1"/>
      <c r="CF9" s="139"/>
      <c r="CG9" s="344"/>
      <c r="CH9" s="344"/>
      <c r="CI9" s="186"/>
      <c r="CJ9" s="186"/>
      <c r="CK9" s="344"/>
      <c r="CL9" s="182"/>
      <c r="CM9" s="344"/>
      <c r="CO9" s="115"/>
      <c r="CP9" s="10"/>
      <c r="CQ9" s="50"/>
      <c r="CR9" s="50"/>
      <c r="CS9" s="50"/>
      <c r="CT9" s="50"/>
      <c r="CU9" s="50"/>
      <c r="CV9" s="50"/>
      <c r="CW9" s="51"/>
      <c r="CX9" s="87"/>
      <c r="CY9" s="88"/>
      <c r="CZ9" s="89"/>
      <c r="DA9" s="52"/>
      <c r="DB9" s="52"/>
      <c r="DC9" s="52"/>
      <c r="DD9" s="52"/>
      <c r="DE9" s="52"/>
      <c r="DF9" s="52"/>
    </row>
    <row r="10" spans="1:110" outlineLevel="1">
      <c r="A10" s="614" t="s">
        <v>781</v>
      </c>
      <c r="B10" s="146"/>
      <c r="C10" s="169"/>
      <c r="D10" s="11" t="s">
        <v>402</v>
      </c>
      <c r="E10" s="170">
        <v>0</v>
      </c>
      <c r="F10" s="145" t="s">
        <v>1295</v>
      </c>
      <c r="G10" s="16" t="s">
        <v>1105</v>
      </c>
      <c r="H10" s="14" t="s">
        <v>402</v>
      </c>
      <c r="I10" s="14" t="s">
        <v>402</v>
      </c>
      <c r="J10" s="15">
        <v>1</v>
      </c>
      <c r="K10" s="16" t="s">
        <v>396</v>
      </c>
      <c r="L10" s="606">
        <v>0</v>
      </c>
      <c r="M10" s="29"/>
      <c r="N10" s="30"/>
      <c r="O10" s="139"/>
      <c r="P10" s="606">
        <v>0</v>
      </c>
      <c r="Q10" s="29"/>
      <c r="R10" s="30"/>
      <c r="S10" s="139"/>
      <c r="T10" s="606">
        <v>1</v>
      </c>
      <c r="U10" s="29"/>
      <c r="V10" s="30"/>
      <c r="W10" s="139"/>
      <c r="X10" s="606">
        <v>0</v>
      </c>
      <c r="Y10" s="29"/>
      <c r="Z10" s="30"/>
      <c r="AA10" s="139"/>
      <c r="AB10" s="606">
        <v>0</v>
      </c>
      <c r="AC10" s="29"/>
      <c r="AD10" s="30"/>
      <c r="AE10" s="139"/>
      <c r="AF10" s="606">
        <v>0</v>
      </c>
      <c r="AG10" s="29"/>
      <c r="AH10" s="30"/>
      <c r="AI10" s="139"/>
      <c r="AJ10" s="606">
        <v>0</v>
      </c>
      <c r="AK10" s="29"/>
      <c r="AL10" s="139"/>
      <c r="AM10" s="139"/>
      <c r="AN10" s="606">
        <v>0</v>
      </c>
      <c r="AO10" s="29"/>
      <c r="AP10" s="30"/>
      <c r="AQ10" s="139"/>
      <c r="AR10" s="606">
        <v>0</v>
      </c>
      <c r="AS10" s="29"/>
      <c r="AT10" s="30"/>
      <c r="AU10" s="139"/>
      <c r="AV10" s="606">
        <v>0</v>
      </c>
      <c r="AW10" s="29"/>
      <c r="AX10" s="30"/>
      <c r="AY10" s="139"/>
      <c r="AZ10" s="606">
        <v>0</v>
      </c>
      <c r="BA10" s="29"/>
      <c r="BB10" s="30"/>
      <c r="BC10" s="139"/>
      <c r="BD10" s="606">
        <v>0</v>
      </c>
      <c r="BE10" s="29"/>
      <c r="BF10" s="30"/>
      <c r="BG10" s="139"/>
      <c r="BH10" s="606">
        <v>0</v>
      </c>
      <c r="BI10" s="29"/>
      <c r="BJ10" s="1"/>
      <c r="BK10" s="139"/>
      <c r="BL10" s="606">
        <v>0</v>
      </c>
      <c r="BM10" s="29"/>
      <c r="BN10" s="1"/>
      <c r="BO10" s="139"/>
      <c r="BP10" s="606">
        <v>0</v>
      </c>
      <c r="BQ10" s="29"/>
      <c r="BR10" s="30"/>
      <c r="BS10" s="139"/>
      <c r="BT10" s="606">
        <v>0</v>
      </c>
      <c r="BU10" s="29"/>
      <c r="BV10" s="30"/>
      <c r="BW10" s="139"/>
      <c r="BX10" s="139"/>
      <c r="BY10" s="606">
        <v>0</v>
      </c>
      <c r="BZ10" s="29"/>
      <c r="CA10" s="30"/>
      <c r="CB10" s="139"/>
      <c r="CC10" s="606">
        <v>0</v>
      </c>
      <c r="CD10" s="29"/>
      <c r="CE10" s="1"/>
      <c r="CF10" s="139"/>
      <c r="CG10" s="344"/>
      <c r="CH10" s="344"/>
      <c r="CI10" s="186"/>
      <c r="CJ10" s="186"/>
      <c r="CK10" s="344"/>
      <c r="CL10" s="182"/>
      <c r="CM10" s="344"/>
      <c r="CO10" s="115"/>
      <c r="CP10" s="10"/>
      <c r="CQ10" s="50"/>
      <c r="CR10" s="50"/>
      <c r="CS10" s="50"/>
      <c r="CT10" s="50"/>
      <c r="CU10" s="50"/>
      <c r="CV10" s="50"/>
      <c r="CW10" s="51"/>
      <c r="CX10" s="87"/>
      <c r="CY10" s="88"/>
      <c r="CZ10" s="89"/>
      <c r="DA10" s="52"/>
      <c r="DB10" s="52"/>
      <c r="DC10" s="52"/>
      <c r="DD10" s="52"/>
      <c r="DE10" s="52"/>
      <c r="DF10" s="52"/>
    </row>
    <row r="11" spans="1:110" outlineLevel="1">
      <c r="A11" s="471" t="s">
        <v>889</v>
      </c>
      <c r="B11" s="168"/>
      <c r="C11" s="169"/>
      <c r="D11" s="11" t="s">
        <v>402</v>
      </c>
      <c r="E11" s="170">
        <v>0</v>
      </c>
      <c r="F11" s="145" t="s">
        <v>1123</v>
      </c>
      <c r="G11" s="16" t="s">
        <v>465</v>
      </c>
      <c r="H11" s="14" t="s">
        <v>402</v>
      </c>
      <c r="I11" s="14" t="s">
        <v>402</v>
      </c>
      <c r="J11" s="15">
        <v>1</v>
      </c>
      <c r="K11" s="16" t="s">
        <v>396</v>
      </c>
      <c r="L11" s="606">
        <v>0</v>
      </c>
      <c r="M11" s="29"/>
      <c r="N11" s="30"/>
      <c r="O11" s="139"/>
      <c r="P11" s="606">
        <v>0</v>
      </c>
      <c r="Q11" s="29"/>
      <c r="R11" s="30"/>
      <c r="S11" s="139"/>
      <c r="T11" s="606">
        <v>0</v>
      </c>
      <c r="U11" s="29"/>
      <c r="V11" s="30"/>
      <c r="W11" s="139"/>
      <c r="X11" s="606">
        <v>0</v>
      </c>
      <c r="Y11" s="29"/>
      <c r="Z11" s="30"/>
      <c r="AA11" s="139"/>
      <c r="AB11" s="606">
        <v>0</v>
      </c>
      <c r="AC11" s="29"/>
      <c r="AD11" s="30"/>
      <c r="AE11" s="139"/>
      <c r="AF11" s="606">
        <v>1</v>
      </c>
      <c r="AG11" s="29"/>
      <c r="AH11" s="30"/>
      <c r="AI11" s="139"/>
      <c r="AJ11" s="606">
        <v>0</v>
      </c>
      <c r="AK11" s="29"/>
      <c r="AL11" s="139"/>
      <c r="AM11" s="139"/>
      <c r="AN11" s="606">
        <v>0</v>
      </c>
      <c r="AO11" s="29"/>
      <c r="AP11" s="30"/>
      <c r="AQ11" s="139"/>
      <c r="AR11" s="606">
        <v>0</v>
      </c>
      <c r="AS11" s="29"/>
      <c r="AT11" s="30"/>
      <c r="AU11" s="139"/>
      <c r="AV11" s="606">
        <v>0</v>
      </c>
      <c r="AW11" s="29"/>
      <c r="AX11" s="30"/>
      <c r="AY11" s="139"/>
      <c r="AZ11" s="606">
        <v>0</v>
      </c>
      <c r="BA11" s="29"/>
      <c r="BB11" s="30"/>
      <c r="BC11" s="139"/>
      <c r="BD11" s="606">
        <v>0</v>
      </c>
      <c r="BE11" s="29"/>
      <c r="BF11" s="30"/>
      <c r="BG11" s="139"/>
      <c r="BH11" s="606">
        <v>0</v>
      </c>
      <c r="BI11" s="29"/>
      <c r="BJ11" s="1"/>
      <c r="BK11" s="139"/>
      <c r="BL11" s="606">
        <v>0</v>
      </c>
      <c r="BM11" s="29"/>
      <c r="BN11" s="1"/>
      <c r="BO11" s="139"/>
      <c r="BP11" s="606">
        <v>0</v>
      </c>
      <c r="BQ11" s="29"/>
      <c r="BR11" s="30"/>
      <c r="BS11" s="139"/>
      <c r="BT11" s="606">
        <v>0</v>
      </c>
      <c r="BU11" s="29"/>
      <c r="BV11" s="30"/>
      <c r="BW11" s="139"/>
      <c r="BX11" s="139"/>
      <c r="BY11" s="606">
        <v>0</v>
      </c>
      <c r="BZ11" s="29"/>
      <c r="CA11" s="30"/>
      <c r="CB11" s="139"/>
      <c r="CC11" s="606">
        <v>0</v>
      </c>
      <c r="CD11" s="29"/>
      <c r="CE11" s="1"/>
      <c r="CF11" s="139"/>
      <c r="CG11" s="344"/>
      <c r="CH11" s="344"/>
      <c r="CI11" s="186"/>
      <c r="CJ11" s="186"/>
      <c r="CK11" s="344"/>
      <c r="CL11" s="182"/>
      <c r="CM11" s="344"/>
      <c r="CO11" s="115"/>
      <c r="CP11" s="10"/>
      <c r="CQ11" s="50"/>
      <c r="CR11" s="50"/>
      <c r="CS11" s="50"/>
      <c r="CT11" s="50"/>
      <c r="CU11" s="50"/>
      <c r="CV11" s="50"/>
      <c r="CW11" s="51"/>
      <c r="CX11" s="87"/>
      <c r="CY11" s="88"/>
      <c r="CZ11" s="89"/>
      <c r="DA11" s="52"/>
      <c r="DB11" s="52"/>
      <c r="DC11" s="52"/>
      <c r="DD11" s="52"/>
      <c r="DE11" s="52"/>
      <c r="DF11" s="52"/>
    </row>
    <row r="12" spans="1:110" outlineLevel="1">
      <c r="A12" s="471" t="s">
        <v>890</v>
      </c>
      <c r="B12" s="146"/>
      <c r="C12" s="169"/>
      <c r="D12" s="11" t="s">
        <v>402</v>
      </c>
      <c r="E12" s="170">
        <v>0</v>
      </c>
      <c r="F12" s="145" t="s">
        <v>1294</v>
      </c>
      <c r="G12" s="16" t="s">
        <v>465</v>
      </c>
      <c r="H12" s="14" t="s">
        <v>402</v>
      </c>
      <c r="I12" s="14" t="s">
        <v>402</v>
      </c>
      <c r="J12" s="15">
        <v>1</v>
      </c>
      <c r="K12" s="16" t="s">
        <v>396</v>
      </c>
      <c r="L12" s="606">
        <v>0</v>
      </c>
      <c r="M12" s="29"/>
      <c r="N12" s="30"/>
      <c r="O12" s="139"/>
      <c r="P12" s="606">
        <v>0</v>
      </c>
      <c r="Q12" s="29"/>
      <c r="R12" s="30"/>
      <c r="S12" s="139"/>
      <c r="T12" s="606">
        <v>0</v>
      </c>
      <c r="U12" s="29"/>
      <c r="V12" s="30"/>
      <c r="W12" s="139"/>
      <c r="X12" s="606">
        <v>0</v>
      </c>
      <c r="Y12" s="29"/>
      <c r="Z12" s="30"/>
      <c r="AA12" s="139"/>
      <c r="AB12" s="606">
        <v>1</v>
      </c>
      <c r="AC12" s="29"/>
      <c r="AD12" s="30"/>
      <c r="AE12" s="139"/>
      <c r="AF12" s="606">
        <v>0</v>
      </c>
      <c r="AG12" s="29"/>
      <c r="AH12" s="30"/>
      <c r="AI12" s="139"/>
      <c r="AJ12" s="606">
        <v>0</v>
      </c>
      <c r="AK12" s="29"/>
      <c r="AL12" s="139"/>
      <c r="AM12" s="139"/>
      <c r="AN12" s="606">
        <v>0</v>
      </c>
      <c r="AO12" s="29"/>
      <c r="AP12" s="30"/>
      <c r="AQ12" s="139"/>
      <c r="AR12" s="606">
        <v>0</v>
      </c>
      <c r="AS12" s="29"/>
      <c r="AT12" s="30"/>
      <c r="AU12" s="139"/>
      <c r="AV12" s="606">
        <v>0</v>
      </c>
      <c r="AW12" s="29"/>
      <c r="AX12" s="30"/>
      <c r="AY12" s="139"/>
      <c r="AZ12" s="606">
        <v>0</v>
      </c>
      <c r="BA12" s="29"/>
      <c r="BB12" s="30"/>
      <c r="BC12" s="139"/>
      <c r="BD12" s="606">
        <v>0</v>
      </c>
      <c r="BE12" s="29"/>
      <c r="BF12" s="30"/>
      <c r="BG12" s="139"/>
      <c r="BH12" s="606">
        <v>0</v>
      </c>
      <c r="BI12" s="29"/>
      <c r="BJ12" s="1"/>
      <c r="BK12" s="139"/>
      <c r="BL12" s="606">
        <v>0</v>
      </c>
      <c r="BM12" s="29"/>
      <c r="BN12" s="1"/>
      <c r="BO12" s="139"/>
      <c r="BP12" s="606">
        <v>0</v>
      </c>
      <c r="BQ12" s="29"/>
      <c r="BR12" s="30"/>
      <c r="BS12" s="139"/>
      <c r="BT12" s="606">
        <v>0</v>
      </c>
      <c r="BU12" s="29"/>
      <c r="BV12" s="30"/>
      <c r="BW12" s="139"/>
      <c r="BX12" s="139"/>
      <c r="BY12" s="606">
        <v>0</v>
      </c>
      <c r="BZ12" s="29"/>
      <c r="CA12" s="30"/>
      <c r="CB12" s="139"/>
      <c r="CC12" s="606">
        <v>0</v>
      </c>
      <c r="CD12" s="29"/>
      <c r="CE12" s="1"/>
      <c r="CF12" s="139"/>
      <c r="CG12" s="344"/>
      <c r="CH12" s="344"/>
      <c r="CI12" s="186"/>
      <c r="CJ12" s="186"/>
      <c r="CK12" s="344"/>
      <c r="CL12" s="182"/>
      <c r="CM12" s="344"/>
      <c r="CO12" s="115"/>
      <c r="CP12" s="10"/>
      <c r="CQ12" s="50"/>
      <c r="CR12" s="50"/>
      <c r="CS12" s="50"/>
      <c r="CT12" s="50"/>
      <c r="CU12" s="50"/>
      <c r="CV12" s="50"/>
      <c r="CW12" s="51"/>
      <c r="CX12" s="87"/>
      <c r="CY12" s="88"/>
      <c r="CZ12" s="89"/>
      <c r="DA12" s="52"/>
      <c r="DB12" s="52"/>
      <c r="DC12" s="52"/>
      <c r="DD12" s="52"/>
      <c r="DE12" s="52"/>
      <c r="DF12" s="52"/>
    </row>
    <row r="13" spans="1:110" outlineLevel="1">
      <c r="A13" s="614" t="s">
        <v>891</v>
      </c>
      <c r="B13" s="146"/>
      <c r="C13" s="169"/>
      <c r="D13" s="11" t="s">
        <v>402</v>
      </c>
      <c r="E13" s="170">
        <v>0</v>
      </c>
      <c r="F13" s="145" t="s">
        <v>1296</v>
      </c>
      <c r="G13" s="16" t="s">
        <v>465</v>
      </c>
      <c r="H13" s="14" t="s">
        <v>402</v>
      </c>
      <c r="I13" s="14" t="s">
        <v>402</v>
      </c>
      <c r="J13" s="15">
        <v>1</v>
      </c>
      <c r="K13" s="16" t="s">
        <v>396</v>
      </c>
      <c r="L13" s="606">
        <v>0</v>
      </c>
      <c r="M13" s="29"/>
      <c r="N13" s="30"/>
      <c r="O13" s="139"/>
      <c r="P13" s="606">
        <v>0</v>
      </c>
      <c r="Q13" s="29"/>
      <c r="R13" s="30"/>
      <c r="S13" s="139"/>
      <c r="T13" s="606">
        <v>0</v>
      </c>
      <c r="U13" s="29"/>
      <c r="V13" s="30"/>
      <c r="W13" s="139"/>
      <c r="X13" s="606">
        <v>0</v>
      </c>
      <c r="Y13" s="29"/>
      <c r="Z13" s="30"/>
      <c r="AA13" s="139"/>
      <c r="AB13" s="606">
        <v>0</v>
      </c>
      <c r="AC13" s="29"/>
      <c r="AD13" s="30"/>
      <c r="AE13" s="139"/>
      <c r="AF13" s="606">
        <v>0</v>
      </c>
      <c r="AG13" s="29"/>
      <c r="AH13" s="30"/>
      <c r="AI13" s="139"/>
      <c r="AJ13" s="606">
        <v>0</v>
      </c>
      <c r="AK13" s="29"/>
      <c r="AL13" s="139"/>
      <c r="AM13" s="139"/>
      <c r="AN13" s="606">
        <v>1</v>
      </c>
      <c r="AO13" s="29"/>
      <c r="AP13" s="30"/>
      <c r="AQ13" s="139"/>
      <c r="AR13" s="606">
        <v>0</v>
      </c>
      <c r="AS13" s="29"/>
      <c r="AT13" s="30"/>
      <c r="AU13" s="139"/>
      <c r="AV13" s="606">
        <v>0</v>
      </c>
      <c r="AW13" s="29"/>
      <c r="AX13" s="30"/>
      <c r="AY13" s="139"/>
      <c r="AZ13" s="606">
        <v>0</v>
      </c>
      <c r="BA13" s="29"/>
      <c r="BB13" s="30"/>
      <c r="BC13" s="139"/>
      <c r="BD13" s="606">
        <v>0</v>
      </c>
      <c r="BE13" s="29"/>
      <c r="BF13" s="30"/>
      <c r="BG13" s="139"/>
      <c r="BH13" s="606">
        <v>0</v>
      </c>
      <c r="BI13" s="29"/>
      <c r="BJ13" s="1"/>
      <c r="BK13" s="139"/>
      <c r="BL13" s="606">
        <v>0</v>
      </c>
      <c r="BM13" s="29"/>
      <c r="BN13" s="1"/>
      <c r="BO13" s="139"/>
      <c r="BP13" s="606">
        <v>0</v>
      </c>
      <c r="BQ13" s="29"/>
      <c r="BR13" s="30"/>
      <c r="BS13" s="139"/>
      <c r="BT13" s="606">
        <v>0</v>
      </c>
      <c r="BU13" s="29"/>
      <c r="BV13" s="30"/>
      <c r="BW13" s="139"/>
      <c r="BX13" s="139"/>
      <c r="BY13" s="606">
        <v>0</v>
      </c>
      <c r="BZ13" s="29"/>
      <c r="CA13" s="30"/>
      <c r="CB13" s="139"/>
      <c r="CC13" s="606">
        <v>0</v>
      </c>
      <c r="CD13" s="29"/>
      <c r="CE13" s="1"/>
      <c r="CF13" s="139"/>
      <c r="CG13" s="344"/>
      <c r="CH13" s="344"/>
      <c r="CI13" s="186"/>
      <c r="CJ13" s="186"/>
      <c r="CK13" s="344"/>
      <c r="CL13" s="182"/>
      <c r="CM13" s="344"/>
      <c r="CO13" s="115"/>
      <c r="CP13" s="10"/>
      <c r="CQ13" s="50"/>
      <c r="CR13" s="50"/>
      <c r="CS13" s="50"/>
      <c r="CT13" s="50"/>
      <c r="CU13" s="50"/>
      <c r="CV13" s="50"/>
      <c r="CW13" s="51"/>
      <c r="CX13" s="87"/>
      <c r="CY13" s="88"/>
      <c r="CZ13" s="89"/>
      <c r="DA13" s="52"/>
      <c r="DB13" s="52"/>
      <c r="DC13" s="52"/>
      <c r="DD13" s="52"/>
      <c r="DE13" s="52"/>
      <c r="DF13" s="52"/>
    </row>
    <row r="14" spans="1:110" outlineLevel="1">
      <c r="A14" s="614" t="s">
        <v>892</v>
      </c>
      <c r="B14" s="146"/>
      <c r="C14" s="169"/>
      <c r="D14" s="11" t="s">
        <v>402</v>
      </c>
      <c r="E14" s="170">
        <v>0</v>
      </c>
      <c r="F14" s="145" t="s">
        <v>1295</v>
      </c>
      <c r="G14" s="16" t="s">
        <v>465</v>
      </c>
      <c r="H14" s="14" t="s">
        <v>402</v>
      </c>
      <c r="I14" s="14" t="s">
        <v>402</v>
      </c>
      <c r="J14" s="15">
        <v>1</v>
      </c>
      <c r="K14" s="16" t="s">
        <v>396</v>
      </c>
      <c r="L14" s="606">
        <v>0</v>
      </c>
      <c r="M14" s="29"/>
      <c r="N14" s="30"/>
      <c r="O14" s="139"/>
      <c r="P14" s="606">
        <v>0</v>
      </c>
      <c r="Q14" s="29"/>
      <c r="R14" s="30"/>
      <c r="S14" s="139"/>
      <c r="T14" s="606">
        <v>0</v>
      </c>
      <c r="U14" s="29"/>
      <c r="V14" s="30"/>
      <c r="W14" s="139"/>
      <c r="X14" s="606">
        <v>0</v>
      </c>
      <c r="Y14" s="29"/>
      <c r="Z14" s="30"/>
      <c r="AA14" s="139"/>
      <c r="AB14" s="606">
        <v>0</v>
      </c>
      <c r="AC14" s="29"/>
      <c r="AD14" s="30"/>
      <c r="AE14" s="139"/>
      <c r="AF14" s="606">
        <v>0</v>
      </c>
      <c r="AG14" s="29"/>
      <c r="AH14" s="30"/>
      <c r="AI14" s="139"/>
      <c r="AJ14" s="606">
        <v>1</v>
      </c>
      <c r="AK14" s="29"/>
      <c r="AL14" s="139"/>
      <c r="AM14" s="139"/>
      <c r="AN14" s="606">
        <v>0</v>
      </c>
      <c r="AO14" s="29"/>
      <c r="AP14" s="30"/>
      <c r="AQ14" s="139"/>
      <c r="AR14" s="606">
        <v>0</v>
      </c>
      <c r="AS14" s="29"/>
      <c r="AT14" s="30"/>
      <c r="AU14" s="139"/>
      <c r="AV14" s="606">
        <v>0</v>
      </c>
      <c r="AW14" s="29"/>
      <c r="AX14" s="30"/>
      <c r="AY14" s="139"/>
      <c r="AZ14" s="606">
        <v>0</v>
      </c>
      <c r="BA14" s="29"/>
      <c r="BB14" s="30"/>
      <c r="BC14" s="139"/>
      <c r="BD14" s="606">
        <v>0</v>
      </c>
      <c r="BE14" s="29"/>
      <c r="BF14" s="30"/>
      <c r="BG14" s="139"/>
      <c r="BH14" s="606">
        <v>0</v>
      </c>
      <c r="BI14" s="29"/>
      <c r="BJ14" s="1"/>
      <c r="BK14" s="139"/>
      <c r="BL14" s="606">
        <v>0</v>
      </c>
      <c r="BM14" s="29"/>
      <c r="BN14" s="1"/>
      <c r="BO14" s="139"/>
      <c r="BP14" s="606">
        <v>0</v>
      </c>
      <c r="BQ14" s="29"/>
      <c r="BR14" s="30"/>
      <c r="BS14" s="139"/>
      <c r="BT14" s="606">
        <v>0</v>
      </c>
      <c r="BU14" s="29"/>
      <c r="BV14" s="30"/>
      <c r="BW14" s="139"/>
      <c r="BX14" s="139"/>
      <c r="BY14" s="606">
        <v>0</v>
      </c>
      <c r="BZ14" s="29"/>
      <c r="CA14" s="30"/>
      <c r="CB14" s="139"/>
      <c r="CC14" s="606">
        <v>0</v>
      </c>
      <c r="CD14" s="29"/>
      <c r="CE14" s="1"/>
      <c r="CF14" s="139"/>
      <c r="CG14" s="344"/>
      <c r="CH14" s="344"/>
      <c r="CI14" s="186"/>
      <c r="CJ14" s="186"/>
      <c r="CK14" s="344"/>
      <c r="CL14" s="182"/>
      <c r="CM14" s="344"/>
      <c r="CO14" s="115"/>
      <c r="CP14" s="10"/>
      <c r="CQ14" s="50"/>
      <c r="CR14" s="50"/>
      <c r="CS14" s="50"/>
      <c r="CT14" s="50"/>
      <c r="CU14" s="50"/>
      <c r="CV14" s="50"/>
      <c r="CW14" s="51"/>
      <c r="CX14" s="87"/>
      <c r="CY14" s="88"/>
      <c r="CZ14" s="89"/>
      <c r="DA14" s="52"/>
      <c r="DB14" s="52"/>
      <c r="DC14" s="52"/>
      <c r="DD14" s="52"/>
      <c r="DE14" s="52"/>
      <c r="DF14" s="52"/>
    </row>
    <row r="15" spans="1:110">
      <c r="A15" s="471" t="s">
        <v>893</v>
      </c>
      <c r="B15" s="168"/>
      <c r="C15" s="169"/>
      <c r="D15" s="11" t="s">
        <v>402</v>
      </c>
      <c r="E15" s="170">
        <v>0</v>
      </c>
      <c r="F15" s="145" t="s">
        <v>1123</v>
      </c>
      <c r="G15" s="16" t="s">
        <v>956</v>
      </c>
      <c r="H15" s="14" t="s">
        <v>402</v>
      </c>
      <c r="I15" s="14" t="s">
        <v>402</v>
      </c>
      <c r="J15" s="15">
        <v>1</v>
      </c>
      <c r="K15" s="16" t="s">
        <v>396</v>
      </c>
      <c r="L15" s="606">
        <v>0</v>
      </c>
      <c r="M15" s="29"/>
      <c r="N15" s="30"/>
      <c r="O15" s="139"/>
      <c r="P15" s="606">
        <v>0</v>
      </c>
      <c r="Q15" s="29"/>
      <c r="R15" s="30"/>
      <c r="S15" s="139"/>
      <c r="T15" s="606">
        <v>0</v>
      </c>
      <c r="U15" s="29"/>
      <c r="V15" s="30"/>
      <c r="W15" s="139"/>
      <c r="X15" s="606">
        <v>0</v>
      </c>
      <c r="Y15" s="29"/>
      <c r="Z15" s="30"/>
      <c r="AA15" s="139"/>
      <c r="AB15" s="606">
        <v>0</v>
      </c>
      <c r="AC15" s="29"/>
      <c r="AD15" s="30"/>
      <c r="AE15" s="139"/>
      <c r="AF15" s="606">
        <v>0</v>
      </c>
      <c r="AG15" s="29"/>
      <c r="AH15" s="30"/>
      <c r="AI15" s="139"/>
      <c r="AJ15" s="606">
        <v>0</v>
      </c>
      <c r="AK15" s="29"/>
      <c r="AL15" s="30"/>
      <c r="AM15" s="139"/>
      <c r="AN15" s="606">
        <v>0</v>
      </c>
      <c r="AO15" s="29"/>
      <c r="AP15" s="30"/>
      <c r="AQ15" s="139"/>
      <c r="AR15" s="606">
        <v>0</v>
      </c>
      <c r="AS15" s="29"/>
      <c r="AT15" s="30"/>
      <c r="AU15" s="139"/>
      <c r="AV15" s="606">
        <v>1</v>
      </c>
      <c r="AW15" s="29"/>
      <c r="AX15" s="30"/>
      <c r="AY15" s="139"/>
      <c r="AZ15" s="606">
        <v>0</v>
      </c>
      <c r="BA15" s="29"/>
      <c r="BB15" s="30"/>
      <c r="BC15" s="139"/>
      <c r="BD15" s="606">
        <v>0</v>
      </c>
      <c r="BE15" s="29"/>
      <c r="BF15" s="30"/>
      <c r="BG15" s="139"/>
      <c r="BH15" s="606">
        <v>0</v>
      </c>
      <c r="BI15" s="29"/>
      <c r="BJ15" s="1"/>
      <c r="BK15" s="139"/>
      <c r="BL15" s="606">
        <v>0</v>
      </c>
      <c r="BM15" s="29"/>
      <c r="BN15" s="1"/>
      <c r="BO15" s="139"/>
      <c r="BP15" s="606">
        <v>0</v>
      </c>
      <c r="BQ15" s="29"/>
      <c r="BR15" s="30"/>
      <c r="BS15" s="139"/>
      <c r="BT15" s="606">
        <v>0</v>
      </c>
      <c r="BU15" s="29"/>
      <c r="BV15" s="30"/>
      <c r="BW15" s="139"/>
      <c r="BX15" s="139"/>
      <c r="BY15" s="606">
        <v>0</v>
      </c>
      <c r="BZ15" s="29"/>
      <c r="CA15" s="30"/>
      <c r="CB15" s="139"/>
      <c r="CC15" s="606">
        <v>0</v>
      </c>
      <c r="CD15" s="29"/>
      <c r="CE15" s="1"/>
      <c r="CF15" s="139"/>
      <c r="CG15" s="344"/>
      <c r="CH15" s="344"/>
      <c r="CI15" s="186"/>
      <c r="CJ15" s="186"/>
      <c r="CK15" s="344"/>
      <c r="CL15" s="182"/>
      <c r="CM15" s="344"/>
      <c r="CO15" s="115"/>
      <c r="CP15" s="10"/>
      <c r="CQ15" s="50"/>
      <c r="CR15" s="50"/>
      <c r="CS15" s="50"/>
      <c r="CT15" s="50"/>
      <c r="CU15" s="50"/>
      <c r="CV15" s="50"/>
      <c r="CW15" s="51"/>
      <c r="CX15" s="87"/>
      <c r="CY15" s="88"/>
      <c r="CZ15" s="89"/>
      <c r="DA15" s="52"/>
      <c r="DB15" s="52"/>
      <c r="DC15" s="52"/>
      <c r="DD15" s="52"/>
      <c r="DE15" s="52"/>
      <c r="DF15" s="52"/>
    </row>
    <row r="16" spans="1:110">
      <c r="A16" s="471" t="s">
        <v>894</v>
      </c>
      <c r="B16" s="146"/>
      <c r="C16" s="169"/>
      <c r="D16" s="11" t="s">
        <v>402</v>
      </c>
      <c r="E16" s="170">
        <v>0</v>
      </c>
      <c r="F16" s="145" t="s">
        <v>1294</v>
      </c>
      <c r="G16" s="16" t="s">
        <v>956</v>
      </c>
      <c r="H16" s="14" t="s">
        <v>402</v>
      </c>
      <c r="I16" s="14" t="s">
        <v>402</v>
      </c>
      <c r="J16" s="15">
        <v>1</v>
      </c>
      <c r="K16" s="16" t="s">
        <v>396</v>
      </c>
      <c r="L16" s="606">
        <v>0</v>
      </c>
      <c r="M16" s="29"/>
      <c r="N16" s="30"/>
      <c r="O16" s="139"/>
      <c r="P16" s="606">
        <v>0</v>
      </c>
      <c r="Q16" s="29"/>
      <c r="R16" s="30"/>
      <c r="S16" s="139"/>
      <c r="T16" s="606">
        <v>0</v>
      </c>
      <c r="U16" s="29"/>
      <c r="V16" s="30"/>
      <c r="W16" s="139"/>
      <c r="X16" s="606">
        <v>0</v>
      </c>
      <c r="Y16" s="29"/>
      <c r="Z16" s="30"/>
      <c r="AA16" s="139"/>
      <c r="AB16" s="606">
        <v>0</v>
      </c>
      <c r="AC16" s="29"/>
      <c r="AD16" s="30"/>
      <c r="AE16" s="139"/>
      <c r="AF16" s="606">
        <v>0</v>
      </c>
      <c r="AG16" s="29"/>
      <c r="AH16" s="30"/>
      <c r="AI16" s="139"/>
      <c r="AJ16" s="606">
        <v>0</v>
      </c>
      <c r="AK16" s="29"/>
      <c r="AL16" s="30"/>
      <c r="AM16" s="139"/>
      <c r="AN16" s="606">
        <v>0</v>
      </c>
      <c r="AO16" s="29"/>
      <c r="AP16" s="30"/>
      <c r="AQ16" s="139"/>
      <c r="AR16" s="606">
        <v>1</v>
      </c>
      <c r="AS16" s="29"/>
      <c r="AT16" s="30"/>
      <c r="AU16" s="139"/>
      <c r="AV16" s="606">
        <v>0</v>
      </c>
      <c r="AW16" s="29"/>
      <c r="AX16" s="30"/>
      <c r="AY16" s="139"/>
      <c r="AZ16" s="606">
        <v>0</v>
      </c>
      <c r="BA16" s="29"/>
      <c r="BB16" s="30"/>
      <c r="BC16" s="139"/>
      <c r="BD16" s="606">
        <v>0</v>
      </c>
      <c r="BE16" s="29"/>
      <c r="BF16" s="30"/>
      <c r="BG16" s="139"/>
      <c r="BH16" s="606">
        <v>0</v>
      </c>
      <c r="BI16" s="29"/>
      <c r="BJ16" s="1"/>
      <c r="BK16" s="139"/>
      <c r="BL16" s="606">
        <v>0</v>
      </c>
      <c r="BM16" s="29"/>
      <c r="BN16" s="1"/>
      <c r="BO16" s="139"/>
      <c r="BP16" s="606">
        <v>0</v>
      </c>
      <c r="BQ16" s="29"/>
      <c r="BR16" s="30"/>
      <c r="BS16" s="139"/>
      <c r="BT16" s="606">
        <v>0</v>
      </c>
      <c r="BU16" s="29"/>
      <c r="BV16" s="30"/>
      <c r="BW16" s="139"/>
      <c r="BX16" s="139"/>
      <c r="BY16" s="606">
        <v>0</v>
      </c>
      <c r="BZ16" s="29"/>
      <c r="CA16" s="30"/>
      <c r="CB16" s="139"/>
      <c r="CC16" s="606">
        <v>0</v>
      </c>
      <c r="CD16" s="29"/>
      <c r="CE16" s="1"/>
      <c r="CF16" s="139"/>
      <c r="CG16" s="344"/>
      <c r="CH16" s="344"/>
      <c r="CI16" s="186"/>
      <c r="CJ16" s="186"/>
      <c r="CK16" s="344"/>
      <c r="CL16" s="182"/>
      <c r="CM16" s="344"/>
      <c r="CO16" s="115"/>
      <c r="CP16" s="10"/>
      <c r="CQ16" s="50"/>
      <c r="CR16" s="50"/>
      <c r="CS16" s="50"/>
      <c r="CT16" s="50"/>
      <c r="CU16" s="50"/>
      <c r="CV16" s="50"/>
      <c r="CW16" s="51"/>
      <c r="CX16" s="87"/>
      <c r="CY16" s="88"/>
      <c r="CZ16" s="89"/>
      <c r="DA16" s="52"/>
      <c r="DB16" s="52"/>
      <c r="DC16" s="52"/>
      <c r="DD16" s="52"/>
      <c r="DE16" s="52"/>
      <c r="DF16" s="52"/>
    </row>
    <row r="17" spans="1:114">
      <c r="A17" s="614" t="s">
        <v>895</v>
      </c>
      <c r="B17" s="146"/>
      <c r="C17" s="169"/>
      <c r="D17" s="11" t="s">
        <v>402</v>
      </c>
      <c r="E17" s="170">
        <v>0</v>
      </c>
      <c r="F17" s="145" t="s">
        <v>1296</v>
      </c>
      <c r="G17" s="16" t="s">
        <v>956</v>
      </c>
      <c r="H17" s="14" t="s">
        <v>402</v>
      </c>
      <c r="I17" s="14" t="s">
        <v>402</v>
      </c>
      <c r="J17" s="15">
        <v>1</v>
      </c>
      <c r="K17" s="16" t="s">
        <v>396</v>
      </c>
      <c r="L17" s="606">
        <v>0</v>
      </c>
      <c r="M17" s="29"/>
      <c r="N17" s="30"/>
      <c r="O17" s="139"/>
      <c r="P17" s="606">
        <v>0</v>
      </c>
      <c r="Q17" s="29"/>
      <c r="R17" s="30"/>
      <c r="S17" s="139"/>
      <c r="T17" s="606">
        <v>0</v>
      </c>
      <c r="U17" s="29"/>
      <c r="V17" s="30"/>
      <c r="W17" s="139"/>
      <c r="X17" s="606">
        <v>0</v>
      </c>
      <c r="Y17" s="29"/>
      <c r="Z17" s="30"/>
      <c r="AA17" s="139"/>
      <c r="AB17" s="606">
        <v>0</v>
      </c>
      <c r="AC17" s="29"/>
      <c r="AD17" s="30"/>
      <c r="AE17" s="139"/>
      <c r="AF17" s="606">
        <v>0</v>
      </c>
      <c r="AG17" s="29"/>
      <c r="AH17" s="30"/>
      <c r="AI17" s="139"/>
      <c r="AJ17" s="606">
        <v>0</v>
      </c>
      <c r="AK17" s="29"/>
      <c r="AL17" s="30"/>
      <c r="AM17" s="139"/>
      <c r="AN17" s="606">
        <v>0</v>
      </c>
      <c r="AO17" s="29"/>
      <c r="AP17" s="30"/>
      <c r="AQ17" s="139"/>
      <c r="AR17" s="606">
        <v>0</v>
      </c>
      <c r="AS17" s="29"/>
      <c r="AT17" s="30"/>
      <c r="AU17" s="139"/>
      <c r="AV17" s="606">
        <v>0</v>
      </c>
      <c r="AW17" s="29"/>
      <c r="AX17" s="30"/>
      <c r="AY17" s="139"/>
      <c r="AZ17" s="606">
        <v>0</v>
      </c>
      <c r="BA17" s="29"/>
      <c r="BB17" s="30"/>
      <c r="BC17" s="139"/>
      <c r="BD17" s="606">
        <v>1</v>
      </c>
      <c r="BE17" s="29"/>
      <c r="BF17" s="30"/>
      <c r="BG17" s="139"/>
      <c r="BH17" s="606">
        <v>0</v>
      </c>
      <c r="BI17" s="29"/>
      <c r="BJ17" s="1"/>
      <c r="BK17" s="139"/>
      <c r="BL17" s="606">
        <v>0</v>
      </c>
      <c r="BM17" s="29"/>
      <c r="BN17" s="1"/>
      <c r="BO17" s="139"/>
      <c r="BP17" s="606">
        <v>0</v>
      </c>
      <c r="BQ17" s="29"/>
      <c r="BR17" s="30"/>
      <c r="BS17" s="139"/>
      <c r="BT17" s="606">
        <v>0</v>
      </c>
      <c r="BU17" s="29"/>
      <c r="BV17" s="30"/>
      <c r="BW17" s="139"/>
      <c r="BX17" s="139"/>
      <c r="BY17" s="606">
        <v>0</v>
      </c>
      <c r="BZ17" s="29"/>
      <c r="CA17" s="30"/>
      <c r="CB17" s="139"/>
      <c r="CC17" s="606">
        <v>0</v>
      </c>
      <c r="CD17" s="29"/>
      <c r="CE17" s="1"/>
      <c r="CF17" s="139"/>
      <c r="CG17" s="344"/>
      <c r="CH17" s="344"/>
      <c r="CI17" s="186"/>
      <c r="CJ17" s="186"/>
      <c r="CK17" s="344"/>
      <c r="CL17" s="182"/>
      <c r="CM17" s="344"/>
      <c r="CO17" s="115"/>
      <c r="CP17" s="10"/>
      <c r="CQ17" s="50"/>
      <c r="CR17" s="50"/>
      <c r="CS17" s="50"/>
      <c r="CT17" s="50"/>
      <c r="CU17" s="50"/>
      <c r="CV17" s="50"/>
      <c r="CW17" s="51"/>
      <c r="CX17" s="87"/>
      <c r="CY17" s="88"/>
      <c r="CZ17" s="89"/>
      <c r="DA17" s="52"/>
      <c r="DB17" s="52"/>
      <c r="DC17" s="52"/>
      <c r="DD17" s="52"/>
      <c r="DE17" s="52"/>
      <c r="DF17" s="52"/>
    </row>
    <row r="18" spans="1:114">
      <c r="A18" s="614" t="s">
        <v>896</v>
      </c>
      <c r="B18" s="146"/>
      <c r="C18" s="169"/>
      <c r="D18" s="11" t="s">
        <v>402</v>
      </c>
      <c r="E18" s="170">
        <v>0</v>
      </c>
      <c r="F18" s="145" t="s">
        <v>1295</v>
      </c>
      <c r="G18" s="16" t="s">
        <v>956</v>
      </c>
      <c r="H18" s="14" t="s">
        <v>402</v>
      </c>
      <c r="I18" s="14" t="s">
        <v>402</v>
      </c>
      <c r="J18" s="15">
        <v>1</v>
      </c>
      <c r="K18" s="16" t="s">
        <v>396</v>
      </c>
      <c r="L18" s="606">
        <v>0</v>
      </c>
      <c r="M18" s="29"/>
      <c r="N18" s="30"/>
      <c r="O18" s="139"/>
      <c r="P18" s="606">
        <v>0</v>
      </c>
      <c r="Q18" s="29"/>
      <c r="R18" s="30"/>
      <c r="S18" s="139"/>
      <c r="T18" s="606">
        <v>0</v>
      </c>
      <c r="U18" s="29"/>
      <c r="V18" s="30"/>
      <c r="W18" s="139"/>
      <c r="X18" s="606">
        <v>0</v>
      </c>
      <c r="Y18" s="29"/>
      <c r="Z18" s="30"/>
      <c r="AA18" s="139"/>
      <c r="AB18" s="606">
        <v>0</v>
      </c>
      <c r="AC18" s="29"/>
      <c r="AD18" s="30"/>
      <c r="AE18" s="139"/>
      <c r="AF18" s="606">
        <v>0</v>
      </c>
      <c r="AG18" s="29"/>
      <c r="AH18" s="30"/>
      <c r="AI18" s="139"/>
      <c r="AJ18" s="606">
        <v>0</v>
      </c>
      <c r="AK18" s="29"/>
      <c r="AL18" s="30"/>
      <c r="AM18" s="139"/>
      <c r="AN18" s="606">
        <v>0</v>
      </c>
      <c r="AO18" s="29"/>
      <c r="AP18" s="30"/>
      <c r="AQ18" s="139"/>
      <c r="AR18" s="606">
        <v>0</v>
      </c>
      <c r="AS18" s="29"/>
      <c r="AT18" s="30"/>
      <c r="AU18" s="139"/>
      <c r="AV18" s="606">
        <v>0</v>
      </c>
      <c r="AW18" s="29"/>
      <c r="AX18" s="30"/>
      <c r="AY18" s="139"/>
      <c r="AZ18" s="606">
        <v>1</v>
      </c>
      <c r="BA18" s="29"/>
      <c r="BB18" s="30"/>
      <c r="BC18" s="139"/>
      <c r="BD18" s="606">
        <v>0</v>
      </c>
      <c r="BE18" s="29"/>
      <c r="BF18" s="30"/>
      <c r="BG18" s="139"/>
      <c r="BH18" s="606">
        <v>0</v>
      </c>
      <c r="BI18" s="29"/>
      <c r="BJ18" s="1"/>
      <c r="BK18" s="139"/>
      <c r="BL18" s="606">
        <v>0</v>
      </c>
      <c r="BM18" s="29"/>
      <c r="BN18" s="1"/>
      <c r="BO18" s="139"/>
      <c r="BP18" s="606">
        <v>0</v>
      </c>
      <c r="BQ18" s="29"/>
      <c r="BR18" s="30"/>
      <c r="BS18" s="139"/>
      <c r="BT18" s="606">
        <v>0</v>
      </c>
      <c r="BU18" s="29"/>
      <c r="BV18" s="30"/>
      <c r="BW18" s="139"/>
      <c r="BX18" s="139"/>
      <c r="BY18" s="606">
        <v>0</v>
      </c>
      <c r="BZ18" s="29"/>
      <c r="CA18" s="30"/>
      <c r="CB18" s="139"/>
      <c r="CC18" s="606">
        <v>0</v>
      </c>
      <c r="CD18" s="29"/>
      <c r="CE18" s="1"/>
      <c r="CF18" s="139"/>
      <c r="CG18" s="344"/>
      <c r="CH18" s="344"/>
      <c r="CI18" s="186"/>
      <c r="CJ18" s="186"/>
      <c r="CK18" s="344"/>
      <c r="CL18" s="182"/>
      <c r="CM18" s="344"/>
      <c r="CO18" s="115"/>
      <c r="CP18" s="10"/>
      <c r="CQ18" s="50"/>
      <c r="CR18" s="50"/>
      <c r="CS18" s="50"/>
      <c r="CT18" s="50"/>
      <c r="CU18" s="50"/>
      <c r="CV18" s="50"/>
      <c r="CW18" s="51"/>
      <c r="CX18" s="87"/>
      <c r="CY18" s="88"/>
      <c r="CZ18" s="89"/>
      <c r="DA18" s="52"/>
      <c r="DB18" s="52"/>
      <c r="DC18" s="52"/>
      <c r="DD18" s="52"/>
      <c r="DE18" s="52"/>
      <c r="DF18" s="52"/>
    </row>
    <row r="19" spans="1:114">
      <c r="A19" s="4">
        <v>1521</v>
      </c>
      <c r="B19" s="168"/>
      <c r="C19" s="169"/>
      <c r="D19" s="11" t="s">
        <v>402</v>
      </c>
      <c r="E19" s="170">
        <v>0</v>
      </c>
      <c r="F19" s="145" t="s">
        <v>1295</v>
      </c>
      <c r="G19" s="16" t="s">
        <v>521</v>
      </c>
      <c r="H19" s="14" t="s">
        <v>402</v>
      </c>
      <c r="I19" s="14" t="s">
        <v>402</v>
      </c>
      <c r="J19" s="15">
        <v>1</v>
      </c>
      <c r="K19" s="16" t="s">
        <v>396</v>
      </c>
      <c r="L19" s="606">
        <v>0</v>
      </c>
      <c r="M19" s="29"/>
      <c r="N19" s="30"/>
      <c r="O19" s="139"/>
      <c r="P19" s="606">
        <v>0</v>
      </c>
      <c r="Q19" s="29"/>
      <c r="R19" s="30"/>
      <c r="S19" s="139"/>
      <c r="T19" s="606">
        <v>0</v>
      </c>
      <c r="U19" s="29"/>
      <c r="V19" s="30"/>
      <c r="W19" s="139"/>
      <c r="X19" s="606">
        <v>0</v>
      </c>
      <c r="Y19" s="29"/>
      <c r="Z19" s="30"/>
      <c r="AA19" s="139"/>
      <c r="AB19" s="606">
        <v>0</v>
      </c>
      <c r="AC19" s="29"/>
      <c r="AD19" s="30"/>
      <c r="AE19" s="139"/>
      <c r="AF19" s="606">
        <v>0</v>
      </c>
      <c r="AG19" s="29"/>
      <c r="AH19" s="30"/>
      <c r="AI19" s="139"/>
      <c r="AJ19" s="606">
        <v>0</v>
      </c>
      <c r="AK19" s="29"/>
      <c r="AL19" s="30"/>
      <c r="AM19" s="139"/>
      <c r="AN19" s="606">
        <v>0</v>
      </c>
      <c r="AO19" s="29"/>
      <c r="AP19" s="30"/>
      <c r="AQ19" s="139"/>
      <c r="AR19" s="606">
        <v>0</v>
      </c>
      <c r="AS19" s="29"/>
      <c r="AT19" s="30"/>
      <c r="AU19" s="139"/>
      <c r="AV19" s="606">
        <v>0</v>
      </c>
      <c r="AW19" s="29"/>
      <c r="AX19" s="30"/>
      <c r="AY19" s="139"/>
      <c r="AZ19" s="606">
        <v>0</v>
      </c>
      <c r="BA19" s="29"/>
      <c r="BB19" s="30"/>
      <c r="BC19" s="139"/>
      <c r="BD19" s="606">
        <v>0</v>
      </c>
      <c r="BE19" s="29"/>
      <c r="BF19" s="30"/>
      <c r="BG19" s="139"/>
      <c r="BH19" s="606">
        <v>0</v>
      </c>
      <c r="BI19" s="29"/>
      <c r="BJ19" s="1"/>
      <c r="BK19" s="139"/>
      <c r="BL19" s="606">
        <v>0</v>
      </c>
      <c r="BM19" s="29"/>
      <c r="BN19" s="1"/>
      <c r="BO19" s="139"/>
      <c r="BP19" s="606">
        <v>1</v>
      </c>
      <c r="BQ19" s="29"/>
      <c r="BR19" s="30"/>
      <c r="BS19" s="139"/>
      <c r="BT19" s="606">
        <v>0</v>
      </c>
      <c r="BU19" s="29"/>
      <c r="BV19" s="30"/>
      <c r="BW19" s="139"/>
      <c r="BX19" s="139"/>
      <c r="BY19" s="606">
        <v>0</v>
      </c>
      <c r="BZ19" s="29"/>
      <c r="CA19" s="30"/>
      <c r="CB19" s="139"/>
      <c r="CC19" s="606">
        <v>0</v>
      </c>
      <c r="CD19" s="29"/>
      <c r="CE19" s="1"/>
      <c r="CF19" s="139"/>
      <c r="CG19" s="180"/>
      <c r="CH19" s="180"/>
      <c r="CI19" s="181"/>
      <c r="CJ19" s="181"/>
      <c r="CK19" s="180"/>
      <c r="CL19" s="181"/>
      <c r="CM19" s="258"/>
      <c r="CO19" s="115"/>
      <c r="CP19" s="10"/>
      <c r="CQ19" s="50"/>
      <c r="CR19" s="50"/>
      <c r="CS19" s="50"/>
      <c r="CT19" s="50"/>
      <c r="CU19" s="50"/>
      <c r="CV19" s="50"/>
      <c r="CW19" s="51"/>
      <c r="CX19" s="87"/>
      <c r="CY19" s="88"/>
      <c r="CZ19" s="89"/>
      <c r="DA19" s="52"/>
      <c r="DB19" s="52"/>
      <c r="DC19" s="52"/>
      <c r="DD19" s="52"/>
      <c r="DE19" s="52"/>
      <c r="DF19" s="52"/>
    </row>
    <row r="20" spans="1:114">
      <c r="A20" s="4">
        <v>1623</v>
      </c>
      <c r="B20" s="146"/>
      <c r="C20" s="169"/>
      <c r="D20" s="11" t="s">
        <v>402</v>
      </c>
      <c r="E20" s="170">
        <v>0</v>
      </c>
      <c r="F20" s="145" t="s">
        <v>1294</v>
      </c>
      <c r="G20" s="16" t="s">
        <v>521</v>
      </c>
      <c r="H20" s="14" t="s">
        <v>402</v>
      </c>
      <c r="I20" s="14" t="s">
        <v>402</v>
      </c>
      <c r="J20" s="15">
        <v>1</v>
      </c>
      <c r="K20" s="16" t="s">
        <v>396</v>
      </c>
      <c r="L20" s="606">
        <v>0</v>
      </c>
      <c r="M20" s="29"/>
      <c r="N20" s="30"/>
      <c r="O20" s="139"/>
      <c r="P20" s="606">
        <v>0</v>
      </c>
      <c r="Q20" s="29"/>
      <c r="R20" s="30"/>
      <c r="S20" s="139"/>
      <c r="T20" s="606">
        <v>0</v>
      </c>
      <c r="U20" s="29"/>
      <c r="V20" s="30"/>
      <c r="W20" s="139"/>
      <c r="X20" s="606">
        <v>0</v>
      </c>
      <c r="Y20" s="29"/>
      <c r="Z20" s="30"/>
      <c r="AA20" s="139"/>
      <c r="AB20" s="606">
        <v>0</v>
      </c>
      <c r="AC20" s="29"/>
      <c r="AD20" s="30"/>
      <c r="AE20" s="139"/>
      <c r="AF20" s="606">
        <v>0</v>
      </c>
      <c r="AG20" s="29"/>
      <c r="AH20" s="30"/>
      <c r="AI20" s="139"/>
      <c r="AJ20" s="606">
        <v>0</v>
      </c>
      <c r="AK20" s="29"/>
      <c r="AL20" s="30"/>
      <c r="AM20" s="139"/>
      <c r="AN20" s="606">
        <v>0</v>
      </c>
      <c r="AO20" s="29"/>
      <c r="AP20" s="30"/>
      <c r="AQ20" s="139"/>
      <c r="AR20" s="606">
        <v>0</v>
      </c>
      <c r="AS20" s="29"/>
      <c r="AT20" s="30"/>
      <c r="AU20" s="139"/>
      <c r="AV20" s="606">
        <v>0</v>
      </c>
      <c r="AW20" s="29"/>
      <c r="AX20" s="30"/>
      <c r="AY20" s="139"/>
      <c r="AZ20" s="606">
        <v>0</v>
      </c>
      <c r="BA20" s="29"/>
      <c r="BB20" s="30"/>
      <c r="BC20" s="139"/>
      <c r="BD20" s="606">
        <v>0</v>
      </c>
      <c r="BE20" s="29"/>
      <c r="BF20" s="30"/>
      <c r="BG20" s="139"/>
      <c r="BH20" s="606">
        <v>1</v>
      </c>
      <c r="BI20" s="29"/>
      <c r="BJ20" s="1"/>
      <c r="BK20" s="139"/>
      <c r="BL20" s="606">
        <v>0</v>
      </c>
      <c r="BM20" s="29"/>
      <c r="BN20" s="1"/>
      <c r="BO20" s="139"/>
      <c r="BP20" s="606">
        <v>0</v>
      </c>
      <c r="BQ20" s="29"/>
      <c r="BR20" s="30"/>
      <c r="BS20" s="139"/>
      <c r="BT20" s="606">
        <v>0</v>
      </c>
      <c r="BU20" s="29"/>
      <c r="BV20" s="30"/>
      <c r="BW20" s="139"/>
      <c r="BX20" s="139"/>
      <c r="BY20" s="606">
        <v>0</v>
      </c>
      <c r="BZ20" s="29"/>
      <c r="CA20" s="30"/>
      <c r="CB20" s="139"/>
      <c r="CC20" s="606">
        <v>0</v>
      </c>
      <c r="CD20" s="29"/>
      <c r="CE20" s="1"/>
      <c r="CF20" s="139"/>
      <c r="CG20" s="180"/>
      <c r="CH20" s="180"/>
      <c r="CI20" s="182"/>
      <c r="CJ20" s="182"/>
      <c r="CK20" s="180"/>
      <c r="CL20" s="182"/>
      <c r="CM20" s="259"/>
      <c r="CO20" s="115"/>
      <c r="CP20" s="10"/>
      <c r="CQ20" s="50"/>
      <c r="CR20" s="50"/>
      <c r="CS20" s="50"/>
      <c r="CT20" s="50"/>
      <c r="CU20" s="50"/>
      <c r="CV20" s="50"/>
      <c r="CW20" s="51"/>
      <c r="CX20" s="87"/>
      <c r="CY20" s="88"/>
      <c r="CZ20" s="89"/>
      <c r="DA20" s="52"/>
      <c r="DB20" s="52"/>
      <c r="DC20" s="52"/>
      <c r="DD20" s="52"/>
      <c r="DE20" s="52"/>
      <c r="DF20" s="52"/>
    </row>
    <row r="21" spans="1:114">
      <c r="A21" s="38">
        <v>1522</v>
      </c>
      <c r="B21" s="146"/>
      <c r="C21" s="169"/>
      <c r="D21" s="11" t="s">
        <v>402</v>
      </c>
      <c r="E21" s="170">
        <v>0</v>
      </c>
      <c r="F21" s="145" t="s">
        <v>1296</v>
      </c>
      <c r="G21" s="16" t="s">
        <v>521</v>
      </c>
      <c r="H21" s="14" t="s">
        <v>402</v>
      </c>
      <c r="I21" s="14" t="s">
        <v>402</v>
      </c>
      <c r="J21" s="15">
        <v>1</v>
      </c>
      <c r="K21" s="16" t="s">
        <v>396</v>
      </c>
      <c r="L21" s="606">
        <v>0</v>
      </c>
      <c r="M21" s="29"/>
      <c r="N21" s="30"/>
      <c r="O21" s="139"/>
      <c r="P21" s="606">
        <v>0</v>
      </c>
      <c r="Q21" s="29"/>
      <c r="R21" s="30"/>
      <c r="S21" s="139"/>
      <c r="T21" s="606">
        <v>0</v>
      </c>
      <c r="U21" s="29"/>
      <c r="V21" s="30"/>
      <c r="W21" s="139"/>
      <c r="X21" s="606">
        <v>0</v>
      </c>
      <c r="Y21" s="29"/>
      <c r="Z21" s="30"/>
      <c r="AA21" s="139"/>
      <c r="AB21" s="606">
        <v>0</v>
      </c>
      <c r="AC21" s="29"/>
      <c r="AD21" s="30"/>
      <c r="AE21" s="139"/>
      <c r="AF21" s="606">
        <v>0</v>
      </c>
      <c r="AG21" s="29"/>
      <c r="AH21" s="30"/>
      <c r="AI21" s="139"/>
      <c r="AJ21" s="606">
        <v>0</v>
      </c>
      <c r="AK21" s="29"/>
      <c r="AL21" s="30"/>
      <c r="AM21" s="139"/>
      <c r="AN21" s="606">
        <v>0</v>
      </c>
      <c r="AO21" s="29"/>
      <c r="AP21" s="30"/>
      <c r="AQ21" s="139"/>
      <c r="AR21" s="606">
        <v>0</v>
      </c>
      <c r="AS21" s="29"/>
      <c r="AT21" s="30"/>
      <c r="AU21" s="139"/>
      <c r="AV21" s="606">
        <v>0</v>
      </c>
      <c r="AW21" s="29"/>
      <c r="AX21" s="30"/>
      <c r="AY21" s="139"/>
      <c r="AZ21" s="606">
        <v>0</v>
      </c>
      <c r="BA21" s="29"/>
      <c r="BB21" s="30"/>
      <c r="BC21" s="139"/>
      <c r="BD21" s="606">
        <v>0</v>
      </c>
      <c r="BE21" s="29"/>
      <c r="BF21" s="30"/>
      <c r="BG21" s="139"/>
      <c r="BH21" s="606">
        <v>0</v>
      </c>
      <c r="BI21" s="29"/>
      <c r="BJ21" s="1"/>
      <c r="BK21" s="139"/>
      <c r="BL21" s="606">
        <v>0</v>
      </c>
      <c r="BM21" s="29"/>
      <c r="BN21" s="1"/>
      <c r="BO21" s="139"/>
      <c r="BP21" s="606">
        <v>0</v>
      </c>
      <c r="BQ21" s="29"/>
      <c r="BR21" s="30"/>
      <c r="BS21" s="139"/>
      <c r="BT21" s="606">
        <v>1</v>
      </c>
      <c r="BU21" s="29"/>
      <c r="BV21" s="30"/>
      <c r="BW21" s="139"/>
      <c r="BX21" s="139"/>
      <c r="BY21" s="606">
        <v>0</v>
      </c>
      <c r="BZ21" s="29"/>
      <c r="CA21" s="30"/>
      <c r="CB21" s="139"/>
      <c r="CC21" s="606">
        <v>0</v>
      </c>
      <c r="CD21" s="29"/>
      <c r="CE21" s="1"/>
      <c r="CF21" s="139"/>
      <c r="CG21" s="180"/>
      <c r="CH21" s="180"/>
      <c r="CK21" s="180"/>
      <c r="CM21" s="255"/>
      <c r="CO21" s="115"/>
      <c r="CP21" s="10"/>
      <c r="CQ21" s="50"/>
      <c r="CR21" s="50"/>
      <c r="CS21" s="50"/>
      <c r="CT21" s="50"/>
      <c r="CU21" s="50"/>
      <c r="CV21" s="50"/>
      <c r="CW21" s="51"/>
      <c r="CX21" s="87"/>
      <c r="CY21" s="88"/>
      <c r="CZ21" s="89"/>
      <c r="DA21" s="52"/>
      <c r="DB21" s="52"/>
      <c r="DC21" s="52"/>
      <c r="DD21" s="52"/>
      <c r="DE21" s="52"/>
      <c r="DF21" s="52"/>
    </row>
    <row r="22" spans="1:114">
      <c r="A22" s="38">
        <v>1624</v>
      </c>
      <c r="B22" s="146"/>
      <c r="C22" s="169"/>
      <c r="D22" s="11" t="s">
        <v>402</v>
      </c>
      <c r="E22" s="170">
        <v>0</v>
      </c>
      <c r="F22" s="145" t="s">
        <v>1123</v>
      </c>
      <c r="G22" s="16" t="s">
        <v>521</v>
      </c>
      <c r="H22" s="14" t="s">
        <v>402</v>
      </c>
      <c r="I22" s="14" t="s">
        <v>402</v>
      </c>
      <c r="J22" s="15">
        <v>1</v>
      </c>
      <c r="K22" s="16" t="s">
        <v>396</v>
      </c>
      <c r="L22" s="606">
        <v>0</v>
      </c>
      <c r="M22" s="29"/>
      <c r="N22" s="30"/>
      <c r="O22" s="139"/>
      <c r="P22" s="606">
        <v>0</v>
      </c>
      <c r="Q22" s="29"/>
      <c r="R22" s="30"/>
      <c r="S22" s="139"/>
      <c r="T22" s="606">
        <v>0</v>
      </c>
      <c r="U22" s="29"/>
      <c r="V22" s="30"/>
      <c r="W22" s="139"/>
      <c r="X22" s="606">
        <v>0</v>
      </c>
      <c r="Y22" s="29"/>
      <c r="Z22" s="30"/>
      <c r="AA22" s="139"/>
      <c r="AB22" s="606">
        <v>0</v>
      </c>
      <c r="AC22" s="29"/>
      <c r="AD22" s="30"/>
      <c r="AE22" s="139"/>
      <c r="AF22" s="606">
        <v>0</v>
      </c>
      <c r="AG22" s="29"/>
      <c r="AH22" s="30"/>
      <c r="AI22" s="139"/>
      <c r="AJ22" s="606">
        <v>0</v>
      </c>
      <c r="AK22" s="29"/>
      <c r="AL22" s="30"/>
      <c r="AM22" s="139"/>
      <c r="AN22" s="606">
        <v>0</v>
      </c>
      <c r="AO22" s="29"/>
      <c r="AP22" s="30"/>
      <c r="AQ22" s="139"/>
      <c r="AR22" s="606">
        <v>0</v>
      </c>
      <c r="AS22" s="29"/>
      <c r="AT22" s="30"/>
      <c r="AU22" s="139"/>
      <c r="AV22" s="606">
        <v>0</v>
      </c>
      <c r="AW22" s="29"/>
      <c r="AX22" s="30"/>
      <c r="AY22" s="139"/>
      <c r="AZ22" s="606">
        <v>0</v>
      </c>
      <c r="BA22" s="29"/>
      <c r="BB22" s="30"/>
      <c r="BC22" s="139"/>
      <c r="BD22" s="606">
        <v>0</v>
      </c>
      <c r="BE22" s="29"/>
      <c r="BF22" s="30"/>
      <c r="BG22" s="139"/>
      <c r="BH22" s="606">
        <v>0</v>
      </c>
      <c r="BI22" s="29"/>
      <c r="BJ22" s="1"/>
      <c r="BK22" s="139"/>
      <c r="BL22" s="606">
        <v>1</v>
      </c>
      <c r="BM22" s="29"/>
      <c r="BN22" s="1"/>
      <c r="BO22" s="139"/>
      <c r="BP22" s="606">
        <v>0</v>
      </c>
      <c r="BQ22" s="29"/>
      <c r="BR22" s="30"/>
      <c r="BS22" s="139"/>
      <c r="BT22" s="606">
        <v>0</v>
      </c>
      <c r="BU22" s="29"/>
      <c r="BV22" s="30"/>
      <c r="BW22" s="139"/>
      <c r="BX22" s="139"/>
      <c r="BY22" s="606">
        <v>0</v>
      </c>
      <c r="BZ22" s="29"/>
      <c r="CA22" s="30"/>
      <c r="CB22" s="139"/>
      <c r="CC22" s="606">
        <v>0</v>
      </c>
      <c r="CD22" s="29"/>
      <c r="CE22" s="1"/>
      <c r="CF22" s="139"/>
      <c r="CG22" s="180"/>
      <c r="CH22" s="180"/>
      <c r="CK22" s="180"/>
      <c r="CM22" s="255"/>
      <c r="CO22" s="115"/>
      <c r="CP22" s="10"/>
      <c r="CQ22" s="50"/>
      <c r="CR22" s="50"/>
      <c r="CS22" s="50"/>
      <c r="CT22" s="50"/>
      <c r="CU22" s="50"/>
      <c r="CV22" s="50"/>
      <c r="CW22" s="51"/>
      <c r="CX22" s="87"/>
      <c r="CY22" s="88"/>
      <c r="CZ22" s="89"/>
      <c r="DA22" s="52"/>
      <c r="DB22" s="52"/>
      <c r="DC22" s="52"/>
      <c r="DD22" s="52"/>
      <c r="DE22" s="52"/>
      <c r="DF22" s="52"/>
    </row>
    <row r="23" spans="1:114" outlineLevel="2">
      <c r="A23" s="120">
        <v>32063</v>
      </c>
      <c r="B23" s="146"/>
      <c r="C23" s="169"/>
      <c r="D23" s="11" t="s">
        <v>402</v>
      </c>
      <c r="E23" s="170">
        <v>0</v>
      </c>
      <c r="F23" s="145" t="s">
        <v>1297</v>
      </c>
      <c r="G23" s="16" t="s">
        <v>521</v>
      </c>
      <c r="H23" s="14" t="s">
        <v>402</v>
      </c>
      <c r="I23" s="14" t="s">
        <v>402</v>
      </c>
      <c r="J23" s="15">
        <v>1</v>
      </c>
      <c r="K23" s="16" t="s">
        <v>396</v>
      </c>
      <c r="L23" s="606">
        <v>0</v>
      </c>
      <c r="M23" s="29"/>
      <c r="N23" s="30"/>
      <c r="O23" s="139"/>
      <c r="P23" s="606">
        <v>0</v>
      </c>
      <c r="Q23" s="29"/>
      <c r="R23" s="30"/>
      <c r="S23" s="139"/>
      <c r="T23" s="606">
        <v>0</v>
      </c>
      <c r="U23" s="29"/>
      <c r="V23" s="30"/>
      <c r="W23" s="139"/>
      <c r="X23" s="606">
        <v>0</v>
      </c>
      <c r="Y23" s="29"/>
      <c r="Z23" s="30"/>
      <c r="AA23" s="139"/>
      <c r="AB23" s="606">
        <v>0</v>
      </c>
      <c r="AC23" s="29"/>
      <c r="AD23" s="30"/>
      <c r="AE23" s="139"/>
      <c r="AF23" s="606">
        <v>0</v>
      </c>
      <c r="AG23" s="29"/>
      <c r="AH23" s="30"/>
      <c r="AI23" s="139"/>
      <c r="AJ23" s="606">
        <v>0</v>
      </c>
      <c r="AK23" s="29"/>
      <c r="AL23" s="30"/>
      <c r="AM23" s="139"/>
      <c r="AN23" s="606">
        <v>0</v>
      </c>
      <c r="AO23" s="29"/>
      <c r="AP23" s="30"/>
      <c r="AQ23" s="139"/>
      <c r="AR23" s="606">
        <v>0</v>
      </c>
      <c r="AS23" s="29"/>
      <c r="AT23" s="30"/>
      <c r="AU23" s="139"/>
      <c r="AV23" s="606">
        <v>0</v>
      </c>
      <c r="AW23" s="29"/>
      <c r="AX23" s="30"/>
      <c r="AY23" s="139"/>
      <c r="AZ23" s="606">
        <v>0</v>
      </c>
      <c r="BA23" s="29"/>
      <c r="BB23" s="30"/>
      <c r="BC23" s="139"/>
      <c r="BD23" s="606">
        <v>0</v>
      </c>
      <c r="BE23" s="29"/>
      <c r="BF23" s="30"/>
      <c r="BG23" s="139"/>
      <c r="BH23" s="606">
        <v>0</v>
      </c>
      <c r="BI23" s="29"/>
      <c r="BJ23" s="1"/>
      <c r="BK23" s="139"/>
      <c r="BL23" s="606">
        <v>0</v>
      </c>
      <c r="BM23" s="29"/>
      <c r="BN23" s="1"/>
      <c r="BO23" s="139"/>
      <c r="BP23" s="606">
        <v>0</v>
      </c>
      <c r="BQ23" s="29"/>
      <c r="BR23" s="30"/>
      <c r="BS23" s="139"/>
      <c r="BT23" s="606">
        <v>0</v>
      </c>
      <c r="BU23" s="29"/>
      <c r="BV23" s="30"/>
      <c r="BW23" s="139"/>
      <c r="BX23" s="139"/>
      <c r="BY23" s="606">
        <v>1</v>
      </c>
      <c r="BZ23" s="29"/>
      <c r="CA23" s="30"/>
      <c r="CB23" s="139"/>
      <c r="CC23" s="606">
        <v>0</v>
      </c>
      <c r="CD23" s="29"/>
      <c r="CE23" s="1"/>
      <c r="CF23" s="139"/>
      <c r="CG23" s="180"/>
      <c r="CH23" s="180"/>
      <c r="CK23" s="180"/>
      <c r="CM23" s="255"/>
      <c r="CO23" s="115"/>
      <c r="CP23" s="10"/>
      <c r="CQ23" s="50"/>
      <c r="CR23" s="50"/>
      <c r="CS23" s="50"/>
      <c r="CT23" s="50"/>
      <c r="CU23" s="50"/>
      <c r="CV23" s="50"/>
      <c r="CW23" s="51"/>
      <c r="CX23" s="87"/>
      <c r="CY23" s="88"/>
      <c r="CZ23" s="89"/>
      <c r="DA23" s="52"/>
      <c r="DB23" s="52"/>
      <c r="DC23" s="52"/>
      <c r="DD23" s="52"/>
      <c r="DE23" s="52"/>
      <c r="DF23" s="52"/>
    </row>
    <row r="24" spans="1:114" outlineLevel="2">
      <c r="A24" s="120">
        <v>32065</v>
      </c>
      <c r="B24" s="146"/>
      <c r="C24" s="169"/>
      <c r="D24" s="11" t="s">
        <v>402</v>
      </c>
      <c r="E24" s="170">
        <v>0</v>
      </c>
      <c r="F24" s="145" t="s">
        <v>1298</v>
      </c>
      <c r="G24" s="16" t="s">
        <v>521</v>
      </c>
      <c r="H24" s="14" t="s">
        <v>402</v>
      </c>
      <c r="I24" s="14" t="s">
        <v>402</v>
      </c>
      <c r="J24" s="15">
        <v>1</v>
      </c>
      <c r="K24" s="16" t="s">
        <v>396</v>
      </c>
      <c r="L24" s="606">
        <v>0</v>
      </c>
      <c r="M24" s="29"/>
      <c r="N24" s="30"/>
      <c r="O24" s="139"/>
      <c r="P24" s="606">
        <v>0</v>
      </c>
      <c r="Q24" s="29"/>
      <c r="R24" s="30"/>
      <c r="S24" s="139"/>
      <c r="T24" s="606">
        <v>0</v>
      </c>
      <c r="U24" s="29"/>
      <c r="V24" s="30"/>
      <c r="W24" s="139"/>
      <c r="X24" s="606">
        <v>0</v>
      </c>
      <c r="Y24" s="29"/>
      <c r="Z24" s="30"/>
      <c r="AA24" s="139"/>
      <c r="AB24" s="606">
        <v>0</v>
      </c>
      <c r="AC24" s="29"/>
      <c r="AD24" s="30"/>
      <c r="AE24" s="139"/>
      <c r="AF24" s="606">
        <v>0</v>
      </c>
      <c r="AG24" s="29"/>
      <c r="AH24" s="30"/>
      <c r="AI24" s="139"/>
      <c r="AJ24" s="606">
        <v>0</v>
      </c>
      <c r="AK24" s="29"/>
      <c r="AL24" s="30"/>
      <c r="AM24" s="139"/>
      <c r="AN24" s="606">
        <v>0</v>
      </c>
      <c r="AO24" s="29"/>
      <c r="AP24" s="30"/>
      <c r="AQ24" s="139"/>
      <c r="AR24" s="606">
        <v>0</v>
      </c>
      <c r="AS24" s="29"/>
      <c r="AT24" s="30"/>
      <c r="AU24" s="139"/>
      <c r="AV24" s="606">
        <v>0</v>
      </c>
      <c r="AW24" s="29"/>
      <c r="AX24" s="30"/>
      <c r="AY24" s="139"/>
      <c r="AZ24" s="606">
        <v>0</v>
      </c>
      <c r="BA24" s="29"/>
      <c r="BB24" s="30"/>
      <c r="BC24" s="139"/>
      <c r="BD24" s="606">
        <v>0</v>
      </c>
      <c r="BE24" s="29"/>
      <c r="BF24" s="30"/>
      <c r="BG24" s="139"/>
      <c r="BH24" s="606">
        <v>0</v>
      </c>
      <c r="BI24" s="29"/>
      <c r="BJ24" s="1"/>
      <c r="BK24" s="139"/>
      <c r="BL24" s="606">
        <v>0</v>
      </c>
      <c r="BM24" s="29"/>
      <c r="BN24" s="1"/>
      <c r="BO24" s="139"/>
      <c r="BP24" s="606">
        <v>0</v>
      </c>
      <c r="BQ24" s="29"/>
      <c r="BR24" s="30"/>
      <c r="BS24" s="139"/>
      <c r="BT24" s="606">
        <v>0</v>
      </c>
      <c r="BU24" s="29"/>
      <c r="BV24" s="30"/>
      <c r="BW24" s="139"/>
      <c r="BX24" s="139"/>
      <c r="BY24" s="606">
        <v>0</v>
      </c>
      <c r="BZ24" s="29"/>
      <c r="CA24" s="30"/>
      <c r="CB24" s="139"/>
      <c r="CC24" s="606">
        <v>1</v>
      </c>
      <c r="CD24" s="29"/>
      <c r="CE24" s="1"/>
      <c r="CF24" s="139"/>
      <c r="CG24" s="344">
        <v>1.5973200000000001</v>
      </c>
      <c r="CH24" s="344">
        <v>1.5973200000000001</v>
      </c>
      <c r="CI24" s="186" t="s">
        <v>621</v>
      </c>
      <c r="CJ24" s="186"/>
      <c r="CK24" s="344">
        <v>1.5973200000000001</v>
      </c>
      <c r="CL24" s="182">
        <v>21906.102857142858</v>
      </c>
      <c r="CM24" s="344">
        <v>1.5973200000000001</v>
      </c>
      <c r="CO24" s="115"/>
      <c r="CP24" s="10"/>
      <c r="CQ24" s="50"/>
      <c r="CR24" s="50"/>
      <c r="CS24" s="50"/>
      <c r="CT24" s="50"/>
      <c r="CU24" s="50"/>
      <c r="CV24" s="50"/>
      <c r="CW24" s="51"/>
      <c r="CX24" s="87"/>
      <c r="CY24" s="88"/>
      <c r="CZ24" s="89"/>
      <c r="DA24" s="52"/>
      <c r="DB24" s="52"/>
      <c r="DC24" s="52"/>
      <c r="DD24" s="52"/>
      <c r="DE24" s="52"/>
      <c r="DF24" s="52"/>
    </row>
    <row r="25" spans="1:114" ht="24">
      <c r="A25" s="669" t="s">
        <v>1079</v>
      </c>
      <c r="B25" s="168" t="s">
        <v>524</v>
      </c>
      <c r="C25" s="151" t="s">
        <v>525</v>
      </c>
      <c r="D25" s="152" t="s">
        <v>526</v>
      </c>
      <c r="E25" s="153" t="s">
        <v>402</v>
      </c>
      <c r="F25" s="144" t="s">
        <v>1210</v>
      </c>
      <c r="G25" s="125" t="s">
        <v>1211</v>
      </c>
      <c r="H25" s="154" t="s">
        <v>402</v>
      </c>
      <c r="I25" s="123" t="s">
        <v>402</v>
      </c>
      <c r="J25" s="124">
        <v>0</v>
      </c>
      <c r="K25" s="125" t="s">
        <v>678</v>
      </c>
      <c r="L25" s="728">
        <v>0</v>
      </c>
      <c r="M25" s="29">
        <v>1</v>
      </c>
      <c r="N25" s="1">
        <v>1.1358476947699978</v>
      </c>
      <c r="O25" s="139" t="s">
        <v>1299</v>
      </c>
      <c r="P25" s="728">
        <v>0</v>
      </c>
      <c r="Q25" s="29">
        <v>1</v>
      </c>
      <c r="R25" s="1">
        <v>1.1358476947699978</v>
      </c>
      <c r="S25" s="139" t="s">
        <v>1299</v>
      </c>
      <c r="T25" s="728">
        <v>0</v>
      </c>
      <c r="U25" s="29">
        <v>1</v>
      </c>
      <c r="V25" s="1">
        <v>1.1358476947699978</v>
      </c>
      <c r="W25" s="139" t="s">
        <v>1299</v>
      </c>
      <c r="X25" s="728">
        <v>0</v>
      </c>
      <c r="Y25" s="29">
        <v>1</v>
      </c>
      <c r="Z25" s="1">
        <v>1.1358476947699978</v>
      </c>
      <c r="AA25" s="139" t="s">
        <v>1299</v>
      </c>
      <c r="AB25" s="728">
        <v>0</v>
      </c>
      <c r="AC25" s="29">
        <v>1</v>
      </c>
      <c r="AD25" s="1">
        <v>1.1358476947699978</v>
      </c>
      <c r="AE25" s="139" t="s">
        <v>1299</v>
      </c>
      <c r="AF25" s="728">
        <v>0</v>
      </c>
      <c r="AG25" s="29">
        <v>1</v>
      </c>
      <c r="AH25" s="1">
        <v>1.1358476947699978</v>
      </c>
      <c r="AI25" s="139" t="s">
        <v>1299</v>
      </c>
      <c r="AJ25" s="729">
        <v>0</v>
      </c>
      <c r="AK25" s="29">
        <v>1</v>
      </c>
      <c r="AL25" s="1">
        <v>1.1358476947699978</v>
      </c>
      <c r="AM25" s="139" t="s">
        <v>1299</v>
      </c>
      <c r="AN25" s="728">
        <v>0</v>
      </c>
      <c r="AO25" s="29">
        <v>1</v>
      </c>
      <c r="AP25" s="1">
        <v>1.1358476947699978</v>
      </c>
      <c r="AQ25" s="139" t="s">
        <v>1299</v>
      </c>
      <c r="AR25" s="728">
        <v>0</v>
      </c>
      <c r="AS25" s="29">
        <v>1</v>
      </c>
      <c r="AT25" s="1">
        <v>1.1358476947699978</v>
      </c>
      <c r="AU25" s="139" t="s">
        <v>1299</v>
      </c>
      <c r="AV25" s="728">
        <v>0</v>
      </c>
      <c r="AW25" s="29">
        <v>1</v>
      </c>
      <c r="AX25" s="1">
        <v>1.1358476947699978</v>
      </c>
      <c r="AY25" s="139" t="s">
        <v>1299</v>
      </c>
      <c r="AZ25" s="728">
        <v>0</v>
      </c>
      <c r="BA25" s="29">
        <v>1</v>
      </c>
      <c r="BB25" s="1">
        <v>1.1358476947699978</v>
      </c>
      <c r="BC25" s="139" t="s">
        <v>1299</v>
      </c>
      <c r="BD25" s="728">
        <v>0</v>
      </c>
      <c r="BE25" s="29">
        <v>1</v>
      </c>
      <c r="BF25" s="1">
        <v>1.1358476947699978</v>
      </c>
      <c r="BG25" s="139" t="s">
        <v>1299</v>
      </c>
      <c r="BH25" s="728">
        <v>3.7312499999999997</v>
      </c>
      <c r="BI25" s="29">
        <v>1</v>
      </c>
      <c r="BJ25" s="1">
        <v>1.1358476947699978</v>
      </c>
      <c r="BK25" s="139" t="s">
        <v>1299</v>
      </c>
      <c r="BL25" s="728">
        <v>3.7312499999999997</v>
      </c>
      <c r="BM25" s="29">
        <v>1</v>
      </c>
      <c r="BN25" s="1">
        <v>1.1358476947699978</v>
      </c>
      <c r="BO25" s="139" t="s">
        <v>1299</v>
      </c>
      <c r="BP25" s="728">
        <v>3.7312499999999997</v>
      </c>
      <c r="BQ25" s="29">
        <v>1</v>
      </c>
      <c r="BR25" s="1">
        <v>1.1358476947699978</v>
      </c>
      <c r="BS25" s="139" t="s">
        <v>1299</v>
      </c>
      <c r="BT25" s="728">
        <v>3.7312499999999997</v>
      </c>
      <c r="BU25" s="29">
        <v>1</v>
      </c>
      <c r="BV25" s="1">
        <v>1.1358476947699978</v>
      </c>
      <c r="BW25" s="139" t="s">
        <v>1299</v>
      </c>
      <c r="BX25" s="31"/>
      <c r="BY25" s="155">
        <v>3.7312499999999997</v>
      </c>
      <c r="BZ25" s="29">
        <v>1</v>
      </c>
      <c r="CA25" s="1">
        <v>1.1358476947699978</v>
      </c>
      <c r="CB25" s="139" t="s">
        <v>1299</v>
      </c>
      <c r="CC25" s="155">
        <v>3.7312499999999997</v>
      </c>
      <c r="CD25" s="29">
        <v>1</v>
      </c>
      <c r="CE25" s="1">
        <v>1.1358476947699978</v>
      </c>
      <c r="CF25" s="31" t="s">
        <v>1299</v>
      </c>
      <c r="CG25" s="253">
        <v>6.8286247683606476</v>
      </c>
      <c r="CH25" s="253">
        <v>0.76643622484173091</v>
      </c>
      <c r="CI25" s="182">
        <v>6.5369911268040637</v>
      </c>
      <c r="CJ25" s="182">
        <v>30.433226837060705</v>
      </c>
      <c r="CK25" s="253">
        <v>4.0876598658225651</v>
      </c>
      <c r="CL25" s="183">
        <v>143200</v>
      </c>
      <c r="CM25" s="259">
        <v>10.5</v>
      </c>
      <c r="CN25" s="694">
        <v>3.7312499999999997</v>
      </c>
      <c r="CO25" s="115" t="s">
        <v>1124</v>
      </c>
      <c r="CP25" s="10">
        <v>3</v>
      </c>
      <c r="CQ25" s="50">
        <v>3</v>
      </c>
      <c r="CR25" s="50">
        <v>1</v>
      </c>
      <c r="CS25" s="50">
        <v>1</v>
      </c>
      <c r="CT25" s="50">
        <v>1</v>
      </c>
      <c r="CU25" s="50">
        <v>3</v>
      </c>
      <c r="CV25" s="50">
        <v>2</v>
      </c>
      <c r="CW25" s="51">
        <v>1.05</v>
      </c>
      <c r="CX25" s="87">
        <v>1.1248669232235737</v>
      </c>
      <c r="CY25" s="88">
        <v>1.1358476947699978</v>
      </c>
      <c r="CZ25" s="89" t="s">
        <v>1300</v>
      </c>
      <c r="DA25" s="52">
        <v>1.1000000000000001</v>
      </c>
      <c r="DB25" s="52">
        <v>1.05</v>
      </c>
      <c r="DC25" s="52">
        <v>1</v>
      </c>
      <c r="DD25" s="52">
        <v>1</v>
      </c>
      <c r="DE25" s="52">
        <v>1</v>
      </c>
      <c r="DF25" s="52">
        <v>1.05</v>
      </c>
    </row>
    <row r="26" spans="1:114" ht="24">
      <c r="A26" s="226">
        <v>32004</v>
      </c>
      <c r="B26" s="168"/>
      <c r="C26" s="151" t="s">
        <v>525</v>
      </c>
      <c r="D26" s="152" t="s">
        <v>526</v>
      </c>
      <c r="E26" s="153" t="s">
        <v>402</v>
      </c>
      <c r="F26" s="144" t="s">
        <v>1133</v>
      </c>
      <c r="G26" s="125" t="s">
        <v>1105</v>
      </c>
      <c r="H26" s="154" t="s">
        <v>402</v>
      </c>
      <c r="I26" s="123" t="s">
        <v>402</v>
      </c>
      <c r="J26" s="124">
        <v>0</v>
      </c>
      <c r="K26" s="125" t="s">
        <v>678</v>
      </c>
      <c r="L26" s="728">
        <v>3.7312499999999997</v>
      </c>
      <c r="M26" s="29">
        <v>1</v>
      </c>
      <c r="N26" s="1">
        <v>1.1358476947699978</v>
      </c>
      <c r="O26" s="139" t="s">
        <v>1299</v>
      </c>
      <c r="P26" s="728">
        <v>3.7312499999999997</v>
      </c>
      <c r="Q26" s="29">
        <v>1</v>
      </c>
      <c r="R26" s="1">
        <v>1.1358476947699978</v>
      </c>
      <c r="S26" s="139" t="s">
        <v>1299</v>
      </c>
      <c r="T26" s="728">
        <v>3.7312499999999997</v>
      </c>
      <c r="U26" s="29">
        <v>1</v>
      </c>
      <c r="V26" s="1">
        <v>1.1358476947699978</v>
      </c>
      <c r="W26" s="139" t="s">
        <v>1299</v>
      </c>
      <c r="X26" s="728">
        <v>3.7312499999999997</v>
      </c>
      <c r="Y26" s="29">
        <v>1</v>
      </c>
      <c r="Z26" s="1">
        <v>1.1358476947699978</v>
      </c>
      <c r="AA26" s="139" t="s">
        <v>1299</v>
      </c>
      <c r="AB26" s="728">
        <v>0</v>
      </c>
      <c r="AC26" s="29">
        <v>1</v>
      </c>
      <c r="AD26" s="1">
        <v>1.1358476947699978</v>
      </c>
      <c r="AE26" s="139" t="s">
        <v>1299</v>
      </c>
      <c r="AF26" s="728">
        <v>0</v>
      </c>
      <c r="AG26" s="29">
        <v>1</v>
      </c>
      <c r="AH26" s="1">
        <v>1.1358476947699978</v>
      </c>
      <c r="AI26" s="139" t="s">
        <v>1299</v>
      </c>
      <c r="AJ26" s="729">
        <v>0</v>
      </c>
      <c r="AK26" s="29">
        <v>1</v>
      </c>
      <c r="AL26" s="1">
        <v>1.1358476947699978</v>
      </c>
      <c r="AM26" s="139" t="s">
        <v>1299</v>
      </c>
      <c r="AN26" s="728">
        <v>0</v>
      </c>
      <c r="AO26" s="29">
        <v>1</v>
      </c>
      <c r="AP26" s="1">
        <v>1.1358476947699978</v>
      </c>
      <c r="AQ26" s="139" t="s">
        <v>1299</v>
      </c>
      <c r="AR26" s="728">
        <v>0</v>
      </c>
      <c r="AS26" s="29">
        <v>1</v>
      </c>
      <c r="AT26" s="1">
        <v>1.1358476947699978</v>
      </c>
      <c r="AU26" s="139" t="s">
        <v>1299</v>
      </c>
      <c r="AV26" s="728">
        <v>0</v>
      </c>
      <c r="AW26" s="29">
        <v>1</v>
      </c>
      <c r="AX26" s="1">
        <v>1.1358476947699978</v>
      </c>
      <c r="AY26" s="139" t="s">
        <v>1299</v>
      </c>
      <c r="AZ26" s="728">
        <v>0</v>
      </c>
      <c r="BA26" s="29">
        <v>1</v>
      </c>
      <c r="BB26" s="1">
        <v>1.1358476947699978</v>
      </c>
      <c r="BC26" s="139" t="s">
        <v>1299</v>
      </c>
      <c r="BD26" s="728">
        <v>0</v>
      </c>
      <c r="BE26" s="29">
        <v>1</v>
      </c>
      <c r="BF26" s="1">
        <v>1.1358476947699978</v>
      </c>
      <c r="BG26" s="139" t="s">
        <v>1299</v>
      </c>
      <c r="BH26" s="728">
        <v>0</v>
      </c>
      <c r="BI26" s="29">
        <v>1</v>
      </c>
      <c r="BJ26" s="1">
        <v>1.1358476947699978</v>
      </c>
      <c r="BK26" s="139" t="s">
        <v>1299</v>
      </c>
      <c r="BL26" s="728">
        <v>0</v>
      </c>
      <c r="BM26" s="29">
        <v>1</v>
      </c>
      <c r="BN26" s="1">
        <v>1.1358476947699978</v>
      </c>
      <c r="BO26" s="139" t="s">
        <v>1299</v>
      </c>
      <c r="BP26" s="728">
        <v>0</v>
      </c>
      <c r="BQ26" s="29">
        <v>1</v>
      </c>
      <c r="BR26" s="1">
        <v>1.1358476947699978</v>
      </c>
      <c r="BS26" s="139" t="s">
        <v>1299</v>
      </c>
      <c r="BT26" s="728">
        <v>0</v>
      </c>
      <c r="BU26" s="29">
        <v>1</v>
      </c>
      <c r="BV26" s="1">
        <v>1.1358476947699978</v>
      </c>
      <c r="BW26" s="139" t="s">
        <v>1299</v>
      </c>
      <c r="BX26" s="31"/>
      <c r="BY26" s="155">
        <v>0</v>
      </c>
      <c r="BZ26" s="29">
        <v>1</v>
      </c>
      <c r="CA26" s="1">
        <v>1.1358476947699978</v>
      </c>
      <c r="CB26" s="139" t="s">
        <v>1299</v>
      </c>
      <c r="CC26" s="155">
        <v>0</v>
      </c>
      <c r="CD26" s="29">
        <v>1</v>
      </c>
      <c r="CE26" s="1">
        <v>1.1358476947699978</v>
      </c>
      <c r="CF26" s="31" t="s">
        <v>1299</v>
      </c>
      <c r="CG26" s="253"/>
      <c r="CH26" s="253"/>
      <c r="CI26" s="182"/>
      <c r="CJ26" s="182"/>
      <c r="CK26" s="253"/>
      <c r="CL26" s="183"/>
      <c r="CM26" s="259"/>
      <c r="CN26" s="694" t="s">
        <v>1118</v>
      </c>
      <c r="CO26" s="115" t="s">
        <v>1124</v>
      </c>
      <c r="CP26" s="10">
        <v>3</v>
      </c>
      <c r="CQ26" s="50">
        <v>3</v>
      </c>
      <c r="CR26" s="50">
        <v>1</v>
      </c>
      <c r="CS26" s="50">
        <v>1</v>
      </c>
      <c r="CT26" s="50">
        <v>1</v>
      </c>
      <c r="CU26" s="50">
        <v>3</v>
      </c>
      <c r="CV26" s="50">
        <v>2</v>
      </c>
      <c r="CW26" s="51">
        <v>1.05</v>
      </c>
      <c r="CX26" s="87">
        <v>1.1248669232235737</v>
      </c>
      <c r="CY26" s="88">
        <v>1.1358476947699978</v>
      </c>
      <c r="CZ26" s="89" t="s">
        <v>1300</v>
      </c>
      <c r="DA26" s="52">
        <v>1.1000000000000001</v>
      </c>
      <c r="DB26" s="52">
        <v>1.05</v>
      </c>
      <c r="DC26" s="52">
        <v>1</v>
      </c>
      <c r="DD26" s="52">
        <v>1</v>
      </c>
      <c r="DE26" s="52">
        <v>1</v>
      </c>
      <c r="DF26" s="52">
        <v>1.05</v>
      </c>
    </row>
    <row r="27" spans="1:114" ht="24">
      <c r="A27" s="226" t="s">
        <v>866</v>
      </c>
      <c r="B27" s="168"/>
      <c r="C27" s="151" t="s">
        <v>525</v>
      </c>
      <c r="D27" s="152" t="s">
        <v>526</v>
      </c>
      <c r="E27" s="153" t="s">
        <v>402</v>
      </c>
      <c r="F27" s="144" t="s">
        <v>1133</v>
      </c>
      <c r="G27" s="125" t="s">
        <v>465</v>
      </c>
      <c r="H27" s="154" t="s">
        <v>402</v>
      </c>
      <c r="I27" s="123" t="s">
        <v>402</v>
      </c>
      <c r="J27" s="124">
        <v>0</v>
      </c>
      <c r="K27" s="125" t="s">
        <v>678</v>
      </c>
      <c r="L27" s="728">
        <v>0</v>
      </c>
      <c r="M27" s="29">
        <v>1</v>
      </c>
      <c r="N27" s="1">
        <v>1.1358476947699978</v>
      </c>
      <c r="O27" s="139" t="s">
        <v>1299</v>
      </c>
      <c r="P27" s="728">
        <v>0</v>
      </c>
      <c r="Q27" s="29">
        <v>1</v>
      </c>
      <c r="R27" s="1">
        <v>1.1358476947699978</v>
      </c>
      <c r="S27" s="139" t="s">
        <v>1299</v>
      </c>
      <c r="T27" s="728">
        <v>0</v>
      </c>
      <c r="U27" s="29">
        <v>1</v>
      </c>
      <c r="V27" s="1">
        <v>1.1358476947699978</v>
      </c>
      <c r="W27" s="139" t="s">
        <v>1299</v>
      </c>
      <c r="X27" s="728">
        <v>0</v>
      </c>
      <c r="Y27" s="29">
        <v>1</v>
      </c>
      <c r="Z27" s="1">
        <v>1.1358476947699978</v>
      </c>
      <c r="AA27" s="139" t="s">
        <v>1299</v>
      </c>
      <c r="AB27" s="728">
        <v>3.7312499999999997</v>
      </c>
      <c r="AC27" s="29">
        <v>1</v>
      </c>
      <c r="AD27" s="1">
        <v>1.1358476947699978</v>
      </c>
      <c r="AE27" s="139" t="s">
        <v>1299</v>
      </c>
      <c r="AF27" s="728">
        <v>3.7312499999999997</v>
      </c>
      <c r="AG27" s="29">
        <v>1</v>
      </c>
      <c r="AH27" s="1">
        <v>1.1358476947699978</v>
      </c>
      <c r="AI27" s="139" t="s">
        <v>1299</v>
      </c>
      <c r="AJ27" s="729">
        <v>3.7312499999999997</v>
      </c>
      <c r="AK27" s="29">
        <v>1</v>
      </c>
      <c r="AL27" s="1">
        <v>1.1358476947699978</v>
      </c>
      <c r="AM27" s="139" t="s">
        <v>1299</v>
      </c>
      <c r="AN27" s="728">
        <v>3.7312499999999997</v>
      </c>
      <c r="AO27" s="29">
        <v>1</v>
      </c>
      <c r="AP27" s="1">
        <v>1.1358476947699978</v>
      </c>
      <c r="AQ27" s="139" t="s">
        <v>1299</v>
      </c>
      <c r="AR27" s="728">
        <v>0</v>
      </c>
      <c r="AS27" s="29">
        <v>1</v>
      </c>
      <c r="AT27" s="1">
        <v>1.1358476947699978</v>
      </c>
      <c r="AU27" s="139" t="s">
        <v>1299</v>
      </c>
      <c r="AV27" s="728">
        <v>0</v>
      </c>
      <c r="AW27" s="29">
        <v>1</v>
      </c>
      <c r="AX27" s="1">
        <v>1.1358476947699978</v>
      </c>
      <c r="AY27" s="139" t="s">
        <v>1299</v>
      </c>
      <c r="AZ27" s="728">
        <v>0</v>
      </c>
      <c r="BA27" s="29">
        <v>1</v>
      </c>
      <c r="BB27" s="1">
        <v>1.1358476947699978</v>
      </c>
      <c r="BC27" s="139" t="s">
        <v>1299</v>
      </c>
      <c r="BD27" s="728">
        <v>0</v>
      </c>
      <c r="BE27" s="29">
        <v>1</v>
      </c>
      <c r="BF27" s="1">
        <v>1.1358476947699978</v>
      </c>
      <c r="BG27" s="139" t="s">
        <v>1299</v>
      </c>
      <c r="BH27" s="728">
        <v>0</v>
      </c>
      <c r="BI27" s="29">
        <v>1</v>
      </c>
      <c r="BJ27" s="1">
        <v>1.1358476947699978</v>
      </c>
      <c r="BK27" s="139" t="s">
        <v>1299</v>
      </c>
      <c r="BL27" s="728">
        <v>0</v>
      </c>
      <c r="BM27" s="29">
        <v>1</v>
      </c>
      <c r="BN27" s="1">
        <v>1.1358476947699978</v>
      </c>
      <c r="BO27" s="139" t="s">
        <v>1299</v>
      </c>
      <c r="BP27" s="728">
        <v>0</v>
      </c>
      <c r="BQ27" s="29">
        <v>1</v>
      </c>
      <c r="BR27" s="1">
        <v>1.1358476947699978</v>
      </c>
      <c r="BS27" s="139" t="s">
        <v>1299</v>
      </c>
      <c r="BT27" s="728">
        <v>0</v>
      </c>
      <c r="BU27" s="29">
        <v>1</v>
      </c>
      <c r="BV27" s="1">
        <v>1.1358476947699978</v>
      </c>
      <c r="BW27" s="139" t="s">
        <v>1299</v>
      </c>
      <c r="BX27" s="31"/>
      <c r="BY27" s="155">
        <v>0</v>
      </c>
      <c r="BZ27" s="29">
        <v>1</v>
      </c>
      <c r="CA27" s="1">
        <v>1.1358476947699978</v>
      </c>
      <c r="CB27" s="139" t="s">
        <v>1299</v>
      </c>
      <c r="CC27" s="155">
        <v>0</v>
      </c>
      <c r="CD27" s="29">
        <v>1</v>
      </c>
      <c r="CE27" s="1">
        <v>1.1358476947699978</v>
      </c>
      <c r="CF27" s="31" t="s">
        <v>1299</v>
      </c>
      <c r="CG27" s="253"/>
      <c r="CH27" s="253"/>
      <c r="CI27" s="182"/>
      <c r="CJ27" s="182"/>
      <c r="CK27" s="253"/>
      <c r="CL27" s="183"/>
      <c r="CM27" s="259"/>
      <c r="CN27" s="694" t="s">
        <v>1118</v>
      </c>
      <c r="CO27" s="115" t="s">
        <v>1124</v>
      </c>
      <c r="CP27" s="10">
        <v>3</v>
      </c>
      <c r="CQ27" s="50">
        <v>3</v>
      </c>
      <c r="CR27" s="50">
        <v>1</v>
      </c>
      <c r="CS27" s="50">
        <v>1</v>
      </c>
      <c r="CT27" s="50">
        <v>1</v>
      </c>
      <c r="CU27" s="50">
        <v>3</v>
      </c>
      <c r="CV27" s="50">
        <v>3</v>
      </c>
      <c r="CW27" s="51">
        <v>1.05</v>
      </c>
      <c r="CX27" s="87">
        <v>1.1248669232235737</v>
      </c>
      <c r="CY27" s="88">
        <v>1.1358476947699978</v>
      </c>
      <c r="CZ27" s="89" t="s">
        <v>1300</v>
      </c>
      <c r="DA27" s="52">
        <v>1.1000000000000001</v>
      </c>
      <c r="DB27" s="52">
        <v>1.05</v>
      </c>
      <c r="DC27" s="52">
        <v>1</v>
      </c>
      <c r="DD27" s="52">
        <v>1</v>
      </c>
      <c r="DE27" s="52">
        <v>1</v>
      </c>
      <c r="DF27" s="52">
        <v>1.05</v>
      </c>
    </row>
    <row r="28" spans="1:114" ht="24">
      <c r="A28" s="226" t="s">
        <v>880</v>
      </c>
      <c r="B28" s="168"/>
      <c r="C28" s="151" t="s">
        <v>525</v>
      </c>
      <c r="D28" s="152" t="s">
        <v>526</v>
      </c>
      <c r="E28" s="153" t="s">
        <v>402</v>
      </c>
      <c r="F28" s="144" t="s">
        <v>1133</v>
      </c>
      <c r="G28" s="125" t="s">
        <v>496</v>
      </c>
      <c r="H28" s="154" t="s">
        <v>402</v>
      </c>
      <c r="I28" s="123" t="s">
        <v>402</v>
      </c>
      <c r="J28" s="124">
        <v>0</v>
      </c>
      <c r="K28" s="125" t="s">
        <v>678</v>
      </c>
      <c r="L28" s="728">
        <v>0</v>
      </c>
      <c r="M28" s="29">
        <v>1</v>
      </c>
      <c r="N28" s="1">
        <v>1.1358476947699978</v>
      </c>
      <c r="O28" s="139" t="s">
        <v>1299</v>
      </c>
      <c r="P28" s="728">
        <v>0</v>
      </c>
      <c r="Q28" s="29">
        <v>1</v>
      </c>
      <c r="R28" s="1">
        <v>1.1358476947699978</v>
      </c>
      <c r="S28" s="139" t="s">
        <v>1299</v>
      </c>
      <c r="T28" s="728">
        <v>0</v>
      </c>
      <c r="U28" s="29">
        <v>1</v>
      </c>
      <c r="V28" s="1">
        <v>1.1358476947699978</v>
      </c>
      <c r="W28" s="139" t="s">
        <v>1299</v>
      </c>
      <c r="X28" s="728">
        <v>0</v>
      </c>
      <c r="Y28" s="29">
        <v>1</v>
      </c>
      <c r="Z28" s="1">
        <v>1.1358476947699978</v>
      </c>
      <c r="AA28" s="139" t="s">
        <v>1299</v>
      </c>
      <c r="AB28" s="728">
        <v>0</v>
      </c>
      <c r="AC28" s="29">
        <v>1</v>
      </c>
      <c r="AD28" s="1">
        <v>1.1358476947699978</v>
      </c>
      <c r="AE28" s="139" t="s">
        <v>1299</v>
      </c>
      <c r="AF28" s="728">
        <v>0</v>
      </c>
      <c r="AG28" s="29">
        <v>1</v>
      </c>
      <c r="AH28" s="1">
        <v>1.1358476947699978</v>
      </c>
      <c r="AI28" s="139" t="s">
        <v>1299</v>
      </c>
      <c r="AJ28" s="729">
        <v>0</v>
      </c>
      <c r="AK28" s="29">
        <v>1</v>
      </c>
      <c r="AL28" s="1">
        <v>1.1358476947699978</v>
      </c>
      <c r="AM28" s="139" t="s">
        <v>1299</v>
      </c>
      <c r="AN28" s="728">
        <v>0</v>
      </c>
      <c r="AO28" s="29">
        <v>1</v>
      </c>
      <c r="AP28" s="1">
        <v>1.1358476947699978</v>
      </c>
      <c r="AQ28" s="139" t="s">
        <v>1299</v>
      </c>
      <c r="AR28" s="728">
        <v>3.7312499999999997</v>
      </c>
      <c r="AS28" s="29">
        <v>1</v>
      </c>
      <c r="AT28" s="1">
        <v>1.1358476947699978</v>
      </c>
      <c r="AU28" s="139" t="s">
        <v>1299</v>
      </c>
      <c r="AV28" s="728">
        <v>3.7312499999999997</v>
      </c>
      <c r="AW28" s="29">
        <v>1</v>
      </c>
      <c r="AX28" s="1">
        <v>1.1358476947699978</v>
      </c>
      <c r="AY28" s="139" t="s">
        <v>1299</v>
      </c>
      <c r="AZ28" s="729">
        <v>3.7312499999999997</v>
      </c>
      <c r="BA28" s="29">
        <v>1</v>
      </c>
      <c r="BB28" s="1">
        <v>1.1358476947699978</v>
      </c>
      <c r="BC28" s="139" t="s">
        <v>1299</v>
      </c>
      <c r="BD28" s="728">
        <v>3.7312499999999997</v>
      </c>
      <c r="BE28" s="29">
        <v>1</v>
      </c>
      <c r="BF28" s="1">
        <v>1.1358476947699978</v>
      </c>
      <c r="BG28" s="139" t="s">
        <v>1299</v>
      </c>
      <c r="BH28" s="728">
        <v>0</v>
      </c>
      <c r="BI28" s="29">
        <v>1</v>
      </c>
      <c r="BJ28" s="1">
        <v>1.1358476947699978</v>
      </c>
      <c r="BK28" s="139" t="s">
        <v>1299</v>
      </c>
      <c r="BL28" s="728">
        <v>0</v>
      </c>
      <c r="BM28" s="29">
        <v>1</v>
      </c>
      <c r="BN28" s="1">
        <v>1.1358476947699978</v>
      </c>
      <c r="BO28" s="139" t="s">
        <v>1299</v>
      </c>
      <c r="BP28" s="728">
        <v>0</v>
      </c>
      <c r="BQ28" s="29">
        <v>1</v>
      </c>
      <c r="BR28" s="1">
        <v>1.1358476947699978</v>
      </c>
      <c r="BS28" s="139" t="s">
        <v>1299</v>
      </c>
      <c r="BT28" s="728">
        <v>0</v>
      </c>
      <c r="BU28" s="29">
        <v>1</v>
      </c>
      <c r="BV28" s="1">
        <v>1.1358476947699978</v>
      </c>
      <c r="BW28" s="139" t="s">
        <v>1299</v>
      </c>
      <c r="BX28" s="31"/>
      <c r="BY28" s="155">
        <v>0</v>
      </c>
      <c r="BZ28" s="29">
        <v>1</v>
      </c>
      <c r="CA28" s="1">
        <v>1.1358476947699978</v>
      </c>
      <c r="CB28" s="139" t="s">
        <v>1299</v>
      </c>
      <c r="CC28" s="155">
        <v>0</v>
      </c>
      <c r="CD28" s="29">
        <v>1</v>
      </c>
      <c r="CE28" s="1">
        <v>1.1358476947699978</v>
      </c>
      <c r="CF28" s="31" t="s">
        <v>1299</v>
      </c>
      <c r="CG28" s="253"/>
      <c r="CH28" s="253"/>
      <c r="CI28" s="182"/>
      <c r="CJ28" s="182"/>
      <c r="CK28" s="253"/>
      <c r="CL28" s="183"/>
      <c r="CM28" s="259"/>
      <c r="CN28" s="694" t="s">
        <v>1118</v>
      </c>
      <c r="CO28" s="115" t="s">
        <v>1124</v>
      </c>
      <c r="CP28" s="10">
        <v>3</v>
      </c>
      <c r="CQ28" s="50">
        <v>3</v>
      </c>
      <c r="CR28" s="50">
        <v>1</v>
      </c>
      <c r="CS28" s="50">
        <v>1</v>
      </c>
      <c r="CT28" s="50">
        <v>1</v>
      </c>
      <c r="CU28" s="50">
        <v>3</v>
      </c>
      <c r="CV28" s="50">
        <v>3</v>
      </c>
      <c r="CW28" s="51">
        <v>1.05</v>
      </c>
      <c r="CX28" s="87">
        <v>1.1248669232235737</v>
      </c>
      <c r="CY28" s="88">
        <v>1.1358476947699978</v>
      </c>
      <c r="CZ28" s="89" t="s">
        <v>1300</v>
      </c>
      <c r="DA28" s="52">
        <v>1.1000000000000001</v>
      </c>
      <c r="DB28" s="52">
        <v>1.05</v>
      </c>
      <c r="DC28" s="52">
        <v>1</v>
      </c>
      <c r="DD28" s="52">
        <v>1</v>
      </c>
      <c r="DE28" s="52">
        <v>1</v>
      </c>
      <c r="DF28" s="52">
        <v>1.05</v>
      </c>
    </row>
    <row r="29" spans="1:114" ht="24">
      <c r="A29" s="2">
        <v>2561</v>
      </c>
      <c r="B29" s="168" t="s">
        <v>525</v>
      </c>
      <c r="C29" s="151" t="s">
        <v>525</v>
      </c>
      <c r="D29" s="152" t="s">
        <v>526</v>
      </c>
      <c r="E29" s="153" t="s">
        <v>402</v>
      </c>
      <c r="F29" s="144" t="s">
        <v>1212</v>
      </c>
      <c r="G29" s="125" t="s">
        <v>521</v>
      </c>
      <c r="H29" s="154" t="s">
        <v>402</v>
      </c>
      <c r="I29" s="123" t="s">
        <v>402</v>
      </c>
      <c r="J29" s="124">
        <v>0</v>
      </c>
      <c r="K29" s="125" t="s">
        <v>677</v>
      </c>
      <c r="L29" s="728">
        <v>0</v>
      </c>
      <c r="M29" s="29">
        <v>1</v>
      </c>
      <c r="N29" s="1">
        <v>1.1358476947699978</v>
      </c>
      <c r="O29" s="139" t="s">
        <v>1299</v>
      </c>
      <c r="P29" s="728">
        <v>0</v>
      </c>
      <c r="Q29" s="29">
        <v>1</v>
      </c>
      <c r="R29" s="1">
        <v>1.1358476947699978</v>
      </c>
      <c r="S29" s="139" t="s">
        <v>1299</v>
      </c>
      <c r="T29" s="728">
        <v>0</v>
      </c>
      <c r="U29" s="29">
        <v>1</v>
      </c>
      <c r="V29" s="1">
        <v>1.1358476947699978</v>
      </c>
      <c r="W29" s="139" t="s">
        <v>1299</v>
      </c>
      <c r="X29" s="728">
        <v>0</v>
      </c>
      <c r="Y29" s="29">
        <v>1</v>
      </c>
      <c r="Z29" s="1">
        <v>1.1358476947699978</v>
      </c>
      <c r="AA29" s="139" t="s">
        <v>1299</v>
      </c>
      <c r="AB29" s="728">
        <v>0</v>
      </c>
      <c r="AC29" s="29">
        <v>1</v>
      </c>
      <c r="AD29" s="1">
        <v>1.1358476947699978</v>
      </c>
      <c r="AE29" s="139" t="s">
        <v>1299</v>
      </c>
      <c r="AF29" s="728">
        <v>0</v>
      </c>
      <c r="AG29" s="29">
        <v>1</v>
      </c>
      <c r="AH29" s="1">
        <v>1.1358476947699978</v>
      </c>
      <c r="AI29" s="139" t="s">
        <v>1299</v>
      </c>
      <c r="AJ29" s="729">
        <v>0</v>
      </c>
      <c r="AK29" s="29">
        <v>1</v>
      </c>
      <c r="AL29" s="1">
        <v>1.1358476947699978</v>
      </c>
      <c r="AM29" s="139" t="s">
        <v>1299</v>
      </c>
      <c r="AN29" s="728">
        <v>0</v>
      </c>
      <c r="AO29" s="29">
        <v>1</v>
      </c>
      <c r="AP29" s="1">
        <v>1.1358476947699978</v>
      </c>
      <c r="AQ29" s="139" t="s">
        <v>1299</v>
      </c>
      <c r="AR29" s="728">
        <v>0</v>
      </c>
      <c r="AS29" s="29">
        <v>1</v>
      </c>
      <c r="AT29" s="1">
        <v>1.1358476947699978</v>
      </c>
      <c r="AU29" s="139" t="s">
        <v>1299</v>
      </c>
      <c r="AV29" s="728">
        <v>0</v>
      </c>
      <c r="AW29" s="29">
        <v>1</v>
      </c>
      <c r="AX29" s="1">
        <v>1.1358476947699978</v>
      </c>
      <c r="AY29" s="139" t="s">
        <v>1299</v>
      </c>
      <c r="AZ29" s="728">
        <v>0</v>
      </c>
      <c r="BA29" s="29">
        <v>1</v>
      </c>
      <c r="BB29" s="1">
        <v>1.1358476947699978</v>
      </c>
      <c r="BC29" s="139" t="s">
        <v>1299</v>
      </c>
      <c r="BD29" s="728">
        <v>0</v>
      </c>
      <c r="BE29" s="29">
        <v>1</v>
      </c>
      <c r="BF29" s="1">
        <v>1.1358476947699978</v>
      </c>
      <c r="BG29" s="139" t="s">
        <v>1299</v>
      </c>
      <c r="BH29" s="728">
        <v>0</v>
      </c>
      <c r="BI29" s="29">
        <v>1</v>
      </c>
      <c r="BJ29" s="1">
        <v>1.1358476947699978</v>
      </c>
      <c r="BK29" s="139" t="s">
        <v>1299</v>
      </c>
      <c r="BL29" s="728">
        <v>0</v>
      </c>
      <c r="BM29" s="29">
        <v>1</v>
      </c>
      <c r="BN29" s="1">
        <v>1.1358476947699978</v>
      </c>
      <c r="BO29" s="139" t="s">
        <v>1299</v>
      </c>
      <c r="BP29" s="728">
        <v>0</v>
      </c>
      <c r="BQ29" s="29">
        <v>1</v>
      </c>
      <c r="BR29" s="1">
        <v>1.1358476947699978</v>
      </c>
      <c r="BS29" s="139" t="s">
        <v>1299</v>
      </c>
      <c r="BT29" s="728">
        <v>0</v>
      </c>
      <c r="BU29" s="29">
        <v>1</v>
      </c>
      <c r="BV29" s="1">
        <v>1.1358476947699978</v>
      </c>
      <c r="BW29" s="139" t="s">
        <v>1299</v>
      </c>
      <c r="BX29" s="31"/>
      <c r="BY29" s="155">
        <v>0</v>
      </c>
      <c r="BZ29" s="29">
        <v>1</v>
      </c>
      <c r="CA29" s="1">
        <v>1.1358476947699978</v>
      </c>
      <c r="CB29" s="139" t="s">
        <v>1299</v>
      </c>
      <c r="CC29" s="155">
        <v>0</v>
      </c>
      <c r="CD29" s="29">
        <v>1</v>
      </c>
      <c r="CE29" s="1">
        <v>1.1358476947699978</v>
      </c>
      <c r="CF29" s="31" t="s">
        <v>1299</v>
      </c>
      <c r="CG29" s="253">
        <v>0</v>
      </c>
      <c r="CH29" s="253">
        <v>4.7212471450250622</v>
      </c>
      <c r="CI29" s="182">
        <v>11.500082951443666</v>
      </c>
      <c r="CJ29" s="182"/>
      <c r="CK29" s="253">
        <v>4.2537210478716068</v>
      </c>
      <c r="CL29" s="182">
        <v>251921.99999999997</v>
      </c>
      <c r="CM29" s="259">
        <v>18.375</v>
      </c>
      <c r="CN29" s="694">
        <v>0</v>
      </c>
      <c r="CO29" s="115" t="s">
        <v>1124</v>
      </c>
      <c r="CP29" s="10">
        <v>3</v>
      </c>
      <c r="CQ29" s="50">
        <v>3</v>
      </c>
      <c r="CR29" s="50">
        <v>1</v>
      </c>
      <c r="CS29" s="50">
        <v>1</v>
      </c>
      <c r="CT29" s="50">
        <v>1</v>
      </c>
      <c r="CU29" s="50">
        <v>3</v>
      </c>
      <c r="CV29" s="50">
        <v>1</v>
      </c>
      <c r="CW29" s="51">
        <v>1.05</v>
      </c>
      <c r="CX29" s="87">
        <v>1.1248669232235737</v>
      </c>
      <c r="CY29" s="88">
        <v>1.1358476947699978</v>
      </c>
      <c r="CZ29" s="89" t="s">
        <v>1300</v>
      </c>
      <c r="DA29" s="52">
        <v>1.1000000000000001</v>
      </c>
      <c r="DB29" s="52">
        <v>1.05</v>
      </c>
      <c r="DC29" s="52">
        <v>1</v>
      </c>
      <c r="DD29" s="52">
        <v>1</v>
      </c>
      <c r="DE29" s="52">
        <v>1</v>
      </c>
      <c r="DF29" s="52">
        <v>1.05</v>
      </c>
      <c r="DG29" s="182">
        <v>251921.99999999997</v>
      </c>
    </row>
    <row r="30" spans="1:114" s="689" customFormat="1" ht="24">
      <c r="A30" s="693">
        <v>1350</v>
      </c>
      <c r="B30" s="721"/>
      <c r="C30" s="672" t="s">
        <v>525</v>
      </c>
      <c r="D30" s="673" t="s">
        <v>526</v>
      </c>
      <c r="E30" s="674" t="s">
        <v>402</v>
      </c>
      <c r="F30" s="675" t="s">
        <v>1301</v>
      </c>
      <c r="G30" s="676" t="s">
        <v>51</v>
      </c>
      <c r="H30" s="677" t="s">
        <v>402</v>
      </c>
      <c r="I30" s="678" t="s">
        <v>402</v>
      </c>
      <c r="J30" s="679">
        <v>0</v>
      </c>
      <c r="K30" s="676" t="s">
        <v>677</v>
      </c>
      <c r="L30" s="730">
        <v>8.7499999999999991E-3</v>
      </c>
      <c r="M30" s="681">
        <v>1</v>
      </c>
      <c r="N30" s="682">
        <v>1.2859877072397368</v>
      </c>
      <c r="O30" s="683" t="s">
        <v>1302</v>
      </c>
      <c r="P30" s="730">
        <v>8.7499999999999991E-3</v>
      </c>
      <c r="Q30" s="681">
        <v>1</v>
      </c>
      <c r="R30" s="682">
        <v>1.2859877072397368</v>
      </c>
      <c r="S30" s="683" t="s">
        <v>1302</v>
      </c>
      <c r="T30" s="730">
        <v>8.7499999999999991E-3</v>
      </c>
      <c r="U30" s="681">
        <v>1</v>
      </c>
      <c r="V30" s="682">
        <v>1.2859877072397368</v>
      </c>
      <c r="W30" s="683" t="s">
        <v>1302</v>
      </c>
      <c r="X30" s="730">
        <v>8.7499999999999991E-3</v>
      </c>
      <c r="Y30" s="681">
        <v>1</v>
      </c>
      <c r="Z30" s="682">
        <v>1.2859877072397368</v>
      </c>
      <c r="AA30" s="683" t="s">
        <v>1302</v>
      </c>
      <c r="AB30" s="730">
        <v>8.7499999999999991E-3</v>
      </c>
      <c r="AC30" s="681">
        <v>1</v>
      </c>
      <c r="AD30" s="682">
        <v>1.2859877072397368</v>
      </c>
      <c r="AE30" s="683" t="s">
        <v>1302</v>
      </c>
      <c r="AF30" s="730">
        <v>8.7499999999999991E-3</v>
      </c>
      <c r="AG30" s="681">
        <v>1</v>
      </c>
      <c r="AH30" s="682">
        <v>1.2859877072397368</v>
      </c>
      <c r="AI30" s="683" t="s">
        <v>1302</v>
      </c>
      <c r="AJ30" s="730">
        <v>8.7499999999999991E-3</v>
      </c>
      <c r="AK30" s="681">
        <v>1</v>
      </c>
      <c r="AL30" s="682">
        <v>1.2859877072397368</v>
      </c>
      <c r="AM30" s="683" t="s">
        <v>1302</v>
      </c>
      <c r="AN30" s="730">
        <v>8.7499999999999991E-3</v>
      </c>
      <c r="AO30" s="681">
        <v>1</v>
      </c>
      <c r="AP30" s="682">
        <v>1.2859877072397368</v>
      </c>
      <c r="AQ30" s="683" t="s">
        <v>1302</v>
      </c>
      <c r="AR30" s="730">
        <v>8.7499999999999991E-3</v>
      </c>
      <c r="AS30" s="681">
        <v>1</v>
      </c>
      <c r="AT30" s="682">
        <v>1.2859877072397368</v>
      </c>
      <c r="AU30" s="683" t="s">
        <v>1302</v>
      </c>
      <c r="AV30" s="730">
        <v>8.7499999999999991E-3</v>
      </c>
      <c r="AW30" s="681">
        <v>1</v>
      </c>
      <c r="AX30" s="682">
        <v>1.2859877072397368</v>
      </c>
      <c r="AY30" s="683" t="s">
        <v>1302</v>
      </c>
      <c r="AZ30" s="730">
        <v>8.7499999999999991E-3</v>
      </c>
      <c r="BA30" s="681">
        <v>1</v>
      </c>
      <c r="BB30" s="682">
        <v>1.2859877072397368</v>
      </c>
      <c r="BC30" s="683" t="s">
        <v>1302</v>
      </c>
      <c r="BD30" s="730">
        <v>8.7499999999999991E-3</v>
      </c>
      <c r="BE30" s="681">
        <v>1</v>
      </c>
      <c r="BF30" s="682">
        <v>1.2859877072397368</v>
      </c>
      <c r="BG30" s="683" t="s">
        <v>1302</v>
      </c>
      <c r="BH30" s="730">
        <v>8.7499999999999991E-3</v>
      </c>
      <c r="BI30" s="681">
        <v>1</v>
      </c>
      <c r="BJ30" s="682">
        <v>1.2859877072397368</v>
      </c>
      <c r="BK30" s="683" t="s">
        <v>1302</v>
      </c>
      <c r="BL30" s="730">
        <v>8.7499999999999991E-3</v>
      </c>
      <c r="BM30" s="681">
        <v>1</v>
      </c>
      <c r="BN30" s="682">
        <v>1.2859877072397368</v>
      </c>
      <c r="BO30" s="683" t="s">
        <v>1302</v>
      </c>
      <c r="BP30" s="730">
        <v>8.7499999999999991E-3</v>
      </c>
      <c r="BQ30" s="681">
        <v>1</v>
      </c>
      <c r="BR30" s="682">
        <v>1.2859877072397368</v>
      </c>
      <c r="BS30" s="683" t="s">
        <v>1302</v>
      </c>
      <c r="BT30" s="730">
        <v>8.7499999999999991E-3</v>
      </c>
      <c r="BU30" s="681">
        <v>1</v>
      </c>
      <c r="BV30" s="682">
        <v>1.2859877072397368</v>
      </c>
      <c r="BW30" s="683" t="s">
        <v>1302</v>
      </c>
      <c r="BX30" s="684"/>
      <c r="BY30" s="680">
        <v>8.7499999999999991E-3</v>
      </c>
      <c r="BZ30" s="681">
        <v>1</v>
      </c>
      <c r="CA30" s="682">
        <v>1.2859877072397368</v>
      </c>
      <c r="CB30" s="683" t="s">
        <v>1302</v>
      </c>
      <c r="CC30" s="680">
        <v>8.7499999999999991E-3</v>
      </c>
      <c r="CD30" s="681">
        <v>1</v>
      </c>
      <c r="CE30" s="682">
        <v>1.2859877072397368</v>
      </c>
      <c r="CF30" s="684" t="s">
        <v>1302</v>
      </c>
      <c r="CG30" s="712"/>
      <c r="CH30" s="712"/>
      <c r="CI30" s="716"/>
      <c r="CJ30" s="716"/>
      <c r="CK30" s="712"/>
      <c r="CL30" s="716"/>
      <c r="CM30" s="722"/>
      <c r="CN30" s="720">
        <v>8.7499999999999991E-3</v>
      </c>
      <c r="CO30" s="723" t="s">
        <v>1124</v>
      </c>
      <c r="CP30" s="674">
        <v>3</v>
      </c>
      <c r="CQ30" s="673">
        <v>4</v>
      </c>
      <c r="CR30" s="673">
        <v>3</v>
      </c>
      <c r="CS30" s="673">
        <v>3</v>
      </c>
      <c r="CT30" s="673">
        <v>1</v>
      </c>
      <c r="CU30" s="673">
        <v>5</v>
      </c>
      <c r="CV30" s="673">
        <v>2</v>
      </c>
      <c r="CW30" s="685">
        <v>1.05</v>
      </c>
      <c r="CX30" s="686">
        <v>1.2798586482969265</v>
      </c>
      <c r="CY30" s="724">
        <v>1.2859877072397368</v>
      </c>
      <c r="CZ30" s="687" t="s">
        <v>1145</v>
      </c>
      <c r="DA30" s="688">
        <v>1.1000000000000001</v>
      </c>
      <c r="DB30" s="688">
        <v>1.1000000000000001</v>
      </c>
      <c r="DC30" s="688">
        <v>1.1000000000000001</v>
      </c>
      <c r="DD30" s="688">
        <v>1.02</v>
      </c>
      <c r="DE30" s="688">
        <v>1</v>
      </c>
      <c r="DF30" s="688">
        <v>1.2</v>
      </c>
      <c r="DI30" s="725"/>
      <c r="DJ30" s="725"/>
    </row>
    <row r="31" spans="1:114" ht="24">
      <c r="A31" s="122">
        <v>4849</v>
      </c>
      <c r="B31" s="37" t="s">
        <v>154</v>
      </c>
      <c r="C31" s="151" t="s">
        <v>525</v>
      </c>
      <c r="D31" s="152" t="s">
        <v>526</v>
      </c>
      <c r="E31" s="153" t="s">
        <v>402</v>
      </c>
      <c r="F31" s="144" t="s">
        <v>1303</v>
      </c>
      <c r="G31" s="125" t="s">
        <v>51</v>
      </c>
      <c r="H31" s="154" t="s">
        <v>402</v>
      </c>
      <c r="I31" s="123" t="s">
        <v>402</v>
      </c>
      <c r="J31" s="124">
        <v>1</v>
      </c>
      <c r="K31" s="125" t="s">
        <v>522</v>
      </c>
      <c r="L31" s="728">
        <v>3.9999999999999998E-6</v>
      </c>
      <c r="M31" s="29">
        <v>1</v>
      </c>
      <c r="N31" s="1">
        <v>3.0161925676538148</v>
      </c>
      <c r="O31" s="139" t="s">
        <v>1304</v>
      </c>
      <c r="P31" s="728">
        <v>3.9999999999999998E-6</v>
      </c>
      <c r="Q31" s="29">
        <v>1</v>
      </c>
      <c r="R31" s="1">
        <v>3.0161925676538148</v>
      </c>
      <c r="S31" s="139" t="s">
        <v>1304</v>
      </c>
      <c r="T31" s="728">
        <v>3.9999999999999998E-6</v>
      </c>
      <c r="U31" s="29">
        <v>1</v>
      </c>
      <c r="V31" s="1">
        <v>3.0161925676538148</v>
      </c>
      <c r="W31" s="139" t="s">
        <v>1304</v>
      </c>
      <c r="X31" s="728">
        <v>3.9999999999999998E-6</v>
      </c>
      <c r="Y31" s="29">
        <v>1</v>
      </c>
      <c r="Z31" s="1">
        <v>3.0161925676538148</v>
      </c>
      <c r="AA31" s="139" t="s">
        <v>1304</v>
      </c>
      <c r="AB31" s="728">
        <v>3.9999999999999998E-6</v>
      </c>
      <c r="AC31" s="29">
        <v>1</v>
      </c>
      <c r="AD31" s="1">
        <v>3.0161925676538148</v>
      </c>
      <c r="AE31" s="139" t="s">
        <v>1304</v>
      </c>
      <c r="AF31" s="728">
        <v>3.9999999999999998E-6</v>
      </c>
      <c r="AG31" s="29">
        <v>1</v>
      </c>
      <c r="AH31" s="1">
        <v>3.0161925676538148</v>
      </c>
      <c r="AI31" s="139" t="s">
        <v>1304</v>
      </c>
      <c r="AJ31" s="729">
        <v>3.9999999999999998E-6</v>
      </c>
      <c r="AK31" s="29">
        <v>1</v>
      </c>
      <c r="AL31" s="1">
        <v>3.0161925676538148</v>
      </c>
      <c r="AM31" s="139" t="s">
        <v>1304</v>
      </c>
      <c r="AN31" s="728">
        <v>3.9999999999999998E-6</v>
      </c>
      <c r="AO31" s="29">
        <v>1</v>
      </c>
      <c r="AP31" s="1">
        <v>3.0161925676538148</v>
      </c>
      <c r="AQ31" s="139" t="s">
        <v>1304</v>
      </c>
      <c r="AR31" s="728">
        <v>3.9999999999999998E-6</v>
      </c>
      <c r="AS31" s="29">
        <v>1</v>
      </c>
      <c r="AT31" s="1">
        <v>3.0161925676538148</v>
      </c>
      <c r="AU31" s="139" t="s">
        <v>1304</v>
      </c>
      <c r="AV31" s="728">
        <v>3.9999999999999998E-6</v>
      </c>
      <c r="AW31" s="29">
        <v>1</v>
      </c>
      <c r="AX31" s="1">
        <v>3.0161925676538148</v>
      </c>
      <c r="AY31" s="139" t="s">
        <v>1304</v>
      </c>
      <c r="AZ31" s="728">
        <v>3.9999999999999998E-6</v>
      </c>
      <c r="BA31" s="29">
        <v>1</v>
      </c>
      <c r="BB31" s="1">
        <v>3.0161925676538148</v>
      </c>
      <c r="BC31" s="139" t="s">
        <v>1304</v>
      </c>
      <c r="BD31" s="728">
        <v>3.9999999999999998E-6</v>
      </c>
      <c r="BE31" s="29">
        <v>1</v>
      </c>
      <c r="BF31" s="1">
        <v>3.0161925676538148</v>
      </c>
      <c r="BG31" s="139" t="s">
        <v>1304</v>
      </c>
      <c r="BH31" s="728">
        <v>3.9999999999999998E-6</v>
      </c>
      <c r="BI31" s="29">
        <v>1</v>
      </c>
      <c r="BJ31" s="1">
        <v>3.0161925676538148</v>
      </c>
      <c r="BK31" s="139" t="s">
        <v>1304</v>
      </c>
      <c r="BL31" s="728">
        <v>3.9999999999999998E-6</v>
      </c>
      <c r="BM31" s="29">
        <v>1</v>
      </c>
      <c r="BN31" s="1">
        <v>3.0161925676538148</v>
      </c>
      <c r="BO31" s="139" t="s">
        <v>1304</v>
      </c>
      <c r="BP31" s="728">
        <v>3.9999999999999998E-6</v>
      </c>
      <c r="BQ31" s="29">
        <v>1</v>
      </c>
      <c r="BR31" s="1">
        <v>3.0161925676538148</v>
      </c>
      <c r="BS31" s="139" t="s">
        <v>1304</v>
      </c>
      <c r="BT31" s="728">
        <v>3.9999999999999998E-6</v>
      </c>
      <c r="BU31" s="29">
        <v>1</v>
      </c>
      <c r="BV31" s="1">
        <v>3.0161925676538148</v>
      </c>
      <c r="BW31" s="139" t="s">
        <v>1304</v>
      </c>
      <c r="BX31" s="31"/>
      <c r="BY31" s="155">
        <v>3.9999999999999998E-6</v>
      </c>
      <c r="BZ31" s="29">
        <v>1</v>
      </c>
      <c r="CA31" s="1">
        <v>3.0161925676538148</v>
      </c>
      <c r="CB31" s="139" t="s">
        <v>1304</v>
      </c>
      <c r="CC31" s="155">
        <v>3.9999999999999998E-6</v>
      </c>
      <c r="CD31" s="29">
        <v>1</v>
      </c>
      <c r="CE31" s="1">
        <v>3.0161925676538148</v>
      </c>
      <c r="CF31" s="31" t="s">
        <v>1304</v>
      </c>
      <c r="CG31" s="253"/>
      <c r="CH31" s="253"/>
      <c r="CI31" s="182">
        <v>0</v>
      </c>
      <c r="CJ31" s="182"/>
      <c r="CK31" s="253"/>
      <c r="CL31" s="182"/>
      <c r="CM31" s="259">
        <v>3.9999999999999998E-6</v>
      </c>
      <c r="CN31" s="694">
        <v>3.9999999999999998E-6</v>
      </c>
      <c r="CO31" s="115" t="s">
        <v>1124</v>
      </c>
      <c r="CP31" s="10">
        <v>1</v>
      </c>
      <c r="CQ31" s="50">
        <v>4</v>
      </c>
      <c r="CR31" s="50">
        <v>1</v>
      </c>
      <c r="CS31" s="50">
        <v>3</v>
      </c>
      <c r="CT31" s="50">
        <v>1</v>
      </c>
      <c r="CU31" s="50">
        <v>3</v>
      </c>
      <c r="CV31" s="50">
        <v>9</v>
      </c>
      <c r="CW31" s="51">
        <v>3</v>
      </c>
      <c r="CX31" s="87">
        <v>1.1150377561073679</v>
      </c>
      <c r="CY31" s="88">
        <v>3.0161925676538148</v>
      </c>
      <c r="CZ31" s="89" t="s">
        <v>1305</v>
      </c>
      <c r="DA31" s="52">
        <v>1</v>
      </c>
      <c r="DB31" s="52">
        <v>1.1000000000000001</v>
      </c>
      <c r="DC31" s="52">
        <v>1</v>
      </c>
      <c r="DD31" s="52">
        <v>1.02</v>
      </c>
      <c r="DE31" s="52">
        <v>1</v>
      </c>
      <c r="DF31" s="52">
        <v>1.05</v>
      </c>
    </row>
    <row r="32" spans="1:114" ht="24">
      <c r="A32" s="36">
        <v>679</v>
      </c>
      <c r="B32" s="168" t="s">
        <v>525</v>
      </c>
      <c r="C32" s="151" t="s">
        <v>525</v>
      </c>
      <c r="D32" s="152" t="s">
        <v>526</v>
      </c>
      <c r="E32" s="153" t="s">
        <v>402</v>
      </c>
      <c r="F32" s="144" t="s">
        <v>111</v>
      </c>
      <c r="G32" s="125" t="s">
        <v>521</v>
      </c>
      <c r="H32" s="154" t="s">
        <v>402</v>
      </c>
      <c r="I32" s="123" t="s">
        <v>402</v>
      </c>
      <c r="J32" s="124">
        <v>0</v>
      </c>
      <c r="K32" s="125" t="s">
        <v>395</v>
      </c>
      <c r="L32" s="728">
        <v>5.03125</v>
      </c>
      <c r="M32" s="29">
        <v>1</v>
      </c>
      <c r="N32" s="1">
        <v>1.1267298112245603</v>
      </c>
      <c r="O32" s="139" t="s">
        <v>1304</v>
      </c>
      <c r="P32" s="728">
        <v>5.03125</v>
      </c>
      <c r="Q32" s="29">
        <v>1</v>
      </c>
      <c r="R32" s="1">
        <v>1.1267298112245603</v>
      </c>
      <c r="S32" s="139" t="s">
        <v>1304</v>
      </c>
      <c r="T32" s="728">
        <v>5.03125</v>
      </c>
      <c r="U32" s="29">
        <v>1</v>
      </c>
      <c r="V32" s="1">
        <v>1.1267298112245603</v>
      </c>
      <c r="W32" s="139" t="s">
        <v>1304</v>
      </c>
      <c r="X32" s="728">
        <v>5.03125</v>
      </c>
      <c r="Y32" s="29">
        <v>1</v>
      </c>
      <c r="Z32" s="1">
        <v>1.1267298112245603</v>
      </c>
      <c r="AA32" s="139" t="s">
        <v>1304</v>
      </c>
      <c r="AB32" s="728">
        <v>5.03125</v>
      </c>
      <c r="AC32" s="29">
        <v>1</v>
      </c>
      <c r="AD32" s="1">
        <v>1.1267298112245603</v>
      </c>
      <c r="AE32" s="139" t="s">
        <v>1304</v>
      </c>
      <c r="AF32" s="728">
        <v>5.03125</v>
      </c>
      <c r="AG32" s="29">
        <v>1</v>
      </c>
      <c r="AH32" s="1">
        <v>1.1267298112245603</v>
      </c>
      <c r="AI32" s="139" t="s">
        <v>1304</v>
      </c>
      <c r="AJ32" s="729">
        <v>5.03125</v>
      </c>
      <c r="AK32" s="29">
        <v>1</v>
      </c>
      <c r="AL32" s="1">
        <v>1.1267298112245603</v>
      </c>
      <c r="AM32" s="139" t="s">
        <v>1304</v>
      </c>
      <c r="AN32" s="728">
        <v>5.03125</v>
      </c>
      <c r="AO32" s="29">
        <v>1</v>
      </c>
      <c r="AP32" s="1">
        <v>1.1267298112245603</v>
      </c>
      <c r="AQ32" s="139" t="s">
        <v>1304</v>
      </c>
      <c r="AR32" s="728">
        <v>5.03125</v>
      </c>
      <c r="AS32" s="29">
        <v>1</v>
      </c>
      <c r="AT32" s="1">
        <v>1.1267298112245603</v>
      </c>
      <c r="AU32" s="139" t="s">
        <v>1304</v>
      </c>
      <c r="AV32" s="728">
        <v>5.03125</v>
      </c>
      <c r="AW32" s="29">
        <v>1</v>
      </c>
      <c r="AX32" s="1">
        <v>1.1267298112245603</v>
      </c>
      <c r="AY32" s="139" t="s">
        <v>1304</v>
      </c>
      <c r="AZ32" s="728">
        <v>5.03125</v>
      </c>
      <c r="BA32" s="29">
        <v>1</v>
      </c>
      <c r="BB32" s="1">
        <v>1.1267298112245603</v>
      </c>
      <c r="BC32" s="139" t="s">
        <v>1304</v>
      </c>
      <c r="BD32" s="728">
        <v>5.03125</v>
      </c>
      <c r="BE32" s="29">
        <v>1</v>
      </c>
      <c r="BF32" s="1">
        <v>1.1267298112245603</v>
      </c>
      <c r="BG32" s="139" t="s">
        <v>1304</v>
      </c>
      <c r="BH32" s="728">
        <v>5.03125</v>
      </c>
      <c r="BI32" s="29">
        <v>1</v>
      </c>
      <c r="BJ32" s="1">
        <v>1.1267298112245603</v>
      </c>
      <c r="BK32" s="139" t="s">
        <v>1304</v>
      </c>
      <c r="BL32" s="728">
        <v>5.03125</v>
      </c>
      <c r="BM32" s="29">
        <v>1</v>
      </c>
      <c r="BN32" s="1">
        <v>1.1267298112245603</v>
      </c>
      <c r="BO32" s="139" t="s">
        <v>1304</v>
      </c>
      <c r="BP32" s="728">
        <v>5.03125</v>
      </c>
      <c r="BQ32" s="29">
        <v>1</v>
      </c>
      <c r="BR32" s="1">
        <v>1.1267298112245603</v>
      </c>
      <c r="BS32" s="139" t="s">
        <v>1304</v>
      </c>
      <c r="BT32" s="728">
        <v>5.03125</v>
      </c>
      <c r="BU32" s="29">
        <v>1</v>
      </c>
      <c r="BV32" s="1">
        <v>1.1267298112245603</v>
      </c>
      <c r="BW32" s="139" t="s">
        <v>1304</v>
      </c>
      <c r="BX32" s="31"/>
      <c r="BY32" s="155">
        <v>5.03125</v>
      </c>
      <c r="BZ32" s="29">
        <v>1</v>
      </c>
      <c r="CA32" s="1">
        <v>1.1267298112245603</v>
      </c>
      <c r="CB32" s="139" t="s">
        <v>1304</v>
      </c>
      <c r="CC32" s="155">
        <v>5.03125</v>
      </c>
      <c r="CD32" s="29">
        <v>1</v>
      </c>
      <c r="CE32" s="1">
        <v>1.1267298112245603</v>
      </c>
      <c r="CF32" s="31" t="s">
        <v>1304</v>
      </c>
      <c r="CG32" s="253">
        <v>21.285653469561513</v>
      </c>
      <c r="CH32" s="253"/>
      <c r="CI32" s="182">
        <v>21.911702101019205</v>
      </c>
      <c r="CJ32" s="182"/>
      <c r="CK32" s="253"/>
      <c r="CL32" s="182">
        <v>480000</v>
      </c>
      <c r="CM32" s="259">
        <v>35.4375</v>
      </c>
      <c r="CN32" s="694">
        <v>5.03125</v>
      </c>
      <c r="CO32" s="115" t="s">
        <v>1124</v>
      </c>
      <c r="CP32" s="272">
        <v>1</v>
      </c>
      <c r="CQ32" s="272">
        <v>4</v>
      </c>
      <c r="CR32" s="272">
        <v>1</v>
      </c>
      <c r="CS32" s="272">
        <v>3</v>
      </c>
      <c r="CT32" s="272">
        <v>1</v>
      </c>
      <c r="CU32" s="272">
        <v>3</v>
      </c>
      <c r="CV32" s="50">
        <v>3</v>
      </c>
      <c r="CW32" s="51">
        <v>1.05</v>
      </c>
      <c r="CX32" s="87">
        <v>1.1150377561073679</v>
      </c>
      <c r="CY32" s="88">
        <v>1.1267298112245603</v>
      </c>
      <c r="CZ32" s="89" t="s">
        <v>1305</v>
      </c>
      <c r="DA32" s="52">
        <v>1</v>
      </c>
      <c r="DB32" s="52">
        <v>1.1000000000000001</v>
      </c>
      <c r="DC32" s="52">
        <v>1</v>
      </c>
      <c r="DD32" s="52">
        <v>1.02</v>
      </c>
      <c r="DE32" s="52">
        <v>1</v>
      </c>
      <c r="DF32" s="52">
        <v>1.05</v>
      </c>
    </row>
    <row r="33" spans="1:114" ht="24">
      <c r="A33" s="226">
        <v>2932</v>
      </c>
      <c r="B33" s="168" t="s">
        <v>525</v>
      </c>
      <c r="C33" s="151" t="s">
        <v>525</v>
      </c>
      <c r="D33" s="152" t="s">
        <v>526</v>
      </c>
      <c r="E33" s="153" t="s">
        <v>402</v>
      </c>
      <c r="F33" s="144" t="s">
        <v>1306</v>
      </c>
      <c r="G33" s="125" t="s">
        <v>521</v>
      </c>
      <c r="H33" s="154" t="s">
        <v>402</v>
      </c>
      <c r="I33" s="123" t="s">
        <v>402</v>
      </c>
      <c r="J33" s="124">
        <v>0</v>
      </c>
      <c r="K33" s="125" t="s">
        <v>395</v>
      </c>
      <c r="L33" s="728">
        <v>8.8125</v>
      </c>
      <c r="M33" s="29">
        <v>1</v>
      </c>
      <c r="N33" s="1">
        <v>1.1267298112245603</v>
      </c>
      <c r="O33" s="139" t="s">
        <v>1304</v>
      </c>
      <c r="P33" s="728">
        <v>8.8125</v>
      </c>
      <c r="Q33" s="29">
        <v>1</v>
      </c>
      <c r="R33" s="1">
        <v>1.1267298112245603</v>
      </c>
      <c r="S33" s="139" t="s">
        <v>1304</v>
      </c>
      <c r="T33" s="728">
        <v>8.8125</v>
      </c>
      <c r="U33" s="29">
        <v>1</v>
      </c>
      <c r="V33" s="1">
        <v>1.1267298112245603</v>
      </c>
      <c r="W33" s="139" t="s">
        <v>1304</v>
      </c>
      <c r="X33" s="728">
        <v>8.8125</v>
      </c>
      <c r="Y33" s="29">
        <v>1</v>
      </c>
      <c r="Z33" s="1">
        <v>1.1267298112245603</v>
      </c>
      <c r="AA33" s="139" t="s">
        <v>1304</v>
      </c>
      <c r="AB33" s="728">
        <v>8.8125</v>
      </c>
      <c r="AC33" s="29">
        <v>1</v>
      </c>
      <c r="AD33" s="1">
        <v>1.1267298112245603</v>
      </c>
      <c r="AE33" s="139" t="s">
        <v>1304</v>
      </c>
      <c r="AF33" s="728">
        <v>8.8125</v>
      </c>
      <c r="AG33" s="29">
        <v>1</v>
      </c>
      <c r="AH33" s="1">
        <v>1.1267298112245603</v>
      </c>
      <c r="AI33" s="139" t="s">
        <v>1304</v>
      </c>
      <c r="AJ33" s="729">
        <v>8.8125</v>
      </c>
      <c r="AK33" s="29">
        <v>1</v>
      </c>
      <c r="AL33" s="1">
        <v>1.1267298112245603</v>
      </c>
      <c r="AM33" s="139" t="s">
        <v>1304</v>
      </c>
      <c r="AN33" s="728">
        <v>8.8125</v>
      </c>
      <c r="AO33" s="29">
        <v>1</v>
      </c>
      <c r="AP33" s="1">
        <v>1.1267298112245603</v>
      </c>
      <c r="AQ33" s="139" t="s">
        <v>1304</v>
      </c>
      <c r="AR33" s="728">
        <v>8.8125</v>
      </c>
      <c r="AS33" s="29">
        <v>1</v>
      </c>
      <c r="AT33" s="1">
        <v>1.1267298112245603</v>
      </c>
      <c r="AU33" s="139" t="s">
        <v>1304</v>
      </c>
      <c r="AV33" s="728">
        <v>8.8125</v>
      </c>
      <c r="AW33" s="29">
        <v>1</v>
      </c>
      <c r="AX33" s="1">
        <v>1.1267298112245603</v>
      </c>
      <c r="AY33" s="139" t="s">
        <v>1304</v>
      </c>
      <c r="AZ33" s="728">
        <v>8.8125</v>
      </c>
      <c r="BA33" s="29">
        <v>1</v>
      </c>
      <c r="BB33" s="1">
        <v>1.1267298112245603</v>
      </c>
      <c r="BC33" s="139" t="s">
        <v>1304</v>
      </c>
      <c r="BD33" s="728">
        <v>8.8125</v>
      </c>
      <c r="BE33" s="29">
        <v>1</v>
      </c>
      <c r="BF33" s="1">
        <v>1.1267298112245603</v>
      </c>
      <c r="BG33" s="139" t="s">
        <v>1304</v>
      </c>
      <c r="BH33" s="728">
        <v>8.8125</v>
      </c>
      <c r="BI33" s="29">
        <v>1</v>
      </c>
      <c r="BJ33" s="1">
        <v>1.1267298112245603</v>
      </c>
      <c r="BK33" s="139" t="s">
        <v>1304</v>
      </c>
      <c r="BL33" s="728">
        <v>8.8125</v>
      </c>
      <c r="BM33" s="29">
        <v>1</v>
      </c>
      <c r="BN33" s="1">
        <v>1.1267298112245603</v>
      </c>
      <c r="BO33" s="139" t="s">
        <v>1304</v>
      </c>
      <c r="BP33" s="728">
        <v>8.8125</v>
      </c>
      <c r="BQ33" s="29">
        <v>1</v>
      </c>
      <c r="BR33" s="1">
        <v>1.1267298112245603</v>
      </c>
      <c r="BS33" s="139" t="s">
        <v>1304</v>
      </c>
      <c r="BT33" s="728">
        <v>8.8125</v>
      </c>
      <c r="BU33" s="29">
        <v>1</v>
      </c>
      <c r="BV33" s="1">
        <v>1.1267298112245603</v>
      </c>
      <c r="BW33" s="139" t="s">
        <v>1304</v>
      </c>
      <c r="BX33" s="31"/>
      <c r="BY33" s="155">
        <v>8.8125</v>
      </c>
      <c r="BZ33" s="29">
        <v>1</v>
      </c>
      <c r="CA33" s="1">
        <v>1.1267298112245603</v>
      </c>
      <c r="CB33" s="139" t="s">
        <v>1304</v>
      </c>
      <c r="CC33" s="155">
        <v>8.8125</v>
      </c>
      <c r="CD33" s="29">
        <v>1</v>
      </c>
      <c r="CE33" s="1">
        <v>1.1267298112245603</v>
      </c>
      <c r="CF33" s="31" t="s">
        <v>1304</v>
      </c>
      <c r="CG33" s="253"/>
      <c r="CH33" s="253"/>
      <c r="CI33" s="182"/>
      <c r="CJ33" s="182"/>
      <c r="CK33" s="253"/>
      <c r="CL33" s="182"/>
      <c r="CM33" s="259"/>
      <c r="CN33" s="694">
        <v>8.8125</v>
      </c>
      <c r="CO33" s="115" t="s">
        <v>1124</v>
      </c>
      <c r="CP33" s="272">
        <v>1</v>
      </c>
      <c r="CQ33" s="272">
        <v>4</v>
      </c>
      <c r="CR33" s="272">
        <v>1</v>
      </c>
      <c r="CS33" s="272">
        <v>3</v>
      </c>
      <c r="CT33" s="272">
        <v>1</v>
      </c>
      <c r="CU33" s="272">
        <v>3</v>
      </c>
      <c r="CV33" s="50">
        <v>3</v>
      </c>
      <c r="CW33" s="51">
        <v>1.05</v>
      </c>
      <c r="CX33" s="87">
        <v>1.1150377561073679</v>
      </c>
      <c r="CY33" s="88">
        <v>1.1267298112245603</v>
      </c>
      <c r="CZ33" s="89" t="s">
        <v>1305</v>
      </c>
      <c r="DA33" s="52">
        <v>1</v>
      </c>
      <c r="DB33" s="52">
        <v>1.1000000000000001</v>
      </c>
      <c r="DC33" s="52">
        <v>1</v>
      </c>
      <c r="DD33" s="52">
        <v>1.02</v>
      </c>
      <c r="DE33" s="52">
        <v>1</v>
      </c>
      <c r="DF33" s="52">
        <v>1.05</v>
      </c>
    </row>
    <row r="34" spans="1:114" ht="24">
      <c r="A34" s="120">
        <v>1153</v>
      </c>
      <c r="B34" s="168" t="s">
        <v>525</v>
      </c>
      <c r="C34" s="151" t="s">
        <v>525</v>
      </c>
      <c r="D34" s="152" t="s">
        <v>526</v>
      </c>
      <c r="E34" s="153" t="s">
        <v>402</v>
      </c>
      <c r="F34" s="144" t="s">
        <v>1106</v>
      </c>
      <c r="G34" s="125" t="s">
        <v>521</v>
      </c>
      <c r="H34" s="154" t="s">
        <v>402</v>
      </c>
      <c r="I34" s="123" t="s">
        <v>402</v>
      </c>
      <c r="J34" s="124">
        <v>0</v>
      </c>
      <c r="K34" s="125" t="s">
        <v>395</v>
      </c>
      <c r="L34" s="728">
        <v>0.10249999999999999</v>
      </c>
      <c r="M34" s="29">
        <v>1</v>
      </c>
      <c r="N34" s="1">
        <v>1.1267298112245603</v>
      </c>
      <c r="O34" s="139" t="s">
        <v>1304</v>
      </c>
      <c r="P34" s="728">
        <v>0.10249999999999999</v>
      </c>
      <c r="Q34" s="29">
        <v>1</v>
      </c>
      <c r="R34" s="1">
        <v>1.1267298112245603</v>
      </c>
      <c r="S34" s="139" t="s">
        <v>1304</v>
      </c>
      <c r="T34" s="728">
        <v>0.10249999999999999</v>
      </c>
      <c r="U34" s="29">
        <v>1</v>
      </c>
      <c r="V34" s="1">
        <v>1.1267298112245603</v>
      </c>
      <c r="W34" s="139" t="s">
        <v>1304</v>
      </c>
      <c r="X34" s="728">
        <v>0.10249999999999999</v>
      </c>
      <c r="Y34" s="29">
        <v>1</v>
      </c>
      <c r="Z34" s="1">
        <v>1.1267298112245603</v>
      </c>
      <c r="AA34" s="139" t="s">
        <v>1304</v>
      </c>
      <c r="AB34" s="728">
        <v>0.10249999999999999</v>
      </c>
      <c r="AC34" s="29">
        <v>1</v>
      </c>
      <c r="AD34" s="1">
        <v>1.1267298112245603</v>
      </c>
      <c r="AE34" s="139" t="s">
        <v>1304</v>
      </c>
      <c r="AF34" s="728">
        <v>0.10249999999999999</v>
      </c>
      <c r="AG34" s="29">
        <v>1</v>
      </c>
      <c r="AH34" s="1">
        <v>1.1267298112245603</v>
      </c>
      <c r="AI34" s="139" t="s">
        <v>1304</v>
      </c>
      <c r="AJ34" s="729">
        <v>0.10249999999999999</v>
      </c>
      <c r="AK34" s="29">
        <v>1</v>
      </c>
      <c r="AL34" s="1">
        <v>1.1267298112245603</v>
      </c>
      <c r="AM34" s="139" t="s">
        <v>1304</v>
      </c>
      <c r="AN34" s="728">
        <v>0.10249999999999999</v>
      </c>
      <c r="AO34" s="29">
        <v>1</v>
      </c>
      <c r="AP34" s="1">
        <v>1.1267298112245603</v>
      </c>
      <c r="AQ34" s="139" t="s">
        <v>1304</v>
      </c>
      <c r="AR34" s="728">
        <v>0.10249999999999999</v>
      </c>
      <c r="AS34" s="29">
        <v>1</v>
      </c>
      <c r="AT34" s="1">
        <v>1.1267298112245603</v>
      </c>
      <c r="AU34" s="139" t="s">
        <v>1304</v>
      </c>
      <c r="AV34" s="728">
        <v>0.10249999999999999</v>
      </c>
      <c r="AW34" s="29">
        <v>1</v>
      </c>
      <c r="AX34" s="1">
        <v>1.1267298112245603</v>
      </c>
      <c r="AY34" s="139" t="s">
        <v>1304</v>
      </c>
      <c r="AZ34" s="728">
        <v>0.10249999999999999</v>
      </c>
      <c r="BA34" s="29">
        <v>1</v>
      </c>
      <c r="BB34" s="1">
        <v>1.1267298112245603</v>
      </c>
      <c r="BC34" s="139" t="s">
        <v>1304</v>
      </c>
      <c r="BD34" s="728">
        <v>0.10249999999999999</v>
      </c>
      <c r="BE34" s="29">
        <v>1</v>
      </c>
      <c r="BF34" s="1">
        <v>1.1267298112245603</v>
      </c>
      <c r="BG34" s="139" t="s">
        <v>1304</v>
      </c>
      <c r="BH34" s="728">
        <v>0.10249999999999999</v>
      </c>
      <c r="BI34" s="29">
        <v>1</v>
      </c>
      <c r="BJ34" s="1">
        <v>1.1267298112245603</v>
      </c>
      <c r="BK34" s="139" t="s">
        <v>1304</v>
      </c>
      <c r="BL34" s="728">
        <v>0.10249999999999999</v>
      </c>
      <c r="BM34" s="29">
        <v>1</v>
      </c>
      <c r="BN34" s="1">
        <v>1.1267298112245603</v>
      </c>
      <c r="BO34" s="139" t="s">
        <v>1304</v>
      </c>
      <c r="BP34" s="728">
        <v>0.10249999999999999</v>
      </c>
      <c r="BQ34" s="29">
        <v>1</v>
      </c>
      <c r="BR34" s="1">
        <v>1.1267298112245603</v>
      </c>
      <c r="BS34" s="139" t="s">
        <v>1304</v>
      </c>
      <c r="BT34" s="728">
        <v>0.10249999999999999</v>
      </c>
      <c r="BU34" s="29">
        <v>1</v>
      </c>
      <c r="BV34" s="1">
        <v>1.1267298112245603</v>
      </c>
      <c r="BW34" s="139" t="s">
        <v>1304</v>
      </c>
      <c r="BX34" s="31"/>
      <c r="BY34" s="155">
        <v>0.10249999999999999</v>
      </c>
      <c r="BZ34" s="29">
        <v>1</v>
      </c>
      <c r="CA34" s="1">
        <v>1.1267298112245603</v>
      </c>
      <c r="CB34" s="139" t="s">
        <v>1304</v>
      </c>
      <c r="CC34" s="155">
        <v>0.10249999999999999</v>
      </c>
      <c r="CD34" s="29">
        <v>1</v>
      </c>
      <c r="CE34" s="1">
        <v>1.1267298112245603</v>
      </c>
      <c r="CF34" s="31" t="s">
        <v>1304</v>
      </c>
      <c r="CG34" s="253"/>
      <c r="CH34" s="253"/>
      <c r="CI34" s="182"/>
      <c r="CJ34" s="182"/>
      <c r="CK34" s="253"/>
      <c r="CL34" s="182"/>
      <c r="CM34" s="259"/>
      <c r="CN34" s="694">
        <v>0.10249999999999999</v>
      </c>
      <c r="CO34" s="115" t="s">
        <v>1124</v>
      </c>
      <c r="CP34" s="272">
        <v>1</v>
      </c>
      <c r="CQ34" s="272">
        <v>4</v>
      </c>
      <c r="CR34" s="272">
        <v>1</v>
      </c>
      <c r="CS34" s="272">
        <v>3</v>
      </c>
      <c r="CT34" s="272">
        <v>1</v>
      </c>
      <c r="CU34" s="272">
        <v>3</v>
      </c>
      <c r="CV34" s="50">
        <v>3</v>
      </c>
      <c r="CW34" s="51">
        <v>1.05</v>
      </c>
      <c r="CX34" s="87">
        <v>1.1150377561073679</v>
      </c>
      <c r="CY34" s="88">
        <v>1.1267298112245603</v>
      </c>
      <c r="CZ34" s="89" t="s">
        <v>1305</v>
      </c>
      <c r="DA34" s="52">
        <v>1</v>
      </c>
      <c r="DB34" s="52">
        <v>1.1000000000000001</v>
      </c>
      <c r="DC34" s="52">
        <v>1</v>
      </c>
      <c r="DD34" s="52">
        <v>1.02</v>
      </c>
      <c r="DE34" s="52">
        <v>1</v>
      </c>
      <c r="DF34" s="52">
        <v>1.05</v>
      </c>
    </row>
    <row r="35" spans="1:114" ht="24">
      <c r="A35" s="156">
        <v>1625</v>
      </c>
      <c r="B35" s="37" t="s">
        <v>461</v>
      </c>
      <c r="C35" s="151" t="s">
        <v>525</v>
      </c>
      <c r="D35" s="152" t="s">
        <v>526</v>
      </c>
      <c r="E35" s="153" t="s">
        <v>402</v>
      </c>
      <c r="F35" s="144" t="s">
        <v>1122</v>
      </c>
      <c r="G35" s="125" t="s">
        <v>521</v>
      </c>
      <c r="H35" s="154" t="s">
        <v>402</v>
      </c>
      <c r="I35" s="123" t="s">
        <v>402</v>
      </c>
      <c r="J35" s="124">
        <v>0</v>
      </c>
      <c r="K35" s="125" t="s">
        <v>396</v>
      </c>
      <c r="L35" s="728">
        <v>0</v>
      </c>
      <c r="M35" s="29">
        <v>1</v>
      </c>
      <c r="N35" s="1">
        <v>1.1267298112245603</v>
      </c>
      <c r="O35" s="139" t="s">
        <v>1304</v>
      </c>
      <c r="P35" s="728">
        <v>0</v>
      </c>
      <c r="Q35" s="29">
        <v>1</v>
      </c>
      <c r="R35" s="1">
        <v>1.1267298112245603</v>
      </c>
      <c r="S35" s="139" t="s">
        <v>1304</v>
      </c>
      <c r="T35" s="728">
        <v>0</v>
      </c>
      <c r="U35" s="29">
        <v>1</v>
      </c>
      <c r="V35" s="1">
        <v>1.1267298112245603</v>
      </c>
      <c r="W35" s="139" t="s">
        <v>1304</v>
      </c>
      <c r="X35" s="728">
        <v>0</v>
      </c>
      <c r="Y35" s="29">
        <v>1</v>
      </c>
      <c r="Z35" s="1">
        <v>1.1267298112245603</v>
      </c>
      <c r="AA35" s="139" t="s">
        <v>1304</v>
      </c>
      <c r="AB35" s="728">
        <v>0</v>
      </c>
      <c r="AC35" s="29">
        <v>1</v>
      </c>
      <c r="AD35" s="1">
        <v>1.1267298112245603</v>
      </c>
      <c r="AE35" s="139" t="s">
        <v>1304</v>
      </c>
      <c r="AF35" s="728">
        <v>0</v>
      </c>
      <c r="AG35" s="29">
        <v>1</v>
      </c>
      <c r="AH35" s="1">
        <v>1.1267298112245603</v>
      </c>
      <c r="AI35" s="139" t="s">
        <v>1304</v>
      </c>
      <c r="AJ35" s="729">
        <v>0</v>
      </c>
      <c r="AK35" s="29">
        <v>1</v>
      </c>
      <c r="AL35" s="1">
        <v>1.1267298112245603</v>
      </c>
      <c r="AM35" s="139" t="s">
        <v>1304</v>
      </c>
      <c r="AN35" s="728">
        <v>0</v>
      </c>
      <c r="AO35" s="29">
        <v>1</v>
      </c>
      <c r="AP35" s="1">
        <v>1.1267298112245603</v>
      </c>
      <c r="AQ35" s="139" t="s">
        <v>1304</v>
      </c>
      <c r="AR35" s="728">
        <v>0</v>
      </c>
      <c r="AS35" s="29">
        <v>1</v>
      </c>
      <c r="AT35" s="1">
        <v>1.1267298112245603</v>
      </c>
      <c r="AU35" s="139" t="s">
        <v>1304</v>
      </c>
      <c r="AV35" s="728">
        <v>0</v>
      </c>
      <c r="AW35" s="29">
        <v>1</v>
      </c>
      <c r="AX35" s="1">
        <v>1.1267298112245603</v>
      </c>
      <c r="AY35" s="139" t="s">
        <v>1304</v>
      </c>
      <c r="AZ35" s="728">
        <v>0</v>
      </c>
      <c r="BA35" s="29">
        <v>1</v>
      </c>
      <c r="BB35" s="1">
        <v>1.1267298112245603</v>
      </c>
      <c r="BC35" s="139" t="s">
        <v>1304</v>
      </c>
      <c r="BD35" s="728">
        <v>0</v>
      </c>
      <c r="BE35" s="29">
        <v>1</v>
      </c>
      <c r="BF35" s="1">
        <v>1.1267298112245603</v>
      </c>
      <c r="BG35" s="139" t="s">
        <v>1304</v>
      </c>
      <c r="BH35" s="728">
        <v>0</v>
      </c>
      <c r="BI35" s="29">
        <v>1</v>
      </c>
      <c r="BJ35" s="1">
        <v>1.1267298112245603</v>
      </c>
      <c r="BK35" s="139" t="s">
        <v>1304</v>
      </c>
      <c r="BL35" s="728">
        <v>0.935415</v>
      </c>
      <c r="BM35" s="29">
        <v>1</v>
      </c>
      <c r="BN35" s="1">
        <v>1.1267298112245603</v>
      </c>
      <c r="BO35" s="139" t="s">
        <v>1304</v>
      </c>
      <c r="BP35" s="728">
        <v>0</v>
      </c>
      <c r="BQ35" s="29">
        <v>1</v>
      </c>
      <c r="BR35" s="1">
        <v>1.1267298112245603</v>
      </c>
      <c r="BS35" s="139" t="s">
        <v>1304</v>
      </c>
      <c r="BT35" s="728">
        <v>0.935415</v>
      </c>
      <c r="BU35" s="29">
        <v>1</v>
      </c>
      <c r="BV35" s="1">
        <v>1.1267298112245603</v>
      </c>
      <c r="BW35" s="139" t="s">
        <v>1304</v>
      </c>
      <c r="BX35" s="31"/>
      <c r="BY35" s="155">
        <v>0</v>
      </c>
      <c r="BZ35" s="29">
        <v>1</v>
      </c>
      <c r="CA35" s="1">
        <v>1.1267298112245603</v>
      </c>
      <c r="CB35" s="139" t="s">
        <v>1304</v>
      </c>
      <c r="CC35" s="155">
        <v>0</v>
      </c>
      <c r="CD35" s="29">
        <v>1</v>
      </c>
      <c r="CE35" s="1">
        <v>1.1267298112245603</v>
      </c>
      <c r="CF35" s="31" t="s">
        <v>1304</v>
      </c>
      <c r="CG35" s="253">
        <v>0.9324137931034483</v>
      </c>
      <c r="CH35" s="253"/>
      <c r="CI35" s="182">
        <v>0</v>
      </c>
      <c r="CJ35" s="182"/>
      <c r="CK35" s="253"/>
      <c r="CL35" s="182"/>
      <c r="CM35" s="259">
        <v>0</v>
      </c>
      <c r="CN35" s="694">
        <v>0.935415</v>
      </c>
      <c r="CO35" s="191" t="s">
        <v>1124</v>
      </c>
      <c r="CP35" s="272">
        <v>1</v>
      </c>
      <c r="CQ35" s="272">
        <v>4</v>
      </c>
      <c r="CR35" s="272">
        <v>1</v>
      </c>
      <c r="CS35" s="272">
        <v>3</v>
      </c>
      <c r="CT35" s="272">
        <v>1</v>
      </c>
      <c r="CU35" s="272">
        <v>3</v>
      </c>
      <c r="CV35" s="50">
        <v>3</v>
      </c>
      <c r="CW35" s="51">
        <v>1.05</v>
      </c>
      <c r="CX35" s="87">
        <v>1.1150377561073679</v>
      </c>
      <c r="CY35" s="88">
        <v>1.1267298112245603</v>
      </c>
      <c r="CZ35" s="89" t="s">
        <v>1305</v>
      </c>
      <c r="DA35" s="52">
        <v>1</v>
      </c>
      <c r="DB35" s="52">
        <v>1.1000000000000001</v>
      </c>
      <c r="DC35" s="52">
        <v>1</v>
      </c>
      <c r="DD35" s="52">
        <v>1.02</v>
      </c>
      <c r="DE35" s="52">
        <v>1</v>
      </c>
      <c r="DF35" s="52">
        <v>1.05</v>
      </c>
    </row>
    <row r="36" spans="1:114" ht="24">
      <c r="A36" s="156">
        <v>1618</v>
      </c>
      <c r="B36" s="37" t="s">
        <v>525</v>
      </c>
      <c r="C36" s="151" t="s">
        <v>525</v>
      </c>
      <c r="D36" s="152" t="s">
        <v>526</v>
      </c>
      <c r="E36" s="153" t="s">
        <v>402</v>
      </c>
      <c r="F36" s="144" t="s">
        <v>1121</v>
      </c>
      <c r="G36" s="125" t="s">
        <v>521</v>
      </c>
      <c r="H36" s="154" t="s">
        <v>402</v>
      </c>
      <c r="I36" s="123" t="s">
        <v>402</v>
      </c>
      <c r="J36" s="124">
        <v>0</v>
      </c>
      <c r="K36" s="125" t="s">
        <v>396</v>
      </c>
      <c r="L36" s="728">
        <v>0</v>
      </c>
      <c r="M36" s="29">
        <v>1</v>
      </c>
      <c r="N36" s="1">
        <v>1.1267298112245603</v>
      </c>
      <c r="O36" s="139" t="s">
        <v>1304</v>
      </c>
      <c r="P36" s="728">
        <v>0</v>
      </c>
      <c r="Q36" s="29">
        <v>1</v>
      </c>
      <c r="R36" s="1">
        <v>1.1267298112245603</v>
      </c>
      <c r="S36" s="139" t="s">
        <v>1304</v>
      </c>
      <c r="T36" s="728" t="s">
        <v>402</v>
      </c>
      <c r="U36" s="29">
        <v>1</v>
      </c>
      <c r="V36" s="1">
        <v>1.1267298112245603</v>
      </c>
      <c r="W36" s="139" t="s">
        <v>1304</v>
      </c>
      <c r="X36" s="728">
        <v>0</v>
      </c>
      <c r="Y36" s="29">
        <v>1</v>
      </c>
      <c r="Z36" s="1">
        <v>1.1267298112245603</v>
      </c>
      <c r="AA36" s="139" t="s">
        <v>1304</v>
      </c>
      <c r="AB36" s="728">
        <v>0</v>
      </c>
      <c r="AC36" s="29">
        <v>1</v>
      </c>
      <c r="AD36" s="1">
        <v>1.1267298112245603</v>
      </c>
      <c r="AE36" s="139" t="s">
        <v>1304</v>
      </c>
      <c r="AF36" s="728">
        <v>0</v>
      </c>
      <c r="AG36" s="29">
        <v>1</v>
      </c>
      <c r="AH36" s="1">
        <v>1.1267298112245603</v>
      </c>
      <c r="AI36" s="139" t="s">
        <v>1304</v>
      </c>
      <c r="AJ36" s="729">
        <v>0</v>
      </c>
      <c r="AK36" s="29">
        <v>1</v>
      </c>
      <c r="AL36" s="1">
        <v>1.1267298112245603</v>
      </c>
      <c r="AM36" s="139" t="s">
        <v>1304</v>
      </c>
      <c r="AN36" s="728">
        <v>0</v>
      </c>
      <c r="AO36" s="29">
        <v>1</v>
      </c>
      <c r="AP36" s="1">
        <v>1.1267298112245603</v>
      </c>
      <c r="AQ36" s="139" t="s">
        <v>1304</v>
      </c>
      <c r="AR36" s="728">
        <v>0</v>
      </c>
      <c r="AS36" s="29">
        <v>1</v>
      </c>
      <c r="AT36" s="1">
        <v>1.1267298112245603</v>
      </c>
      <c r="AU36" s="139" t="s">
        <v>1304</v>
      </c>
      <c r="AV36" s="728">
        <v>0</v>
      </c>
      <c r="AW36" s="29">
        <v>1</v>
      </c>
      <c r="AX36" s="1">
        <v>1.1267298112245603</v>
      </c>
      <c r="AY36" s="139" t="s">
        <v>1304</v>
      </c>
      <c r="AZ36" s="728" t="s">
        <v>402</v>
      </c>
      <c r="BA36" s="29">
        <v>1</v>
      </c>
      <c r="BB36" s="1">
        <v>1.1267298112245603</v>
      </c>
      <c r="BC36" s="139" t="s">
        <v>1304</v>
      </c>
      <c r="BD36" s="728">
        <v>0</v>
      </c>
      <c r="BE36" s="29">
        <v>1</v>
      </c>
      <c r="BF36" s="1">
        <v>1.1267298112245603</v>
      </c>
      <c r="BG36" s="139" t="s">
        <v>1304</v>
      </c>
      <c r="BH36" s="728">
        <v>0.935415</v>
      </c>
      <c r="BI36" s="29">
        <v>1</v>
      </c>
      <c r="BJ36" s="1">
        <v>1.1267298112245603</v>
      </c>
      <c r="BK36" s="139" t="s">
        <v>1304</v>
      </c>
      <c r="BL36" s="728">
        <v>0</v>
      </c>
      <c r="BM36" s="29">
        <v>1</v>
      </c>
      <c r="BN36" s="1">
        <v>1.1267298112245603</v>
      </c>
      <c r="BO36" s="139" t="s">
        <v>1304</v>
      </c>
      <c r="BP36" s="728">
        <v>0.935415</v>
      </c>
      <c r="BQ36" s="29">
        <v>1</v>
      </c>
      <c r="BR36" s="1">
        <v>1.1267298112245603</v>
      </c>
      <c r="BS36" s="139" t="s">
        <v>1304</v>
      </c>
      <c r="BT36" s="728">
        <v>0</v>
      </c>
      <c r="BU36" s="29">
        <v>1</v>
      </c>
      <c r="BV36" s="1">
        <v>1.1267298112245603</v>
      </c>
      <c r="BW36" s="139" t="s">
        <v>1304</v>
      </c>
      <c r="BX36" s="31"/>
      <c r="BY36" s="155">
        <v>0</v>
      </c>
      <c r="BZ36" s="29">
        <v>1</v>
      </c>
      <c r="CA36" s="1">
        <v>1.1267298112245603</v>
      </c>
      <c r="CB36" s="139" t="s">
        <v>1304</v>
      </c>
      <c r="CC36" s="155">
        <v>0</v>
      </c>
      <c r="CD36" s="29">
        <v>1</v>
      </c>
      <c r="CE36" s="1">
        <v>1.1267298112245603</v>
      </c>
      <c r="CF36" s="31" t="s">
        <v>1304</v>
      </c>
      <c r="CG36" s="253">
        <v>0.9324137931034483</v>
      </c>
      <c r="CH36" s="253"/>
      <c r="CI36" s="182">
        <v>68.474069065685015</v>
      </c>
      <c r="CJ36" s="182"/>
      <c r="CK36" s="253"/>
      <c r="CL36" s="182">
        <v>1500000</v>
      </c>
      <c r="CM36" s="259">
        <v>1.4765625</v>
      </c>
      <c r="CN36" s="694">
        <v>0</v>
      </c>
      <c r="CO36" s="191" t="s">
        <v>1124</v>
      </c>
      <c r="CP36" s="272">
        <v>1</v>
      </c>
      <c r="CQ36" s="272">
        <v>4</v>
      </c>
      <c r="CR36" s="272">
        <v>1</v>
      </c>
      <c r="CS36" s="272">
        <v>3</v>
      </c>
      <c r="CT36" s="272">
        <v>1</v>
      </c>
      <c r="CU36" s="272">
        <v>3</v>
      </c>
      <c r="CV36" s="50">
        <v>3</v>
      </c>
      <c r="CW36" s="51">
        <v>1.05</v>
      </c>
      <c r="CX36" s="87">
        <v>1.1150377561073679</v>
      </c>
      <c r="CY36" s="88">
        <v>1.1267298112245603</v>
      </c>
      <c r="CZ36" s="89" t="s">
        <v>1305</v>
      </c>
      <c r="DA36" s="52">
        <v>1</v>
      </c>
      <c r="DB36" s="52">
        <v>1.1000000000000001</v>
      </c>
      <c r="DC36" s="52">
        <v>1</v>
      </c>
      <c r="DD36" s="52">
        <v>1.02</v>
      </c>
      <c r="DE36" s="52">
        <v>1</v>
      </c>
      <c r="DF36" s="52">
        <v>1.05</v>
      </c>
    </row>
    <row r="37" spans="1:114" ht="24" outlineLevel="1">
      <c r="A37" s="226">
        <v>32064</v>
      </c>
      <c r="B37" s="37" t="s">
        <v>525</v>
      </c>
      <c r="C37" s="151" t="s">
        <v>525</v>
      </c>
      <c r="D37" s="152" t="s">
        <v>526</v>
      </c>
      <c r="E37" s="153" t="s">
        <v>402</v>
      </c>
      <c r="F37" s="144" t="s">
        <v>1270</v>
      </c>
      <c r="G37" s="125" t="s">
        <v>521</v>
      </c>
      <c r="H37" s="154" t="s">
        <v>402</v>
      </c>
      <c r="I37" s="123" t="s">
        <v>402</v>
      </c>
      <c r="J37" s="124">
        <v>0</v>
      </c>
      <c r="K37" s="125" t="s">
        <v>396</v>
      </c>
      <c r="L37" s="728">
        <v>0</v>
      </c>
      <c r="M37" s="29">
        <v>1</v>
      </c>
      <c r="N37" s="1">
        <v>1.1267298112245603</v>
      </c>
      <c r="O37" s="139" t="s">
        <v>1304</v>
      </c>
      <c r="P37" s="728">
        <v>0</v>
      </c>
      <c r="Q37" s="29">
        <v>1</v>
      </c>
      <c r="R37" s="1">
        <v>1.1267298112245603</v>
      </c>
      <c r="S37" s="139" t="s">
        <v>1304</v>
      </c>
      <c r="T37" s="728">
        <v>0</v>
      </c>
      <c r="U37" s="29">
        <v>1</v>
      </c>
      <c r="V37" s="1">
        <v>1.1267298112245603</v>
      </c>
      <c r="W37" s="139" t="s">
        <v>1304</v>
      </c>
      <c r="X37" s="728">
        <v>0</v>
      </c>
      <c r="Y37" s="29">
        <v>1</v>
      </c>
      <c r="Z37" s="1">
        <v>1.1267298112245603</v>
      </c>
      <c r="AA37" s="139" t="s">
        <v>1304</v>
      </c>
      <c r="AB37" s="728">
        <v>0</v>
      </c>
      <c r="AC37" s="29">
        <v>1</v>
      </c>
      <c r="AD37" s="1">
        <v>1.1267298112245603</v>
      </c>
      <c r="AE37" s="139" t="s">
        <v>1304</v>
      </c>
      <c r="AF37" s="728">
        <v>0</v>
      </c>
      <c r="AG37" s="29">
        <v>1</v>
      </c>
      <c r="AH37" s="1">
        <v>1.1267298112245603</v>
      </c>
      <c r="AI37" s="139" t="s">
        <v>1304</v>
      </c>
      <c r="AJ37" s="729">
        <v>0</v>
      </c>
      <c r="AK37" s="29">
        <v>1</v>
      </c>
      <c r="AL37" s="1">
        <v>1.1267298112245603</v>
      </c>
      <c r="AM37" s="139" t="s">
        <v>1304</v>
      </c>
      <c r="AN37" s="728">
        <v>0</v>
      </c>
      <c r="AO37" s="29">
        <v>1</v>
      </c>
      <c r="AP37" s="1">
        <v>1.1267298112245603</v>
      </c>
      <c r="AQ37" s="139" t="s">
        <v>1304</v>
      </c>
      <c r="AR37" s="728">
        <v>0</v>
      </c>
      <c r="AS37" s="29">
        <v>1</v>
      </c>
      <c r="AT37" s="1">
        <v>1.1267298112245603</v>
      </c>
      <c r="AU37" s="139" t="s">
        <v>1304</v>
      </c>
      <c r="AV37" s="728">
        <v>0</v>
      </c>
      <c r="AW37" s="29">
        <v>1</v>
      </c>
      <c r="AX37" s="1">
        <v>1.1267298112245603</v>
      </c>
      <c r="AY37" s="139" t="s">
        <v>1304</v>
      </c>
      <c r="AZ37" s="728">
        <v>0</v>
      </c>
      <c r="BA37" s="29">
        <v>1</v>
      </c>
      <c r="BB37" s="1">
        <v>1.1267298112245603</v>
      </c>
      <c r="BC37" s="139" t="s">
        <v>1304</v>
      </c>
      <c r="BD37" s="728">
        <v>0</v>
      </c>
      <c r="BE37" s="29">
        <v>1</v>
      </c>
      <c r="BF37" s="1">
        <v>1.1267298112245603</v>
      </c>
      <c r="BG37" s="139" t="s">
        <v>1304</v>
      </c>
      <c r="BH37" s="728">
        <v>0</v>
      </c>
      <c r="BI37" s="29">
        <v>1</v>
      </c>
      <c r="BJ37" s="1">
        <v>1.1267298112245603</v>
      </c>
      <c r="BK37" s="139" t="s">
        <v>1304</v>
      </c>
      <c r="BL37" s="728">
        <v>0</v>
      </c>
      <c r="BM37" s="29">
        <v>1</v>
      </c>
      <c r="BN37" s="1">
        <v>1.1267298112245603</v>
      </c>
      <c r="BO37" s="139" t="s">
        <v>1304</v>
      </c>
      <c r="BP37" s="728">
        <v>0</v>
      </c>
      <c r="BQ37" s="29">
        <v>1</v>
      </c>
      <c r="BR37" s="1">
        <v>1.1267298112245603</v>
      </c>
      <c r="BS37" s="139" t="s">
        <v>1304</v>
      </c>
      <c r="BT37" s="728">
        <v>0</v>
      </c>
      <c r="BU37" s="29">
        <v>1</v>
      </c>
      <c r="BV37" s="1">
        <v>1.1267298112245603</v>
      </c>
      <c r="BW37" s="139" t="s">
        <v>1304</v>
      </c>
      <c r="BX37" s="31"/>
      <c r="BY37" s="155">
        <v>0.935415</v>
      </c>
      <c r="BZ37" s="29">
        <v>1</v>
      </c>
      <c r="CA37" s="1">
        <v>1.1267298112245603</v>
      </c>
      <c r="CB37" s="139" t="s">
        <v>1304</v>
      </c>
      <c r="CC37" s="155">
        <v>0.935415</v>
      </c>
      <c r="CD37" s="29">
        <v>1</v>
      </c>
      <c r="CE37" s="1">
        <v>1.1267298112245603</v>
      </c>
      <c r="CF37" s="31" t="s">
        <v>1304</v>
      </c>
      <c r="CG37" s="253">
        <v>0.9324137931034483</v>
      </c>
      <c r="CH37" s="253"/>
      <c r="CK37" s="253"/>
      <c r="CM37" s="259">
        <v>0</v>
      </c>
      <c r="CN37" s="694">
        <v>0</v>
      </c>
      <c r="CO37" s="191" t="s">
        <v>1124</v>
      </c>
      <c r="CP37" s="272">
        <v>1</v>
      </c>
      <c r="CQ37" s="272">
        <v>4</v>
      </c>
      <c r="CR37" s="272">
        <v>1</v>
      </c>
      <c r="CS37" s="272">
        <v>3</v>
      </c>
      <c r="CT37" s="272">
        <v>1</v>
      </c>
      <c r="CU37" s="272">
        <v>3</v>
      </c>
      <c r="CV37" s="50">
        <v>3</v>
      </c>
      <c r="CW37" s="51">
        <v>1.05</v>
      </c>
      <c r="CX37" s="87">
        <v>1.1150377561073679</v>
      </c>
      <c r="CY37" s="88">
        <v>1.1267298112245603</v>
      </c>
      <c r="CZ37" s="89" t="s">
        <v>1305</v>
      </c>
      <c r="DA37" s="52">
        <v>1</v>
      </c>
      <c r="DB37" s="52">
        <v>1.1000000000000001</v>
      </c>
      <c r="DC37" s="52">
        <v>1</v>
      </c>
      <c r="DD37" s="52">
        <v>1.02</v>
      </c>
      <c r="DE37" s="52">
        <v>1</v>
      </c>
      <c r="DF37" s="52">
        <v>1.05</v>
      </c>
    </row>
    <row r="38" spans="1:114" ht="24" outlineLevel="1">
      <c r="A38" s="471" t="s">
        <v>760</v>
      </c>
      <c r="B38" s="37" t="s">
        <v>525</v>
      </c>
      <c r="C38" s="151" t="s">
        <v>525</v>
      </c>
      <c r="D38" s="152" t="s">
        <v>526</v>
      </c>
      <c r="E38" s="153" t="s">
        <v>402</v>
      </c>
      <c r="F38" s="144" t="s">
        <v>1122</v>
      </c>
      <c r="G38" s="125" t="s">
        <v>1105</v>
      </c>
      <c r="H38" s="154" t="s">
        <v>402</v>
      </c>
      <c r="I38" s="123" t="s">
        <v>402</v>
      </c>
      <c r="J38" s="124">
        <v>0</v>
      </c>
      <c r="K38" s="125" t="s">
        <v>396</v>
      </c>
      <c r="L38" s="728">
        <v>0</v>
      </c>
      <c r="M38" s="29">
        <v>1</v>
      </c>
      <c r="N38" s="1">
        <v>1.1267298112245603</v>
      </c>
      <c r="O38" s="139" t="s">
        <v>1304</v>
      </c>
      <c r="P38" s="728">
        <v>0.935415</v>
      </c>
      <c r="Q38" s="29">
        <v>1</v>
      </c>
      <c r="R38" s="1">
        <v>1.1267298112245603</v>
      </c>
      <c r="S38" s="139" t="s">
        <v>1304</v>
      </c>
      <c r="T38" s="728">
        <v>0</v>
      </c>
      <c r="U38" s="29">
        <v>1</v>
      </c>
      <c r="V38" s="1">
        <v>1.1267298112245603</v>
      </c>
      <c r="W38" s="139" t="s">
        <v>1304</v>
      </c>
      <c r="X38" s="728">
        <v>0.935415</v>
      </c>
      <c r="Y38" s="29">
        <v>1</v>
      </c>
      <c r="Z38" s="1">
        <v>1.1267298112245603</v>
      </c>
      <c r="AA38" s="139" t="s">
        <v>1304</v>
      </c>
      <c r="AB38" s="728">
        <v>0</v>
      </c>
      <c r="AC38" s="29">
        <v>1</v>
      </c>
      <c r="AD38" s="1">
        <v>1.1267298112245603</v>
      </c>
      <c r="AE38" s="139" t="s">
        <v>1304</v>
      </c>
      <c r="AF38" s="728">
        <v>0</v>
      </c>
      <c r="AG38" s="29">
        <v>1</v>
      </c>
      <c r="AH38" s="1">
        <v>1.1267298112245603</v>
      </c>
      <c r="AI38" s="139" t="s">
        <v>1304</v>
      </c>
      <c r="AJ38" s="729">
        <v>0</v>
      </c>
      <c r="AK38" s="29">
        <v>1</v>
      </c>
      <c r="AL38" s="1">
        <v>1.1267298112245603</v>
      </c>
      <c r="AM38" s="139" t="s">
        <v>1304</v>
      </c>
      <c r="AN38" s="728">
        <v>0</v>
      </c>
      <c r="AO38" s="29">
        <v>1</v>
      </c>
      <c r="AP38" s="1">
        <v>1.1267298112245603</v>
      </c>
      <c r="AQ38" s="139" t="s">
        <v>1304</v>
      </c>
      <c r="AR38" s="728">
        <v>0</v>
      </c>
      <c r="AS38" s="29">
        <v>1</v>
      </c>
      <c r="AT38" s="1">
        <v>1.1267298112245603</v>
      </c>
      <c r="AU38" s="139" t="s">
        <v>1304</v>
      </c>
      <c r="AV38" s="728">
        <v>0</v>
      </c>
      <c r="AW38" s="29">
        <v>1</v>
      </c>
      <c r="AX38" s="1">
        <v>1.1267298112245603</v>
      </c>
      <c r="AY38" s="139" t="s">
        <v>1304</v>
      </c>
      <c r="AZ38" s="728">
        <v>0</v>
      </c>
      <c r="BA38" s="29">
        <v>1</v>
      </c>
      <c r="BB38" s="1">
        <v>1.1267298112245603</v>
      </c>
      <c r="BC38" s="139" t="s">
        <v>1304</v>
      </c>
      <c r="BD38" s="728">
        <v>0</v>
      </c>
      <c r="BE38" s="29">
        <v>1</v>
      </c>
      <c r="BF38" s="1">
        <v>1.1267298112245603</v>
      </c>
      <c r="BG38" s="139" t="s">
        <v>1304</v>
      </c>
      <c r="BH38" s="728">
        <v>0</v>
      </c>
      <c r="BI38" s="29">
        <v>1</v>
      </c>
      <c r="BJ38" s="1">
        <v>1.1267298112245603</v>
      </c>
      <c r="BK38" s="139" t="s">
        <v>1304</v>
      </c>
      <c r="BL38" s="728">
        <v>0</v>
      </c>
      <c r="BM38" s="29">
        <v>1</v>
      </c>
      <c r="BN38" s="1">
        <v>1.1267298112245603</v>
      </c>
      <c r="BO38" s="139" t="s">
        <v>1304</v>
      </c>
      <c r="BP38" s="728">
        <v>0</v>
      </c>
      <c r="BQ38" s="29">
        <v>1</v>
      </c>
      <c r="BR38" s="1">
        <v>1.1267298112245603</v>
      </c>
      <c r="BS38" s="139" t="s">
        <v>1304</v>
      </c>
      <c r="BT38" s="728">
        <v>0</v>
      </c>
      <c r="BU38" s="29">
        <v>1</v>
      </c>
      <c r="BV38" s="1">
        <v>1.1267298112245603</v>
      </c>
      <c r="BW38" s="139" t="s">
        <v>1304</v>
      </c>
      <c r="BX38" s="31"/>
      <c r="BY38" s="155">
        <v>0</v>
      </c>
      <c r="BZ38" s="29">
        <v>1</v>
      </c>
      <c r="CA38" s="1">
        <v>1.1267298112245603</v>
      </c>
      <c r="CB38" s="139" t="s">
        <v>1304</v>
      </c>
      <c r="CC38" s="155">
        <v>0</v>
      </c>
      <c r="CD38" s="29">
        <v>1</v>
      </c>
      <c r="CE38" s="1">
        <v>1.1267298112245603</v>
      </c>
      <c r="CF38" s="31" t="s">
        <v>1304</v>
      </c>
      <c r="CG38" s="253">
        <v>0.9324137931034483</v>
      </c>
      <c r="CH38" s="253"/>
      <c r="CI38" s="182">
        <v>0</v>
      </c>
      <c r="CJ38" s="182"/>
      <c r="CK38" s="253"/>
      <c r="CL38" s="182"/>
      <c r="CM38" s="259">
        <v>0</v>
      </c>
      <c r="CN38" s="694">
        <v>0</v>
      </c>
      <c r="CO38" s="191" t="s">
        <v>1124</v>
      </c>
      <c r="CP38" s="272">
        <v>1</v>
      </c>
      <c r="CQ38" s="272">
        <v>4</v>
      </c>
      <c r="CR38" s="272">
        <v>1</v>
      </c>
      <c r="CS38" s="272">
        <v>3</v>
      </c>
      <c r="CT38" s="272">
        <v>1</v>
      </c>
      <c r="CU38" s="272">
        <v>3</v>
      </c>
      <c r="CV38" s="50">
        <v>3</v>
      </c>
      <c r="CW38" s="51">
        <v>1.05</v>
      </c>
      <c r="CX38" s="87">
        <v>1.1150377561073679</v>
      </c>
      <c r="CY38" s="88">
        <v>1.1267298112245603</v>
      </c>
      <c r="CZ38" s="89" t="s">
        <v>1305</v>
      </c>
      <c r="DA38" s="52">
        <v>1</v>
      </c>
      <c r="DB38" s="52">
        <v>1.1000000000000001</v>
      </c>
      <c r="DC38" s="52">
        <v>1</v>
      </c>
      <c r="DD38" s="52">
        <v>1.02</v>
      </c>
      <c r="DE38" s="52">
        <v>1</v>
      </c>
      <c r="DF38" s="52">
        <v>1.05</v>
      </c>
    </row>
    <row r="39" spans="1:114" ht="24" outlineLevel="1">
      <c r="A39" s="471" t="s">
        <v>761</v>
      </c>
      <c r="B39" s="37"/>
      <c r="C39" s="151" t="s">
        <v>525</v>
      </c>
      <c r="D39" s="152" t="s">
        <v>526</v>
      </c>
      <c r="E39" s="153" t="s">
        <v>402</v>
      </c>
      <c r="F39" s="144" t="s">
        <v>1121</v>
      </c>
      <c r="G39" s="125" t="s">
        <v>1105</v>
      </c>
      <c r="H39" s="154" t="s">
        <v>402</v>
      </c>
      <c r="I39" s="123" t="s">
        <v>402</v>
      </c>
      <c r="J39" s="124">
        <v>0</v>
      </c>
      <c r="K39" s="125" t="s">
        <v>396</v>
      </c>
      <c r="L39" s="728">
        <v>0.935415</v>
      </c>
      <c r="M39" s="29">
        <v>1</v>
      </c>
      <c r="N39" s="1">
        <v>1.1267298112245603</v>
      </c>
      <c r="O39" s="139" t="s">
        <v>1304</v>
      </c>
      <c r="P39" s="728">
        <v>0</v>
      </c>
      <c r="Q39" s="29">
        <v>1</v>
      </c>
      <c r="R39" s="1">
        <v>1.1267298112245603</v>
      </c>
      <c r="S39" s="139" t="s">
        <v>1304</v>
      </c>
      <c r="T39" s="728">
        <v>0.935415</v>
      </c>
      <c r="U39" s="29">
        <v>1</v>
      </c>
      <c r="V39" s="1">
        <v>1.1267298112245603</v>
      </c>
      <c r="W39" s="139" t="s">
        <v>1304</v>
      </c>
      <c r="X39" s="728">
        <v>0</v>
      </c>
      <c r="Y39" s="29">
        <v>1</v>
      </c>
      <c r="Z39" s="1">
        <v>1.1267298112245603</v>
      </c>
      <c r="AA39" s="139" t="s">
        <v>1304</v>
      </c>
      <c r="AB39" s="728">
        <v>0</v>
      </c>
      <c r="AC39" s="29">
        <v>1</v>
      </c>
      <c r="AD39" s="1">
        <v>1.1267298112245603</v>
      </c>
      <c r="AE39" s="139" t="s">
        <v>1304</v>
      </c>
      <c r="AF39" s="728">
        <v>0</v>
      </c>
      <c r="AG39" s="29">
        <v>1</v>
      </c>
      <c r="AH39" s="1">
        <v>1.1267298112245603</v>
      </c>
      <c r="AI39" s="139" t="s">
        <v>1304</v>
      </c>
      <c r="AJ39" s="729">
        <v>0</v>
      </c>
      <c r="AK39" s="29">
        <v>1</v>
      </c>
      <c r="AL39" s="1">
        <v>1.1267298112245603</v>
      </c>
      <c r="AM39" s="139" t="s">
        <v>1304</v>
      </c>
      <c r="AN39" s="728">
        <v>0</v>
      </c>
      <c r="AO39" s="29">
        <v>1</v>
      </c>
      <c r="AP39" s="1">
        <v>1.1267298112245603</v>
      </c>
      <c r="AQ39" s="139" t="s">
        <v>1304</v>
      </c>
      <c r="AR39" s="728">
        <v>0</v>
      </c>
      <c r="AS39" s="29">
        <v>1</v>
      </c>
      <c r="AT39" s="1">
        <v>1.1267298112245603</v>
      </c>
      <c r="AU39" s="139" t="s">
        <v>1304</v>
      </c>
      <c r="AV39" s="728">
        <v>0</v>
      </c>
      <c r="AW39" s="29">
        <v>1</v>
      </c>
      <c r="AX39" s="1">
        <v>1.1267298112245603</v>
      </c>
      <c r="AY39" s="139" t="s">
        <v>1304</v>
      </c>
      <c r="AZ39" s="728">
        <v>0</v>
      </c>
      <c r="BA39" s="29">
        <v>1</v>
      </c>
      <c r="BB39" s="1">
        <v>1.1267298112245603</v>
      </c>
      <c r="BC39" s="139" t="s">
        <v>1304</v>
      </c>
      <c r="BD39" s="728">
        <v>0</v>
      </c>
      <c r="BE39" s="29">
        <v>1</v>
      </c>
      <c r="BF39" s="1">
        <v>1.1267298112245603</v>
      </c>
      <c r="BG39" s="139" t="s">
        <v>1304</v>
      </c>
      <c r="BH39" s="728">
        <v>0</v>
      </c>
      <c r="BI39" s="29">
        <v>1</v>
      </c>
      <c r="BJ39" s="1">
        <v>1.1267298112245603</v>
      </c>
      <c r="BK39" s="139" t="s">
        <v>1304</v>
      </c>
      <c r="BL39" s="728">
        <v>0</v>
      </c>
      <c r="BM39" s="29">
        <v>1</v>
      </c>
      <c r="BN39" s="1">
        <v>1.1267298112245603</v>
      </c>
      <c r="BO39" s="139" t="s">
        <v>1304</v>
      </c>
      <c r="BP39" s="728">
        <v>0</v>
      </c>
      <c r="BQ39" s="29">
        <v>1</v>
      </c>
      <c r="BR39" s="1">
        <v>1.1267298112245603</v>
      </c>
      <c r="BS39" s="139" t="s">
        <v>1304</v>
      </c>
      <c r="BT39" s="728">
        <v>0</v>
      </c>
      <c r="BU39" s="29">
        <v>1</v>
      </c>
      <c r="BV39" s="1">
        <v>1.1267298112245603</v>
      </c>
      <c r="BW39" s="139" t="s">
        <v>1304</v>
      </c>
      <c r="BX39" s="31"/>
      <c r="BY39" s="155">
        <v>0</v>
      </c>
      <c r="BZ39" s="29">
        <v>1</v>
      </c>
      <c r="CA39" s="1">
        <v>1.1267298112245603</v>
      </c>
      <c r="CB39" s="139" t="s">
        <v>1304</v>
      </c>
      <c r="CC39" s="155">
        <v>0</v>
      </c>
      <c r="CD39" s="29">
        <v>1</v>
      </c>
      <c r="CE39" s="1">
        <v>1.1267298112245603</v>
      </c>
      <c r="CF39" s="31" t="s">
        <v>1304</v>
      </c>
      <c r="CG39" s="253">
        <v>0.9324137931034483</v>
      </c>
      <c r="CH39" s="253"/>
      <c r="CI39" s="182">
        <v>68.474069065685015</v>
      </c>
      <c r="CJ39" s="182"/>
      <c r="CK39" s="253"/>
      <c r="CL39" s="182">
        <v>1500000</v>
      </c>
      <c r="CM39" s="259">
        <v>1.4765625</v>
      </c>
      <c r="CN39" s="694">
        <v>0</v>
      </c>
      <c r="CO39" s="191" t="s">
        <v>1124</v>
      </c>
      <c r="CP39" s="272">
        <v>1</v>
      </c>
      <c r="CQ39" s="272">
        <v>4</v>
      </c>
      <c r="CR39" s="272">
        <v>1</v>
      </c>
      <c r="CS39" s="272">
        <v>3</v>
      </c>
      <c r="CT39" s="272">
        <v>1</v>
      </c>
      <c r="CU39" s="272">
        <v>3</v>
      </c>
      <c r="CV39" s="50">
        <v>3</v>
      </c>
      <c r="CW39" s="51">
        <v>1.05</v>
      </c>
      <c r="CX39" s="87">
        <v>1.1150377561073679</v>
      </c>
      <c r="CY39" s="88">
        <v>1.1267298112245603</v>
      </c>
      <c r="CZ39" s="89" t="s">
        <v>1305</v>
      </c>
      <c r="DA39" s="52">
        <v>1</v>
      </c>
      <c r="DB39" s="52">
        <v>1.1000000000000001</v>
      </c>
      <c r="DC39" s="52">
        <v>1</v>
      </c>
      <c r="DD39" s="52">
        <v>1.02</v>
      </c>
      <c r="DE39" s="52">
        <v>1</v>
      </c>
      <c r="DF39" s="52">
        <v>1.05</v>
      </c>
    </row>
    <row r="40" spans="1:114" ht="24" outlineLevel="1">
      <c r="A40" s="471" t="s">
        <v>885</v>
      </c>
      <c r="B40" s="37" t="s">
        <v>525</v>
      </c>
      <c r="C40" s="151" t="s">
        <v>525</v>
      </c>
      <c r="D40" s="152" t="s">
        <v>526</v>
      </c>
      <c r="E40" s="153" t="s">
        <v>402</v>
      </c>
      <c r="F40" s="144" t="s">
        <v>1122</v>
      </c>
      <c r="G40" s="125" t="s">
        <v>465</v>
      </c>
      <c r="H40" s="154" t="s">
        <v>402</v>
      </c>
      <c r="I40" s="123" t="s">
        <v>402</v>
      </c>
      <c r="J40" s="124">
        <v>0</v>
      </c>
      <c r="K40" s="125" t="s">
        <v>396</v>
      </c>
      <c r="L40" s="728">
        <v>0</v>
      </c>
      <c r="M40" s="29">
        <v>1</v>
      </c>
      <c r="N40" s="1">
        <v>1.1267298112245603</v>
      </c>
      <c r="O40" s="139" t="s">
        <v>1304</v>
      </c>
      <c r="P40" s="728">
        <v>0</v>
      </c>
      <c r="Q40" s="29">
        <v>1</v>
      </c>
      <c r="R40" s="1">
        <v>1.1267298112245603</v>
      </c>
      <c r="S40" s="139" t="s">
        <v>1304</v>
      </c>
      <c r="T40" s="728">
        <v>0</v>
      </c>
      <c r="U40" s="29">
        <v>1</v>
      </c>
      <c r="V40" s="1">
        <v>1.1267298112245603</v>
      </c>
      <c r="W40" s="139" t="s">
        <v>1304</v>
      </c>
      <c r="X40" s="728">
        <v>0</v>
      </c>
      <c r="Y40" s="29">
        <v>1</v>
      </c>
      <c r="Z40" s="1">
        <v>1.1267298112245603</v>
      </c>
      <c r="AA40" s="139" t="s">
        <v>1304</v>
      </c>
      <c r="AB40" s="728">
        <v>0</v>
      </c>
      <c r="AC40" s="29">
        <v>1</v>
      </c>
      <c r="AD40" s="1">
        <v>1.1267298112245603</v>
      </c>
      <c r="AE40" s="139" t="s">
        <v>1304</v>
      </c>
      <c r="AF40" s="728">
        <v>0.935415</v>
      </c>
      <c r="AG40" s="29">
        <v>1</v>
      </c>
      <c r="AH40" s="1">
        <v>1.1267298112245603</v>
      </c>
      <c r="AI40" s="139" t="s">
        <v>1304</v>
      </c>
      <c r="AJ40" s="729">
        <v>0</v>
      </c>
      <c r="AK40" s="29">
        <v>1</v>
      </c>
      <c r="AL40" s="1">
        <v>1.1267298112245603</v>
      </c>
      <c r="AM40" s="139" t="s">
        <v>1304</v>
      </c>
      <c r="AN40" s="728">
        <v>0.935415</v>
      </c>
      <c r="AO40" s="29">
        <v>1</v>
      </c>
      <c r="AP40" s="1">
        <v>1.1267298112245603</v>
      </c>
      <c r="AQ40" s="139" t="s">
        <v>1304</v>
      </c>
      <c r="AR40" s="728">
        <v>0</v>
      </c>
      <c r="AS40" s="29">
        <v>1</v>
      </c>
      <c r="AT40" s="1">
        <v>1.1267298112245603</v>
      </c>
      <c r="AU40" s="139" t="s">
        <v>1304</v>
      </c>
      <c r="AV40" s="728">
        <v>0</v>
      </c>
      <c r="AW40" s="29">
        <v>1</v>
      </c>
      <c r="AX40" s="1">
        <v>1.1267298112245603</v>
      </c>
      <c r="AY40" s="139" t="s">
        <v>1304</v>
      </c>
      <c r="AZ40" s="728">
        <v>0</v>
      </c>
      <c r="BA40" s="29">
        <v>1</v>
      </c>
      <c r="BB40" s="1">
        <v>1.1267298112245603</v>
      </c>
      <c r="BC40" s="139" t="s">
        <v>1304</v>
      </c>
      <c r="BD40" s="728">
        <v>0</v>
      </c>
      <c r="BE40" s="29">
        <v>1</v>
      </c>
      <c r="BF40" s="1">
        <v>1.1267298112245603</v>
      </c>
      <c r="BG40" s="139" t="s">
        <v>1304</v>
      </c>
      <c r="BH40" s="728">
        <v>0</v>
      </c>
      <c r="BI40" s="29">
        <v>1</v>
      </c>
      <c r="BJ40" s="1">
        <v>1.1267298112245603</v>
      </c>
      <c r="BK40" s="139" t="s">
        <v>1304</v>
      </c>
      <c r="BL40" s="728">
        <v>0</v>
      </c>
      <c r="BM40" s="29">
        <v>1</v>
      </c>
      <c r="BN40" s="1">
        <v>1.1267298112245603</v>
      </c>
      <c r="BO40" s="139" t="s">
        <v>1304</v>
      </c>
      <c r="BP40" s="728">
        <v>0</v>
      </c>
      <c r="BQ40" s="29">
        <v>1</v>
      </c>
      <c r="BR40" s="1">
        <v>1.1267298112245603</v>
      </c>
      <c r="BS40" s="139" t="s">
        <v>1304</v>
      </c>
      <c r="BT40" s="728">
        <v>0</v>
      </c>
      <c r="BU40" s="29">
        <v>1</v>
      </c>
      <c r="BV40" s="1">
        <v>1.1267298112245603</v>
      </c>
      <c r="BW40" s="139" t="s">
        <v>1304</v>
      </c>
      <c r="BX40" s="31"/>
      <c r="BY40" s="155">
        <v>0</v>
      </c>
      <c r="BZ40" s="29">
        <v>1</v>
      </c>
      <c r="CA40" s="1">
        <v>1.1267298112245603</v>
      </c>
      <c r="CB40" s="139" t="s">
        <v>1304</v>
      </c>
      <c r="CC40" s="155">
        <v>0</v>
      </c>
      <c r="CD40" s="29">
        <v>1</v>
      </c>
      <c r="CE40" s="1">
        <v>1.1267298112245603</v>
      </c>
      <c r="CF40" s="31" t="s">
        <v>1304</v>
      </c>
      <c r="CG40" s="253">
        <v>0.9324137931034483</v>
      </c>
      <c r="CH40" s="253"/>
      <c r="CI40" s="182">
        <v>0</v>
      </c>
      <c r="CJ40" s="182"/>
      <c r="CK40" s="253"/>
      <c r="CL40" s="182"/>
      <c r="CM40" s="259">
        <v>0</v>
      </c>
      <c r="CN40" s="694">
        <v>0</v>
      </c>
      <c r="CO40" s="191" t="s">
        <v>1124</v>
      </c>
      <c r="CP40" s="272">
        <v>1</v>
      </c>
      <c r="CQ40" s="272">
        <v>4</v>
      </c>
      <c r="CR40" s="272">
        <v>1</v>
      </c>
      <c r="CS40" s="272">
        <v>3</v>
      </c>
      <c r="CT40" s="272">
        <v>1</v>
      </c>
      <c r="CU40" s="272">
        <v>3</v>
      </c>
      <c r="CV40" s="50">
        <v>3</v>
      </c>
      <c r="CW40" s="51">
        <v>1.05</v>
      </c>
      <c r="CX40" s="87">
        <v>1.1150377561073679</v>
      </c>
      <c r="CY40" s="88">
        <v>1.1267298112245603</v>
      </c>
      <c r="CZ40" s="89" t="s">
        <v>1305</v>
      </c>
      <c r="DA40" s="52">
        <v>1</v>
      </c>
      <c r="DB40" s="52">
        <v>1.1000000000000001</v>
      </c>
      <c r="DC40" s="52">
        <v>1</v>
      </c>
      <c r="DD40" s="52">
        <v>1.02</v>
      </c>
      <c r="DE40" s="52">
        <v>1</v>
      </c>
      <c r="DF40" s="52">
        <v>1.05</v>
      </c>
    </row>
    <row r="41" spans="1:114" ht="24" outlineLevel="1">
      <c r="A41" s="471" t="s">
        <v>886</v>
      </c>
      <c r="B41" s="37"/>
      <c r="C41" s="151" t="s">
        <v>525</v>
      </c>
      <c r="D41" s="152" t="s">
        <v>526</v>
      </c>
      <c r="E41" s="153" t="s">
        <v>402</v>
      </c>
      <c r="F41" s="144" t="s">
        <v>1121</v>
      </c>
      <c r="G41" s="125" t="s">
        <v>465</v>
      </c>
      <c r="H41" s="154" t="s">
        <v>402</v>
      </c>
      <c r="I41" s="123" t="s">
        <v>402</v>
      </c>
      <c r="J41" s="124">
        <v>0</v>
      </c>
      <c r="K41" s="125" t="s">
        <v>396</v>
      </c>
      <c r="L41" s="728">
        <v>0</v>
      </c>
      <c r="M41" s="29">
        <v>1</v>
      </c>
      <c r="N41" s="1">
        <v>1.1267298112245603</v>
      </c>
      <c r="O41" s="139" t="s">
        <v>1304</v>
      </c>
      <c r="P41" s="728">
        <v>0</v>
      </c>
      <c r="Q41" s="29">
        <v>1</v>
      </c>
      <c r="R41" s="1">
        <v>1.1267298112245603</v>
      </c>
      <c r="S41" s="139" t="s">
        <v>1304</v>
      </c>
      <c r="T41" s="728">
        <v>0</v>
      </c>
      <c r="U41" s="29">
        <v>1</v>
      </c>
      <c r="V41" s="1">
        <v>1.1267298112245603</v>
      </c>
      <c r="W41" s="139" t="s">
        <v>1304</v>
      </c>
      <c r="X41" s="728">
        <v>0</v>
      </c>
      <c r="Y41" s="29">
        <v>1</v>
      </c>
      <c r="Z41" s="1">
        <v>1.1267298112245603</v>
      </c>
      <c r="AA41" s="139" t="s">
        <v>1304</v>
      </c>
      <c r="AB41" s="728">
        <v>0.935415</v>
      </c>
      <c r="AC41" s="29">
        <v>1</v>
      </c>
      <c r="AD41" s="1">
        <v>1.1267298112245603</v>
      </c>
      <c r="AE41" s="139" t="s">
        <v>1304</v>
      </c>
      <c r="AF41" s="728">
        <v>0</v>
      </c>
      <c r="AG41" s="29">
        <v>1</v>
      </c>
      <c r="AH41" s="1">
        <v>1.1267298112245603</v>
      </c>
      <c r="AI41" s="139" t="s">
        <v>1304</v>
      </c>
      <c r="AJ41" s="729">
        <v>0.935415</v>
      </c>
      <c r="AK41" s="29">
        <v>1</v>
      </c>
      <c r="AL41" s="1">
        <v>1.1267298112245603</v>
      </c>
      <c r="AM41" s="139" t="s">
        <v>1304</v>
      </c>
      <c r="AN41" s="728">
        <v>0</v>
      </c>
      <c r="AO41" s="29">
        <v>1</v>
      </c>
      <c r="AP41" s="1">
        <v>1.1267298112245603</v>
      </c>
      <c r="AQ41" s="139" t="s">
        <v>1304</v>
      </c>
      <c r="AR41" s="728">
        <v>0</v>
      </c>
      <c r="AS41" s="29">
        <v>1</v>
      </c>
      <c r="AT41" s="1">
        <v>1.1267298112245603</v>
      </c>
      <c r="AU41" s="139" t="s">
        <v>1304</v>
      </c>
      <c r="AV41" s="728">
        <v>0</v>
      </c>
      <c r="AW41" s="29">
        <v>1</v>
      </c>
      <c r="AX41" s="1">
        <v>1.1267298112245603</v>
      </c>
      <c r="AY41" s="139" t="s">
        <v>1304</v>
      </c>
      <c r="AZ41" s="728">
        <v>0</v>
      </c>
      <c r="BA41" s="29">
        <v>1</v>
      </c>
      <c r="BB41" s="1">
        <v>1.1267298112245603</v>
      </c>
      <c r="BC41" s="139" t="s">
        <v>1304</v>
      </c>
      <c r="BD41" s="728">
        <v>0</v>
      </c>
      <c r="BE41" s="29">
        <v>1</v>
      </c>
      <c r="BF41" s="1">
        <v>1.1267298112245603</v>
      </c>
      <c r="BG41" s="139" t="s">
        <v>1304</v>
      </c>
      <c r="BH41" s="728">
        <v>0</v>
      </c>
      <c r="BI41" s="29">
        <v>1</v>
      </c>
      <c r="BJ41" s="1">
        <v>1.1267298112245603</v>
      </c>
      <c r="BK41" s="139" t="s">
        <v>1304</v>
      </c>
      <c r="BL41" s="728">
        <v>0</v>
      </c>
      <c r="BM41" s="29">
        <v>1</v>
      </c>
      <c r="BN41" s="1">
        <v>1.1267298112245603</v>
      </c>
      <c r="BO41" s="139" t="s">
        <v>1304</v>
      </c>
      <c r="BP41" s="728">
        <v>0</v>
      </c>
      <c r="BQ41" s="29">
        <v>1</v>
      </c>
      <c r="BR41" s="1">
        <v>1.1267298112245603</v>
      </c>
      <c r="BS41" s="139" t="s">
        <v>1304</v>
      </c>
      <c r="BT41" s="728">
        <v>0</v>
      </c>
      <c r="BU41" s="29">
        <v>1</v>
      </c>
      <c r="BV41" s="1">
        <v>1.1267298112245603</v>
      </c>
      <c r="BW41" s="139" t="s">
        <v>1304</v>
      </c>
      <c r="BX41" s="31"/>
      <c r="BY41" s="155">
        <v>0</v>
      </c>
      <c r="BZ41" s="29">
        <v>1</v>
      </c>
      <c r="CA41" s="1">
        <v>1.1267298112245603</v>
      </c>
      <c r="CB41" s="139" t="s">
        <v>1304</v>
      </c>
      <c r="CC41" s="155">
        <v>0</v>
      </c>
      <c r="CD41" s="29">
        <v>1</v>
      </c>
      <c r="CE41" s="1">
        <v>1.1267298112245603</v>
      </c>
      <c r="CF41" s="31" t="s">
        <v>1304</v>
      </c>
      <c r="CG41" s="253">
        <v>0.9324137931034483</v>
      </c>
      <c r="CH41" s="253"/>
      <c r="CI41" s="182">
        <v>68.474069065685015</v>
      </c>
      <c r="CJ41" s="182"/>
      <c r="CK41" s="253"/>
      <c r="CL41" s="182">
        <v>1500000</v>
      </c>
      <c r="CM41" s="259">
        <v>1.4765625</v>
      </c>
      <c r="CN41" s="694">
        <v>0</v>
      </c>
      <c r="CO41" s="191" t="s">
        <v>1124</v>
      </c>
      <c r="CP41" s="272">
        <v>1</v>
      </c>
      <c r="CQ41" s="272">
        <v>4</v>
      </c>
      <c r="CR41" s="272">
        <v>1</v>
      </c>
      <c r="CS41" s="272">
        <v>3</v>
      </c>
      <c r="CT41" s="272">
        <v>1</v>
      </c>
      <c r="CU41" s="272">
        <v>3</v>
      </c>
      <c r="CV41" s="50">
        <v>3</v>
      </c>
      <c r="CW41" s="51">
        <v>1.05</v>
      </c>
      <c r="CX41" s="87">
        <v>1.1150377561073679</v>
      </c>
      <c r="CY41" s="88">
        <v>1.1267298112245603</v>
      </c>
      <c r="CZ41" s="89" t="s">
        <v>1305</v>
      </c>
      <c r="DA41" s="52">
        <v>1</v>
      </c>
      <c r="DB41" s="52">
        <v>1.1000000000000001</v>
      </c>
      <c r="DC41" s="52">
        <v>1</v>
      </c>
      <c r="DD41" s="52">
        <v>1.02</v>
      </c>
      <c r="DE41" s="52">
        <v>1</v>
      </c>
      <c r="DF41" s="52">
        <v>1.05</v>
      </c>
    </row>
    <row r="42" spans="1:114" ht="24">
      <c r="A42" s="471" t="s">
        <v>887</v>
      </c>
      <c r="B42" s="37" t="s">
        <v>525</v>
      </c>
      <c r="C42" s="151" t="s">
        <v>525</v>
      </c>
      <c r="D42" s="152" t="s">
        <v>526</v>
      </c>
      <c r="E42" s="153" t="s">
        <v>402</v>
      </c>
      <c r="F42" s="144" t="s">
        <v>1122</v>
      </c>
      <c r="G42" s="125" t="s">
        <v>956</v>
      </c>
      <c r="H42" s="154" t="s">
        <v>402</v>
      </c>
      <c r="I42" s="123" t="s">
        <v>402</v>
      </c>
      <c r="J42" s="124">
        <v>0</v>
      </c>
      <c r="K42" s="125" t="s">
        <v>396</v>
      </c>
      <c r="L42" s="728">
        <v>0</v>
      </c>
      <c r="M42" s="29">
        <v>1</v>
      </c>
      <c r="N42" s="1">
        <v>1.1267298112245603</v>
      </c>
      <c r="O42" s="139" t="s">
        <v>1304</v>
      </c>
      <c r="P42" s="728">
        <v>0</v>
      </c>
      <c r="Q42" s="29">
        <v>1</v>
      </c>
      <c r="R42" s="1">
        <v>1.1267298112245603</v>
      </c>
      <c r="S42" s="139" t="s">
        <v>1304</v>
      </c>
      <c r="T42" s="728">
        <v>0</v>
      </c>
      <c r="U42" s="29">
        <v>1</v>
      </c>
      <c r="V42" s="1">
        <v>1.1267298112245603</v>
      </c>
      <c r="W42" s="139" t="s">
        <v>1304</v>
      </c>
      <c r="X42" s="728">
        <v>0</v>
      </c>
      <c r="Y42" s="29">
        <v>1</v>
      </c>
      <c r="Z42" s="1">
        <v>1.1267298112245603</v>
      </c>
      <c r="AA42" s="139" t="s">
        <v>1304</v>
      </c>
      <c r="AB42" s="728">
        <v>0</v>
      </c>
      <c r="AC42" s="29">
        <v>1</v>
      </c>
      <c r="AD42" s="1">
        <v>1.1267298112245603</v>
      </c>
      <c r="AE42" s="139" t="s">
        <v>1304</v>
      </c>
      <c r="AF42" s="728">
        <v>0</v>
      </c>
      <c r="AG42" s="29">
        <v>1</v>
      </c>
      <c r="AH42" s="1">
        <v>1.1267298112245603</v>
      </c>
      <c r="AI42" s="139" t="s">
        <v>1304</v>
      </c>
      <c r="AJ42" s="729">
        <v>0</v>
      </c>
      <c r="AK42" s="29">
        <v>1</v>
      </c>
      <c r="AL42" s="1">
        <v>1.1267298112245603</v>
      </c>
      <c r="AM42" s="139" t="s">
        <v>1304</v>
      </c>
      <c r="AN42" s="728">
        <v>0</v>
      </c>
      <c r="AO42" s="29">
        <v>1</v>
      </c>
      <c r="AP42" s="1">
        <v>1.1267298112245603</v>
      </c>
      <c r="AQ42" s="139" t="s">
        <v>1304</v>
      </c>
      <c r="AR42" s="728">
        <v>0</v>
      </c>
      <c r="AS42" s="29">
        <v>1</v>
      </c>
      <c r="AT42" s="1">
        <v>1.1267298112245603</v>
      </c>
      <c r="AU42" s="139" t="s">
        <v>1304</v>
      </c>
      <c r="AV42" s="728">
        <v>0.935415</v>
      </c>
      <c r="AW42" s="29">
        <v>1</v>
      </c>
      <c r="AX42" s="1">
        <v>1.1267298112245603</v>
      </c>
      <c r="AY42" s="139" t="s">
        <v>1304</v>
      </c>
      <c r="AZ42" s="728">
        <v>0</v>
      </c>
      <c r="BA42" s="29">
        <v>1</v>
      </c>
      <c r="BB42" s="1">
        <v>1.1267298112245603</v>
      </c>
      <c r="BC42" s="139" t="s">
        <v>1304</v>
      </c>
      <c r="BD42" s="728">
        <v>0.935415</v>
      </c>
      <c r="BE42" s="29">
        <v>1</v>
      </c>
      <c r="BF42" s="1">
        <v>1.1267298112245603</v>
      </c>
      <c r="BG42" s="139" t="s">
        <v>1304</v>
      </c>
      <c r="BH42" s="728">
        <v>0</v>
      </c>
      <c r="BI42" s="29">
        <v>1</v>
      </c>
      <c r="BJ42" s="1">
        <v>1.1267298112245603</v>
      </c>
      <c r="BK42" s="139" t="s">
        <v>1304</v>
      </c>
      <c r="BL42" s="728">
        <v>0</v>
      </c>
      <c r="BM42" s="29">
        <v>1</v>
      </c>
      <c r="BN42" s="1">
        <v>1.1267298112245603</v>
      </c>
      <c r="BO42" s="139" t="s">
        <v>1304</v>
      </c>
      <c r="BP42" s="728">
        <v>0</v>
      </c>
      <c r="BQ42" s="29">
        <v>1</v>
      </c>
      <c r="BR42" s="1">
        <v>1.1267298112245603</v>
      </c>
      <c r="BS42" s="139" t="s">
        <v>1304</v>
      </c>
      <c r="BT42" s="728">
        <v>0</v>
      </c>
      <c r="BU42" s="29">
        <v>1</v>
      </c>
      <c r="BV42" s="1">
        <v>1.1267298112245603</v>
      </c>
      <c r="BW42" s="139" t="s">
        <v>1304</v>
      </c>
      <c r="BX42" s="31"/>
      <c r="BY42" s="155">
        <v>0</v>
      </c>
      <c r="BZ42" s="29">
        <v>1</v>
      </c>
      <c r="CA42" s="1">
        <v>1.1267298112245603</v>
      </c>
      <c r="CB42" s="139" t="s">
        <v>1304</v>
      </c>
      <c r="CC42" s="155">
        <v>0</v>
      </c>
      <c r="CD42" s="29">
        <v>1</v>
      </c>
      <c r="CE42" s="1">
        <v>1.1267298112245603</v>
      </c>
      <c r="CF42" s="31" t="s">
        <v>1304</v>
      </c>
      <c r="CG42" s="253">
        <v>0.9324137931034483</v>
      </c>
      <c r="CH42" s="253"/>
      <c r="CI42" s="182">
        <v>0</v>
      </c>
      <c r="CJ42" s="182"/>
      <c r="CK42" s="253"/>
      <c r="CL42" s="182"/>
      <c r="CM42" s="259">
        <v>0</v>
      </c>
      <c r="CN42" s="694">
        <v>0</v>
      </c>
      <c r="CO42" s="191" t="s">
        <v>1124</v>
      </c>
      <c r="CP42" s="272">
        <v>1</v>
      </c>
      <c r="CQ42" s="272">
        <v>4</v>
      </c>
      <c r="CR42" s="272">
        <v>1</v>
      </c>
      <c r="CS42" s="272">
        <v>3</v>
      </c>
      <c r="CT42" s="272">
        <v>1</v>
      </c>
      <c r="CU42" s="272">
        <v>3</v>
      </c>
      <c r="CV42" s="50">
        <v>3</v>
      </c>
      <c r="CW42" s="51">
        <v>1.05</v>
      </c>
      <c r="CX42" s="87">
        <v>1.1150377561073679</v>
      </c>
      <c r="CY42" s="88">
        <v>1.1267298112245603</v>
      </c>
      <c r="CZ42" s="89" t="s">
        <v>1305</v>
      </c>
      <c r="DA42" s="52">
        <v>1</v>
      </c>
      <c r="DB42" s="52">
        <v>1.1000000000000001</v>
      </c>
      <c r="DC42" s="52">
        <v>1</v>
      </c>
      <c r="DD42" s="52">
        <v>1.02</v>
      </c>
      <c r="DE42" s="52">
        <v>1</v>
      </c>
      <c r="DF42" s="52">
        <v>1.05</v>
      </c>
    </row>
    <row r="43" spans="1:114" ht="24">
      <c r="A43" s="471" t="s">
        <v>888</v>
      </c>
      <c r="B43" s="37"/>
      <c r="C43" s="151" t="s">
        <v>525</v>
      </c>
      <c r="D43" s="152" t="s">
        <v>526</v>
      </c>
      <c r="E43" s="153" t="s">
        <v>402</v>
      </c>
      <c r="F43" s="144" t="s">
        <v>1121</v>
      </c>
      <c r="G43" s="125" t="s">
        <v>956</v>
      </c>
      <c r="H43" s="154" t="s">
        <v>402</v>
      </c>
      <c r="I43" s="123" t="s">
        <v>402</v>
      </c>
      <c r="J43" s="124">
        <v>0</v>
      </c>
      <c r="K43" s="125" t="s">
        <v>396</v>
      </c>
      <c r="L43" s="728">
        <v>0</v>
      </c>
      <c r="M43" s="29">
        <v>1</v>
      </c>
      <c r="N43" s="1">
        <v>1.1267298112245603</v>
      </c>
      <c r="O43" s="139" t="s">
        <v>1304</v>
      </c>
      <c r="P43" s="728">
        <v>0</v>
      </c>
      <c r="Q43" s="29">
        <v>1</v>
      </c>
      <c r="R43" s="1">
        <v>1.1267298112245603</v>
      </c>
      <c r="S43" s="139" t="s">
        <v>1304</v>
      </c>
      <c r="T43" s="728">
        <v>0</v>
      </c>
      <c r="U43" s="29">
        <v>1</v>
      </c>
      <c r="V43" s="1">
        <v>1.1267298112245603</v>
      </c>
      <c r="W43" s="139" t="s">
        <v>1304</v>
      </c>
      <c r="X43" s="728">
        <v>0</v>
      </c>
      <c r="Y43" s="29">
        <v>1</v>
      </c>
      <c r="Z43" s="1">
        <v>1.1267298112245603</v>
      </c>
      <c r="AA43" s="139" t="s">
        <v>1304</v>
      </c>
      <c r="AB43" s="728">
        <v>0</v>
      </c>
      <c r="AC43" s="29">
        <v>1</v>
      </c>
      <c r="AD43" s="1">
        <v>1.1267298112245603</v>
      </c>
      <c r="AE43" s="139" t="s">
        <v>1304</v>
      </c>
      <c r="AF43" s="728">
        <v>0</v>
      </c>
      <c r="AG43" s="29">
        <v>1</v>
      </c>
      <c r="AH43" s="1">
        <v>1.1267298112245603</v>
      </c>
      <c r="AI43" s="139" t="s">
        <v>1304</v>
      </c>
      <c r="AJ43" s="729">
        <v>0</v>
      </c>
      <c r="AK43" s="29">
        <v>1</v>
      </c>
      <c r="AL43" s="1">
        <v>1.1267298112245603</v>
      </c>
      <c r="AM43" s="139" t="s">
        <v>1304</v>
      </c>
      <c r="AN43" s="728">
        <v>0</v>
      </c>
      <c r="AO43" s="29">
        <v>1</v>
      </c>
      <c r="AP43" s="1">
        <v>1.1267298112245603</v>
      </c>
      <c r="AQ43" s="139" t="s">
        <v>1304</v>
      </c>
      <c r="AR43" s="728">
        <v>0.935415</v>
      </c>
      <c r="AS43" s="29">
        <v>1</v>
      </c>
      <c r="AT43" s="1">
        <v>1.1267298112245603</v>
      </c>
      <c r="AU43" s="139" t="s">
        <v>1304</v>
      </c>
      <c r="AV43" s="728">
        <v>0</v>
      </c>
      <c r="AW43" s="29">
        <v>1</v>
      </c>
      <c r="AX43" s="1">
        <v>1.1267298112245603</v>
      </c>
      <c r="AY43" s="139" t="s">
        <v>1304</v>
      </c>
      <c r="AZ43" s="728">
        <v>0.935415</v>
      </c>
      <c r="BA43" s="29">
        <v>1</v>
      </c>
      <c r="BB43" s="1">
        <v>1.1267298112245603</v>
      </c>
      <c r="BC43" s="139" t="s">
        <v>1304</v>
      </c>
      <c r="BD43" s="728">
        <v>0</v>
      </c>
      <c r="BE43" s="29">
        <v>1</v>
      </c>
      <c r="BF43" s="1">
        <v>1.1267298112245603</v>
      </c>
      <c r="BG43" s="139" t="s">
        <v>1304</v>
      </c>
      <c r="BH43" s="728">
        <v>0</v>
      </c>
      <c r="BI43" s="29">
        <v>1</v>
      </c>
      <c r="BJ43" s="1">
        <v>1.1267298112245603</v>
      </c>
      <c r="BK43" s="139" t="s">
        <v>1304</v>
      </c>
      <c r="BL43" s="728">
        <v>0</v>
      </c>
      <c r="BM43" s="29">
        <v>1</v>
      </c>
      <c r="BN43" s="1">
        <v>1.1267298112245603</v>
      </c>
      <c r="BO43" s="139" t="s">
        <v>1304</v>
      </c>
      <c r="BP43" s="728">
        <v>0</v>
      </c>
      <c r="BQ43" s="29">
        <v>1</v>
      </c>
      <c r="BR43" s="1">
        <v>1.1267298112245603</v>
      </c>
      <c r="BS43" s="139" t="s">
        <v>1304</v>
      </c>
      <c r="BT43" s="728">
        <v>0</v>
      </c>
      <c r="BU43" s="29">
        <v>1</v>
      </c>
      <c r="BV43" s="1">
        <v>1.1267298112245603</v>
      </c>
      <c r="BW43" s="139" t="s">
        <v>1304</v>
      </c>
      <c r="BX43" s="31"/>
      <c r="BY43" s="155">
        <v>0</v>
      </c>
      <c r="BZ43" s="29">
        <v>1</v>
      </c>
      <c r="CA43" s="1">
        <v>1.1267298112245603</v>
      </c>
      <c r="CB43" s="139" t="s">
        <v>1304</v>
      </c>
      <c r="CC43" s="155">
        <v>0</v>
      </c>
      <c r="CD43" s="29">
        <v>1</v>
      </c>
      <c r="CE43" s="1">
        <v>1.1267298112245603</v>
      </c>
      <c r="CF43" s="31" t="s">
        <v>1304</v>
      </c>
      <c r="CG43" s="253">
        <v>0.9324137931034483</v>
      </c>
      <c r="CH43" s="253"/>
      <c r="CI43" s="182">
        <v>68.474069065685015</v>
      </c>
      <c r="CJ43" s="182"/>
      <c r="CK43" s="253"/>
      <c r="CL43" s="182">
        <v>1500000</v>
      </c>
      <c r="CM43" s="259">
        <v>1.4765625</v>
      </c>
      <c r="CN43" s="694">
        <v>0</v>
      </c>
      <c r="CO43" s="191" t="s">
        <v>1124</v>
      </c>
      <c r="CP43" s="272">
        <v>1</v>
      </c>
      <c r="CQ43" s="272">
        <v>4</v>
      </c>
      <c r="CR43" s="272">
        <v>1</v>
      </c>
      <c r="CS43" s="272">
        <v>3</v>
      </c>
      <c r="CT43" s="272">
        <v>1</v>
      </c>
      <c r="CU43" s="272">
        <v>3</v>
      </c>
      <c r="CV43" s="50">
        <v>3</v>
      </c>
      <c r="CW43" s="51">
        <v>1.05</v>
      </c>
      <c r="CX43" s="87">
        <v>1.1150377561073679</v>
      </c>
      <c r="CY43" s="88">
        <v>1.1267298112245603</v>
      </c>
      <c r="CZ43" s="89" t="s">
        <v>1305</v>
      </c>
      <c r="DA43" s="52">
        <v>1</v>
      </c>
      <c r="DB43" s="52">
        <v>1.1000000000000001</v>
      </c>
      <c r="DC43" s="52">
        <v>1</v>
      </c>
      <c r="DD43" s="52">
        <v>1.02</v>
      </c>
      <c r="DE43" s="52">
        <v>1</v>
      </c>
      <c r="DF43" s="52">
        <v>1.05</v>
      </c>
    </row>
    <row r="44" spans="1:114" ht="24">
      <c r="A44" s="156">
        <v>67</v>
      </c>
      <c r="B44" s="37" t="s">
        <v>150</v>
      </c>
      <c r="C44" s="151" t="s">
        <v>525</v>
      </c>
      <c r="D44" s="152" t="s">
        <v>526</v>
      </c>
      <c r="E44" s="153" t="s">
        <v>402</v>
      </c>
      <c r="F44" s="144" t="s">
        <v>1084</v>
      </c>
      <c r="G44" s="125" t="s">
        <v>521</v>
      </c>
      <c r="H44" s="154" t="s">
        <v>402</v>
      </c>
      <c r="I44" s="123" t="s">
        <v>402</v>
      </c>
      <c r="J44" s="124">
        <v>0</v>
      </c>
      <c r="K44" s="125" t="s">
        <v>395</v>
      </c>
      <c r="L44" s="728">
        <v>2.125</v>
      </c>
      <c r="M44" s="29">
        <v>1</v>
      </c>
      <c r="N44" s="1">
        <v>1.1267298112245603</v>
      </c>
      <c r="O44" s="139" t="s">
        <v>1304</v>
      </c>
      <c r="P44" s="728">
        <v>2.125</v>
      </c>
      <c r="Q44" s="29">
        <v>1</v>
      </c>
      <c r="R44" s="1">
        <v>1.1267298112245603</v>
      </c>
      <c r="S44" s="139" t="s">
        <v>1304</v>
      </c>
      <c r="T44" s="728">
        <v>0</v>
      </c>
      <c r="U44" s="29">
        <v>1</v>
      </c>
      <c r="V44" s="1">
        <v>1.1267298112245603</v>
      </c>
      <c r="W44" s="139" t="s">
        <v>1304</v>
      </c>
      <c r="X44" s="728">
        <v>0</v>
      </c>
      <c r="Y44" s="29">
        <v>1</v>
      </c>
      <c r="Z44" s="1">
        <v>1.1267298112245603</v>
      </c>
      <c r="AA44" s="139" t="s">
        <v>1304</v>
      </c>
      <c r="AB44" s="728">
        <v>2.125</v>
      </c>
      <c r="AC44" s="29">
        <v>1</v>
      </c>
      <c r="AD44" s="1">
        <v>1.1267298112245603</v>
      </c>
      <c r="AE44" s="139" t="s">
        <v>1304</v>
      </c>
      <c r="AF44" s="728">
        <v>2.125</v>
      </c>
      <c r="AG44" s="29">
        <v>1</v>
      </c>
      <c r="AH44" s="1">
        <v>1.1267298112245603</v>
      </c>
      <c r="AI44" s="139" t="s">
        <v>1304</v>
      </c>
      <c r="AJ44" s="729">
        <v>0</v>
      </c>
      <c r="AK44" s="29">
        <v>1</v>
      </c>
      <c r="AL44" s="1">
        <v>1.1267298112245603</v>
      </c>
      <c r="AM44" s="139" t="s">
        <v>1304</v>
      </c>
      <c r="AN44" s="728">
        <v>0</v>
      </c>
      <c r="AO44" s="29">
        <v>1</v>
      </c>
      <c r="AP44" s="1">
        <v>1.1267298112245603</v>
      </c>
      <c r="AQ44" s="139" t="s">
        <v>1304</v>
      </c>
      <c r="AR44" s="728">
        <v>2.125</v>
      </c>
      <c r="AS44" s="29">
        <v>1</v>
      </c>
      <c r="AT44" s="1">
        <v>1.1267298112245603</v>
      </c>
      <c r="AU44" s="139" t="s">
        <v>1304</v>
      </c>
      <c r="AV44" s="728">
        <v>2.125</v>
      </c>
      <c r="AW44" s="29">
        <v>1</v>
      </c>
      <c r="AX44" s="1">
        <v>1.1267298112245603</v>
      </c>
      <c r="AY44" s="139" t="s">
        <v>1304</v>
      </c>
      <c r="AZ44" s="728">
        <v>0</v>
      </c>
      <c r="BA44" s="29">
        <v>1</v>
      </c>
      <c r="BB44" s="1">
        <v>1.1267298112245603</v>
      </c>
      <c r="BC44" s="139" t="s">
        <v>1304</v>
      </c>
      <c r="BD44" s="728">
        <v>0</v>
      </c>
      <c r="BE44" s="29">
        <v>1</v>
      </c>
      <c r="BF44" s="1">
        <v>1.1267298112245603</v>
      </c>
      <c r="BG44" s="139" t="s">
        <v>1304</v>
      </c>
      <c r="BH44" s="728">
        <v>2.125</v>
      </c>
      <c r="BI44" s="29">
        <v>1</v>
      </c>
      <c r="BJ44" s="1">
        <v>1.1267298112245603</v>
      </c>
      <c r="BK44" s="139" t="s">
        <v>1304</v>
      </c>
      <c r="BL44" s="728">
        <v>2.125</v>
      </c>
      <c r="BM44" s="29">
        <v>1</v>
      </c>
      <c r="BN44" s="1">
        <v>1.1267298112245603</v>
      </c>
      <c r="BO44" s="139" t="s">
        <v>1304</v>
      </c>
      <c r="BP44" s="728">
        <v>0</v>
      </c>
      <c r="BQ44" s="29">
        <v>1</v>
      </c>
      <c r="BR44" s="1">
        <v>1.1267298112245603</v>
      </c>
      <c r="BS44" s="139" t="s">
        <v>1304</v>
      </c>
      <c r="BT44" s="728">
        <v>0</v>
      </c>
      <c r="BU44" s="29">
        <v>1</v>
      </c>
      <c r="BV44" s="1">
        <v>1.1267298112245603</v>
      </c>
      <c r="BW44" s="139" t="s">
        <v>1304</v>
      </c>
      <c r="BX44" s="31"/>
      <c r="BY44" s="155">
        <v>0</v>
      </c>
      <c r="BZ44" s="29">
        <v>1</v>
      </c>
      <c r="CA44" s="1">
        <v>1.1267298112245603</v>
      </c>
      <c r="CB44" s="139" t="s">
        <v>1304</v>
      </c>
      <c r="CC44" s="155">
        <v>2.125</v>
      </c>
      <c r="CD44" s="29">
        <v>1</v>
      </c>
      <c r="CE44" s="1">
        <v>1.1267298112245603</v>
      </c>
      <c r="CF44" s="31" t="s">
        <v>1304</v>
      </c>
      <c r="CG44" s="253">
        <v>2.6294042521223049</v>
      </c>
      <c r="CH44" s="253"/>
      <c r="CI44" s="182">
        <v>2.4000000000000004</v>
      </c>
      <c r="CJ44" s="182"/>
      <c r="CK44" s="253"/>
      <c r="CL44" s="182">
        <v>52574.646857142863</v>
      </c>
      <c r="CM44" s="259">
        <v>3.15</v>
      </c>
      <c r="CN44" s="694">
        <v>2.125</v>
      </c>
      <c r="CO44" s="115" t="s">
        <v>1124</v>
      </c>
      <c r="CP44" s="10">
        <v>1</v>
      </c>
      <c r="CQ44" s="50">
        <v>4</v>
      </c>
      <c r="CR44" s="50">
        <v>1</v>
      </c>
      <c r="CS44" s="50">
        <v>3</v>
      </c>
      <c r="CT44" s="50">
        <v>1</v>
      </c>
      <c r="CU44" s="50">
        <v>3</v>
      </c>
      <c r="CV44" s="50">
        <v>3</v>
      </c>
      <c r="CW44" s="51">
        <v>1.05</v>
      </c>
      <c r="CX44" s="87">
        <v>1.1150377561073679</v>
      </c>
      <c r="CY44" s="88">
        <v>1.1267298112245603</v>
      </c>
      <c r="CZ44" s="89" t="s">
        <v>1305</v>
      </c>
      <c r="DA44" s="52">
        <v>1</v>
      </c>
      <c r="DB44" s="52">
        <v>1.1000000000000001</v>
      </c>
      <c r="DC44" s="52">
        <v>1</v>
      </c>
      <c r="DD44" s="52">
        <v>1.02</v>
      </c>
      <c r="DE44" s="52">
        <v>1</v>
      </c>
      <c r="DF44" s="52">
        <v>1.05</v>
      </c>
    </row>
    <row r="45" spans="1:114" ht="24">
      <c r="A45" s="226">
        <v>1065</v>
      </c>
      <c r="B45" s="37"/>
      <c r="C45" s="151" t="s">
        <v>525</v>
      </c>
      <c r="D45" s="152" t="s">
        <v>526</v>
      </c>
      <c r="E45" s="153" t="s">
        <v>402</v>
      </c>
      <c r="F45" s="144" t="s">
        <v>1090</v>
      </c>
      <c r="G45" s="125" t="s">
        <v>51</v>
      </c>
      <c r="H45" s="154" t="s">
        <v>402</v>
      </c>
      <c r="I45" s="123" t="s">
        <v>402</v>
      </c>
      <c r="J45" s="124">
        <v>0</v>
      </c>
      <c r="K45" s="125" t="s">
        <v>395</v>
      </c>
      <c r="L45" s="728">
        <v>0</v>
      </c>
      <c r="M45" s="29">
        <v>1</v>
      </c>
      <c r="N45" s="1">
        <v>1.1267298112245603</v>
      </c>
      <c r="O45" s="139" t="s">
        <v>1304</v>
      </c>
      <c r="P45" s="728">
        <v>0</v>
      </c>
      <c r="Q45" s="29">
        <v>1</v>
      </c>
      <c r="R45" s="1">
        <v>1.1267298112245603</v>
      </c>
      <c r="S45" s="139" t="s">
        <v>1304</v>
      </c>
      <c r="T45" s="728">
        <v>0</v>
      </c>
      <c r="U45" s="29">
        <v>1</v>
      </c>
      <c r="V45" s="1">
        <v>1.1267298112245603</v>
      </c>
      <c r="W45" s="139" t="s">
        <v>1304</v>
      </c>
      <c r="X45" s="728">
        <v>0</v>
      </c>
      <c r="Y45" s="29">
        <v>1</v>
      </c>
      <c r="Z45" s="1">
        <v>1.1267298112245603</v>
      </c>
      <c r="AA45" s="139" t="s">
        <v>1304</v>
      </c>
      <c r="AB45" s="728">
        <v>0</v>
      </c>
      <c r="AC45" s="29">
        <v>1</v>
      </c>
      <c r="AD45" s="1">
        <v>1.1267298112245603</v>
      </c>
      <c r="AE45" s="139" t="s">
        <v>1304</v>
      </c>
      <c r="AF45" s="728">
        <v>0</v>
      </c>
      <c r="AG45" s="29">
        <v>1</v>
      </c>
      <c r="AH45" s="1">
        <v>1.1267298112245603</v>
      </c>
      <c r="AI45" s="139" t="s">
        <v>1304</v>
      </c>
      <c r="AJ45" s="729">
        <v>0</v>
      </c>
      <c r="AK45" s="29">
        <v>1</v>
      </c>
      <c r="AL45" s="1">
        <v>1.1267298112245603</v>
      </c>
      <c r="AM45" s="139" t="s">
        <v>1304</v>
      </c>
      <c r="AN45" s="728">
        <v>0</v>
      </c>
      <c r="AO45" s="29">
        <v>1</v>
      </c>
      <c r="AP45" s="1">
        <v>1.1267298112245603</v>
      </c>
      <c r="AQ45" s="139" t="s">
        <v>1304</v>
      </c>
      <c r="AR45" s="728">
        <v>0</v>
      </c>
      <c r="AS45" s="29">
        <v>1</v>
      </c>
      <c r="AT45" s="1">
        <v>1.1267298112245603</v>
      </c>
      <c r="AU45" s="139" t="s">
        <v>1304</v>
      </c>
      <c r="AV45" s="728">
        <v>0</v>
      </c>
      <c r="AW45" s="29">
        <v>1</v>
      </c>
      <c r="AX45" s="1">
        <v>1.1267298112245603</v>
      </c>
      <c r="AY45" s="139" t="s">
        <v>1304</v>
      </c>
      <c r="AZ45" s="728">
        <v>0</v>
      </c>
      <c r="BA45" s="29">
        <v>1</v>
      </c>
      <c r="BB45" s="1">
        <v>1.1267298112245603</v>
      </c>
      <c r="BC45" s="139" t="s">
        <v>1304</v>
      </c>
      <c r="BD45" s="728">
        <v>0</v>
      </c>
      <c r="BE45" s="29">
        <v>1</v>
      </c>
      <c r="BF45" s="1">
        <v>1.1267298112245603</v>
      </c>
      <c r="BG45" s="139" t="s">
        <v>1304</v>
      </c>
      <c r="BH45" s="728">
        <v>0</v>
      </c>
      <c r="BI45" s="29">
        <v>1</v>
      </c>
      <c r="BJ45" s="1">
        <v>1.1267298112245603</v>
      </c>
      <c r="BK45" s="139" t="s">
        <v>1304</v>
      </c>
      <c r="BL45" s="728">
        <v>0</v>
      </c>
      <c r="BM45" s="29">
        <v>1</v>
      </c>
      <c r="BN45" s="1">
        <v>1.1267298112245603</v>
      </c>
      <c r="BO45" s="139" t="s">
        <v>1304</v>
      </c>
      <c r="BP45" s="728">
        <v>0</v>
      </c>
      <c r="BQ45" s="29">
        <v>1</v>
      </c>
      <c r="BR45" s="1">
        <v>1.1267298112245603</v>
      </c>
      <c r="BS45" s="139" t="s">
        <v>1304</v>
      </c>
      <c r="BT45" s="728">
        <v>0</v>
      </c>
      <c r="BU45" s="29">
        <v>1</v>
      </c>
      <c r="BV45" s="1">
        <v>1.1267298112245603</v>
      </c>
      <c r="BW45" s="139" t="s">
        <v>1304</v>
      </c>
      <c r="BX45" s="31"/>
      <c r="BY45" s="155">
        <v>0</v>
      </c>
      <c r="BZ45" s="29">
        <v>1</v>
      </c>
      <c r="CA45" s="1">
        <v>1.1267298112245603</v>
      </c>
      <c r="CB45" s="139" t="s">
        <v>1304</v>
      </c>
      <c r="CC45" s="155">
        <v>0</v>
      </c>
      <c r="CD45" s="29">
        <v>1</v>
      </c>
      <c r="CE45" s="1">
        <v>1.1267298112245603</v>
      </c>
      <c r="CF45" s="31" t="s">
        <v>1304</v>
      </c>
      <c r="CG45" s="253">
        <v>1.6277264417899979E-4</v>
      </c>
      <c r="CH45" s="253"/>
      <c r="CI45" s="182"/>
      <c r="CJ45" s="182"/>
      <c r="CK45" s="253"/>
      <c r="CL45" s="182"/>
      <c r="CM45" s="259">
        <v>0</v>
      </c>
      <c r="CN45" s="694">
        <v>0</v>
      </c>
      <c r="CO45" s="115" t="s">
        <v>1124</v>
      </c>
      <c r="CP45" s="272">
        <v>1</v>
      </c>
      <c r="CQ45" s="272">
        <v>4</v>
      </c>
      <c r="CR45" s="272">
        <v>1</v>
      </c>
      <c r="CS45" s="272">
        <v>3</v>
      </c>
      <c r="CT45" s="272">
        <v>1</v>
      </c>
      <c r="CU45" s="272">
        <v>3</v>
      </c>
      <c r="CV45" s="50">
        <v>3</v>
      </c>
      <c r="CW45" s="51">
        <v>1.05</v>
      </c>
      <c r="CX45" s="87">
        <v>1.1150377561073679</v>
      </c>
      <c r="CY45" s="88">
        <v>1.1267298112245603</v>
      </c>
      <c r="CZ45" s="89" t="s">
        <v>1305</v>
      </c>
      <c r="DA45" s="52">
        <v>1</v>
      </c>
      <c r="DB45" s="52">
        <v>1.1000000000000001</v>
      </c>
      <c r="DC45" s="52">
        <v>1</v>
      </c>
      <c r="DD45" s="52">
        <v>1.02</v>
      </c>
      <c r="DE45" s="52">
        <v>1</v>
      </c>
      <c r="DF45" s="52">
        <v>1.05</v>
      </c>
    </row>
    <row r="46" spans="1:114" ht="24">
      <c r="A46" s="2">
        <v>960</v>
      </c>
      <c r="B46" s="37" t="s">
        <v>525</v>
      </c>
      <c r="C46" s="151" t="s">
        <v>525</v>
      </c>
      <c r="D46" s="152" t="s">
        <v>526</v>
      </c>
      <c r="E46" s="153" t="s">
        <v>402</v>
      </c>
      <c r="F46" s="144" t="s">
        <v>1091</v>
      </c>
      <c r="G46" s="125" t="s">
        <v>521</v>
      </c>
      <c r="H46" s="154" t="s">
        <v>402</v>
      </c>
      <c r="I46" s="123" t="s">
        <v>402</v>
      </c>
      <c r="J46" s="124">
        <v>0</v>
      </c>
      <c r="K46" s="125" t="s">
        <v>395</v>
      </c>
      <c r="L46" s="728">
        <v>0</v>
      </c>
      <c r="M46" s="29">
        <v>1</v>
      </c>
      <c r="N46" s="1">
        <v>1.1267298112245603</v>
      </c>
      <c r="O46" s="139" t="s">
        <v>1304</v>
      </c>
      <c r="P46" s="728">
        <v>0</v>
      </c>
      <c r="Q46" s="29">
        <v>1</v>
      </c>
      <c r="R46" s="1">
        <v>1.1267298112245603</v>
      </c>
      <c r="S46" s="139" t="s">
        <v>1304</v>
      </c>
      <c r="T46" s="728">
        <v>0</v>
      </c>
      <c r="U46" s="29">
        <v>1</v>
      </c>
      <c r="V46" s="1">
        <v>1.1267298112245603</v>
      </c>
      <c r="W46" s="139" t="s">
        <v>1304</v>
      </c>
      <c r="X46" s="728">
        <v>0</v>
      </c>
      <c r="Y46" s="29">
        <v>1</v>
      </c>
      <c r="Z46" s="1">
        <v>1.1267298112245603</v>
      </c>
      <c r="AA46" s="139" t="s">
        <v>1304</v>
      </c>
      <c r="AB46" s="728">
        <v>0</v>
      </c>
      <c r="AC46" s="29">
        <v>1</v>
      </c>
      <c r="AD46" s="1">
        <v>1.1267298112245603</v>
      </c>
      <c r="AE46" s="139" t="s">
        <v>1304</v>
      </c>
      <c r="AF46" s="728">
        <v>0</v>
      </c>
      <c r="AG46" s="29">
        <v>1</v>
      </c>
      <c r="AH46" s="1">
        <v>1.1267298112245603</v>
      </c>
      <c r="AI46" s="139" t="s">
        <v>1304</v>
      </c>
      <c r="AJ46" s="729">
        <v>0</v>
      </c>
      <c r="AK46" s="29">
        <v>1</v>
      </c>
      <c r="AL46" s="1">
        <v>1.1267298112245603</v>
      </c>
      <c r="AM46" s="139" t="s">
        <v>1304</v>
      </c>
      <c r="AN46" s="728">
        <v>0</v>
      </c>
      <c r="AO46" s="29">
        <v>1</v>
      </c>
      <c r="AP46" s="1">
        <v>1.1267298112245603</v>
      </c>
      <c r="AQ46" s="139" t="s">
        <v>1304</v>
      </c>
      <c r="AR46" s="728">
        <v>0</v>
      </c>
      <c r="AS46" s="29">
        <v>1</v>
      </c>
      <c r="AT46" s="1">
        <v>1.1267298112245603</v>
      </c>
      <c r="AU46" s="139" t="s">
        <v>1304</v>
      </c>
      <c r="AV46" s="728">
        <v>0</v>
      </c>
      <c r="AW46" s="29">
        <v>1</v>
      </c>
      <c r="AX46" s="1">
        <v>1.1267298112245603</v>
      </c>
      <c r="AY46" s="139" t="s">
        <v>1304</v>
      </c>
      <c r="AZ46" s="728">
        <v>0</v>
      </c>
      <c r="BA46" s="29">
        <v>1</v>
      </c>
      <c r="BB46" s="1">
        <v>1.1267298112245603</v>
      </c>
      <c r="BC46" s="139" t="s">
        <v>1304</v>
      </c>
      <c r="BD46" s="728">
        <v>0</v>
      </c>
      <c r="BE46" s="29">
        <v>1</v>
      </c>
      <c r="BF46" s="1">
        <v>1.1267298112245603</v>
      </c>
      <c r="BG46" s="139" t="s">
        <v>1304</v>
      </c>
      <c r="BH46" s="728">
        <v>0</v>
      </c>
      <c r="BI46" s="29">
        <v>1</v>
      </c>
      <c r="BJ46" s="1">
        <v>1.1267298112245603</v>
      </c>
      <c r="BK46" s="139" t="s">
        <v>1304</v>
      </c>
      <c r="BL46" s="728">
        <v>0</v>
      </c>
      <c r="BM46" s="29">
        <v>1</v>
      </c>
      <c r="BN46" s="1">
        <v>1.1267298112245603</v>
      </c>
      <c r="BO46" s="139" t="s">
        <v>1304</v>
      </c>
      <c r="BP46" s="728">
        <v>0</v>
      </c>
      <c r="BQ46" s="29">
        <v>1</v>
      </c>
      <c r="BR46" s="1">
        <v>1.1267298112245603</v>
      </c>
      <c r="BS46" s="139" t="s">
        <v>1304</v>
      </c>
      <c r="BT46" s="728">
        <v>0</v>
      </c>
      <c r="BU46" s="29">
        <v>1</v>
      </c>
      <c r="BV46" s="1">
        <v>1.1267298112245603</v>
      </c>
      <c r="BW46" s="139" t="s">
        <v>1304</v>
      </c>
      <c r="BX46" s="31"/>
      <c r="BY46" s="155">
        <v>0</v>
      </c>
      <c r="BZ46" s="29">
        <v>1</v>
      </c>
      <c r="CA46" s="1">
        <v>1.1267298112245603</v>
      </c>
      <c r="CB46" s="139" t="s">
        <v>1304</v>
      </c>
      <c r="CC46" s="155">
        <v>0</v>
      </c>
      <c r="CD46" s="29">
        <v>1</v>
      </c>
      <c r="CE46" s="1">
        <v>1.1267298112245603</v>
      </c>
      <c r="CF46" s="31" t="s">
        <v>1304</v>
      </c>
      <c r="CG46" s="253">
        <v>8.7646808404076813E-3</v>
      </c>
      <c r="CH46" s="253"/>
      <c r="CI46" s="182">
        <v>0</v>
      </c>
      <c r="CJ46" s="182"/>
      <c r="CK46" s="253"/>
      <c r="CL46" s="182"/>
      <c r="CM46" s="259">
        <v>1.588125E-2</v>
      </c>
      <c r="CN46" s="694">
        <v>0</v>
      </c>
      <c r="CO46" s="115" t="s">
        <v>1124</v>
      </c>
      <c r="CP46" s="272">
        <v>1</v>
      </c>
      <c r="CQ46" s="272">
        <v>4</v>
      </c>
      <c r="CR46" s="272">
        <v>1</v>
      </c>
      <c r="CS46" s="272">
        <v>3</v>
      </c>
      <c r="CT46" s="272">
        <v>1</v>
      </c>
      <c r="CU46" s="272">
        <v>3</v>
      </c>
      <c r="CV46" s="50">
        <v>3</v>
      </c>
      <c r="CW46" s="51">
        <v>1.05</v>
      </c>
      <c r="CX46" s="87">
        <v>1.1150377561073679</v>
      </c>
      <c r="CY46" s="88">
        <v>1.1267298112245603</v>
      </c>
      <c r="CZ46" s="89" t="s">
        <v>1305</v>
      </c>
      <c r="DA46" s="52">
        <v>1</v>
      </c>
      <c r="DB46" s="52">
        <v>1.1000000000000001</v>
      </c>
      <c r="DC46" s="52">
        <v>1</v>
      </c>
      <c r="DD46" s="52">
        <v>1.02</v>
      </c>
      <c r="DE46" s="52">
        <v>1</v>
      </c>
      <c r="DF46" s="52">
        <v>1.05</v>
      </c>
    </row>
    <row r="47" spans="1:114" s="689" customFormat="1" ht="24">
      <c r="A47" s="693">
        <v>2796</v>
      </c>
      <c r="B47" s="721"/>
      <c r="C47" s="672" t="s">
        <v>525</v>
      </c>
      <c r="D47" s="673" t="s">
        <v>526</v>
      </c>
      <c r="E47" s="674" t="s">
        <v>402</v>
      </c>
      <c r="F47" s="675" t="s">
        <v>1101</v>
      </c>
      <c r="G47" s="676" t="s">
        <v>521</v>
      </c>
      <c r="H47" s="677" t="s">
        <v>402</v>
      </c>
      <c r="I47" s="678" t="s">
        <v>402</v>
      </c>
      <c r="J47" s="679">
        <v>0</v>
      </c>
      <c r="K47" s="676" t="s">
        <v>395</v>
      </c>
      <c r="L47" s="730">
        <v>1.2874999999999999E-2</v>
      </c>
      <c r="M47" s="681">
        <v>6</v>
      </c>
      <c r="N47" s="682">
        <v>1.2859877072397368</v>
      </c>
      <c r="O47" s="683" t="s">
        <v>1302</v>
      </c>
      <c r="P47" s="730">
        <v>1.2874999999999999E-2</v>
      </c>
      <c r="Q47" s="681">
        <v>6</v>
      </c>
      <c r="R47" s="682">
        <v>1.2859877072397368</v>
      </c>
      <c r="S47" s="683" t="s">
        <v>1302</v>
      </c>
      <c r="T47" s="730">
        <v>1.2874999999999999E-2</v>
      </c>
      <c r="U47" s="681">
        <v>6</v>
      </c>
      <c r="V47" s="682">
        <v>1.2859877072397368</v>
      </c>
      <c r="W47" s="683" t="s">
        <v>1302</v>
      </c>
      <c r="X47" s="730">
        <v>1.2874999999999999E-2</v>
      </c>
      <c r="Y47" s="681">
        <v>6</v>
      </c>
      <c r="Z47" s="682">
        <v>1.2859877072397368</v>
      </c>
      <c r="AA47" s="683" t="s">
        <v>1302</v>
      </c>
      <c r="AB47" s="730">
        <v>1.2874999999999999E-2</v>
      </c>
      <c r="AC47" s="681">
        <v>6</v>
      </c>
      <c r="AD47" s="682">
        <v>1.2859877072397368</v>
      </c>
      <c r="AE47" s="683" t="s">
        <v>1302</v>
      </c>
      <c r="AF47" s="730">
        <v>1.2874999999999999E-2</v>
      </c>
      <c r="AG47" s="681">
        <v>6</v>
      </c>
      <c r="AH47" s="682">
        <v>1.2859877072397368</v>
      </c>
      <c r="AI47" s="683" t="s">
        <v>1302</v>
      </c>
      <c r="AJ47" s="730">
        <v>1.2874999999999999E-2</v>
      </c>
      <c r="AK47" s="681">
        <v>6</v>
      </c>
      <c r="AL47" s="682">
        <v>1.2859877072397368</v>
      </c>
      <c r="AM47" s="683" t="s">
        <v>1302</v>
      </c>
      <c r="AN47" s="730">
        <v>1.2874999999999999E-2</v>
      </c>
      <c r="AO47" s="681">
        <v>6</v>
      </c>
      <c r="AP47" s="682">
        <v>1.2859877072397368</v>
      </c>
      <c r="AQ47" s="683" t="s">
        <v>1302</v>
      </c>
      <c r="AR47" s="730">
        <v>1.2874999999999999E-2</v>
      </c>
      <c r="AS47" s="681">
        <v>6</v>
      </c>
      <c r="AT47" s="682">
        <v>1.2859877072397368</v>
      </c>
      <c r="AU47" s="683" t="s">
        <v>1302</v>
      </c>
      <c r="AV47" s="730">
        <v>1.2874999999999999E-2</v>
      </c>
      <c r="AW47" s="681">
        <v>6</v>
      </c>
      <c r="AX47" s="682">
        <v>1.2859877072397368</v>
      </c>
      <c r="AY47" s="683" t="s">
        <v>1302</v>
      </c>
      <c r="AZ47" s="730">
        <v>1.2874999999999999E-2</v>
      </c>
      <c r="BA47" s="681">
        <v>6</v>
      </c>
      <c r="BB47" s="682">
        <v>1.2859877072397368</v>
      </c>
      <c r="BC47" s="683" t="s">
        <v>1302</v>
      </c>
      <c r="BD47" s="730">
        <v>1.2874999999999999E-2</v>
      </c>
      <c r="BE47" s="681">
        <v>6</v>
      </c>
      <c r="BF47" s="682">
        <v>1.2859877072397368</v>
      </c>
      <c r="BG47" s="683" t="s">
        <v>1302</v>
      </c>
      <c r="BH47" s="730">
        <v>1.2874999999999999E-2</v>
      </c>
      <c r="BI47" s="681">
        <v>6</v>
      </c>
      <c r="BJ47" s="682">
        <v>1.2859877072397368</v>
      </c>
      <c r="BK47" s="683" t="s">
        <v>1302</v>
      </c>
      <c r="BL47" s="730">
        <v>1.2874999999999999E-2</v>
      </c>
      <c r="BM47" s="681">
        <v>6</v>
      </c>
      <c r="BN47" s="682">
        <v>1.2859877072397368</v>
      </c>
      <c r="BO47" s="683" t="s">
        <v>1302</v>
      </c>
      <c r="BP47" s="730">
        <v>1.2874999999999999E-2</v>
      </c>
      <c r="BQ47" s="681">
        <v>6</v>
      </c>
      <c r="BR47" s="682">
        <v>1.2859877072397368</v>
      </c>
      <c r="BS47" s="683" t="s">
        <v>1302</v>
      </c>
      <c r="BT47" s="730">
        <v>1.2874999999999999E-2</v>
      </c>
      <c r="BU47" s="681">
        <v>6</v>
      </c>
      <c r="BV47" s="682">
        <v>1.2859877072397368</v>
      </c>
      <c r="BW47" s="683" t="s">
        <v>1302</v>
      </c>
      <c r="BX47" s="684"/>
      <c r="BY47" s="680">
        <v>1.2874999999999999E-2</v>
      </c>
      <c r="BZ47" s="681">
        <v>6</v>
      </c>
      <c r="CA47" s="682">
        <v>1.2859877072397368</v>
      </c>
      <c r="CB47" s="683" t="s">
        <v>1302</v>
      </c>
      <c r="CC47" s="680">
        <v>1.2874999999999999E-2</v>
      </c>
      <c r="CD47" s="681">
        <v>1</v>
      </c>
      <c r="CE47" s="682">
        <v>1.2859877072397368</v>
      </c>
      <c r="CF47" s="684" t="s">
        <v>1302</v>
      </c>
      <c r="CG47" s="712"/>
      <c r="CH47" s="712"/>
      <c r="CI47" s="716"/>
      <c r="CJ47" s="716"/>
      <c r="CK47" s="712"/>
      <c r="CL47" s="716"/>
      <c r="CM47" s="722"/>
      <c r="CN47" s="720">
        <v>1.2874999999999999E-2</v>
      </c>
      <c r="CO47" s="723" t="s">
        <v>1124</v>
      </c>
      <c r="CP47" s="674">
        <v>3</v>
      </c>
      <c r="CQ47" s="673">
        <v>4</v>
      </c>
      <c r="CR47" s="673">
        <v>3</v>
      </c>
      <c r="CS47" s="673">
        <v>3</v>
      </c>
      <c r="CT47" s="673">
        <v>1</v>
      </c>
      <c r="CU47" s="673">
        <v>5</v>
      </c>
      <c r="CV47" s="673">
        <v>3</v>
      </c>
      <c r="CW47" s="685">
        <v>1.05</v>
      </c>
      <c r="CX47" s="686">
        <v>1.2798586482969265</v>
      </c>
      <c r="CY47" s="724">
        <v>1.2859877072397368</v>
      </c>
      <c r="CZ47" s="687" t="s">
        <v>1145</v>
      </c>
      <c r="DA47" s="688">
        <v>1.1000000000000001</v>
      </c>
      <c r="DB47" s="688">
        <v>1.1000000000000001</v>
      </c>
      <c r="DC47" s="688">
        <v>1.1000000000000001</v>
      </c>
      <c r="DD47" s="688">
        <v>1.02</v>
      </c>
      <c r="DE47" s="688">
        <v>1</v>
      </c>
      <c r="DF47" s="688">
        <v>1.2</v>
      </c>
      <c r="DI47" s="725"/>
      <c r="DJ47" s="725"/>
    </row>
    <row r="48" spans="1:114" s="689" customFormat="1" ht="24">
      <c r="A48" s="693">
        <v>1035</v>
      </c>
      <c r="B48" s="721"/>
      <c r="C48" s="672" t="s">
        <v>525</v>
      </c>
      <c r="D48" s="673" t="s">
        <v>526</v>
      </c>
      <c r="E48" s="674" t="s">
        <v>402</v>
      </c>
      <c r="F48" s="675" t="s">
        <v>1082</v>
      </c>
      <c r="G48" s="676" t="s">
        <v>521</v>
      </c>
      <c r="H48" s="677" t="s">
        <v>402</v>
      </c>
      <c r="I48" s="678" t="s">
        <v>402</v>
      </c>
      <c r="J48" s="679">
        <v>0</v>
      </c>
      <c r="K48" s="676" t="s">
        <v>395</v>
      </c>
      <c r="L48" s="730">
        <v>7.2499999999999995E-4</v>
      </c>
      <c r="M48" s="681">
        <v>7</v>
      </c>
      <c r="N48" s="682">
        <v>1.2859877072397368</v>
      </c>
      <c r="O48" s="683" t="s">
        <v>1302</v>
      </c>
      <c r="P48" s="730">
        <v>7.2499999999999995E-4</v>
      </c>
      <c r="Q48" s="681">
        <v>7</v>
      </c>
      <c r="R48" s="682">
        <v>1.2859877072397368</v>
      </c>
      <c r="S48" s="683" t="s">
        <v>1302</v>
      </c>
      <c r="T48" s="730">
        <v>7.2499999999999995E-4</v>
      </c>
      <c r="U48" s="681">
        <v>7</v>
      </c>
      <c r="V48" s="682">
        <v>1.2859877072397368</v>
      </c>
      <c r="W48" s="683" t="s">
        <v>1302</v>
      </c>
      <c r="X48" s="730">
        <v>7.2499999999999995E-4</v>
      </c>
      <c r="Y48" s="681">
        <v>7</v>
      </c>
      <c r="Z48" s="682">
        <v>1.2859877072397368</v>
      </c>
      <c r="AA48" s="683" t="s">
        <v>1302</v>
      </c>
      <c r="AB48" s="730">
        <v>7.2499999999999995E-4</v>
      </c>
      <c r="AC48" s="681">
        <v>7</v>
      </c>
      <c r="AD48" s="682">
        <v>1.2859877072397368</v>
      </c>
      <c r="AE48" s="683" t="s">
        <v>1302</v>
      </c>
      <c r="AF48" s="730">
        <v>7.2499999999999995E-4</v>
      </c>
      <c r="AG48" s="681">
        <v>7</v>
      </c>
      <c r="AH48" s="682">
        <v>1.2859877072397368</v>
      </c>
      <c r="AI48" s="683" t="s">
        <v>1302</v>
      </c>
      <c r="AJ48" s="730">
        <v>7.2499999999999995E-4</v>
      </c>
      <c r="AK48" s="681">
        <v>7</v>
      </c>
      <c r="AL48" s="682">
        <v>1.2859877072397368</v>
      </c>
      <c r="AM48" s="683" t="s">
        <v>1302</v>
      </c>
      <c r="AN48" s="730">
        <v>7.2499999999999995E-4</v>
      </c>
      <c r="AO48" s="681">
        <v>7</v>
      </c>
      <c r="AP48" s="682">
        <v>1.2859877072397368</v>
      </c>
      <c r="AQ48" s="683" t="s">
        <v>1302</v>
      </c>
      <c r="AR48" s="730">
        <v>7.2499999999999995E-4</v>
      </c>
      <c r="AS48" s="681">
        <v>7</v>
      </c>
      <c r="AT48" s="682">
        <v>1.2859877072397368</v>
      </c>
      <c r="AU48" s="683" t="s">
        <v>1302</v>
      </c>
      <c r="AV48" s="730">
        <v>7.2499999999999995E-4</v>
      </c>
      <c r="AW48" s="681">
        <v>7</v>
      </c>
      <c r="AX48" s="682">
        <v>1.2859877072397368</v>
      </c>
      <c r="AY48" s="683" t="s">
        <v>1302</v>
      </c>
      <c r="AZ48" s="730">
        <v>7.2499999999999995E-4</v>
      </c>
      <c r="BA48" s="681">
        <v>7</v>
      </c>
      <c r="BB48" s="682">
        <v>1.2859877072397368</v>
      </c>
      <c r="BC48" s="683" t="s">
        <v>1302</v>
      </c>
      <c r="BD48" s="730">
        <v>7.2499999999999995E-4</v>
      </c>
      <c r="BE48" s="681">
        <v>7</v>
      </c>
      <c r="BF48" s="682">
        <v>1.2859877072397368</v>
      </c>
      <c r="BG48" s="683" t="s">
        <v>1302</v>
      </c>
      <c r="BH48" s="730">
        <v>7.2499999999999995E-4</v>
      </c>
      <c r="BI48" s="681">
        <v>7</v>
      </c>
      <c r="BJ48" s="682">
        <v>1.2859877072397368</v>
      </c>
      <c r="BK48" s="683" t="s">
        <v>1302</v>
      </c>
      <c r="BL48" s="730">
        <v>7.2499999999999995E-4</v>
      </c>
      <c r="BM48" s="681">
        <v>7</v>
      </c>
      <c r="BN48" s="682">
        <v>1.2859877072397368</v>
      </c>
      <c r="BO48" s="683" t="s">
        <v>1302</v>
      </c>
      <c r="BP48" s="730">
        <v>7.2499999999999995E-4</v>
      </c>
      <c r="BQ48" s="681">
        <v>7</v>
      </c>
      <c r="BR48" s="682">
        <v>1.2859877072397368</v>
      </c>
      <c r="BS48" s="683" t="s">
        <v>1302</v>
      </c>
      <c r="BT48" s="730">
        <v>7.2499999999999995E-4</v>
      </c>
      <c r="BU48" s="681">
        <v>7</v>
      </c>
      <c r="BV48" s="682">
        <v>1.2859877072397368</v>
      </c>
      <c r="BW48" s="683" t="s">
        <v>1302</v>
      </c>
      <c r="BX48" s="684"/>
      <c r="BY48" s="680">
        <v>7.2499999999999995E-4</v>
      </c>
      <c r="BZ48" s="681">
        <v>7</v>
      </c>
      <c r="CA48" s="682">
        <v>1.2859877072397368</v>
      </c>
      <c r="CB48" s="683" t="s">
        <v>1302</v>
      </c>
      <c r="CC48" s="680">
        <v>7.2499999999999995E-4</v>
      </c>
      <c r="CD48" s="681">
        <v>1</v>
      </c>
      <c r="CE48" s="682">
        <v>1.2859877072397368</v>
      </c>
      <c r="CF48" s="684" t="s">
        <v>1302</v>
      </c>
      <c r="CG48" s="712"/>
      <c r="CH48" s="712"/>
      <c r="CI48" s="716"/>
      <c r="CJ48" s="716"/>
      <c r="CK48" s="712"/>
      <c r="CL48" s="716"/>
      <c r="CM48" s="722"/>
      <c r="CN48" s="720">
        <v>7.2499999999999995E-4</v>
      </c>
      <c r="CO48" s="723" t="s">
        <v>1124</v>
      </c>
      <c r="CP48" s="674">
        <v>3</v>
      </c>
      <c r="CQ48" s="673">
        <v>4</v>
      </c>
      <c r="CR48" s="673">
        <v>3</v>
      </c>
      <c r="CS48" s="673">
        <v>3</v>
      </c>
      <c r="CT48" s="673">
        <v>1</v>
      </c>
      <c r="CU48" s="673">
        <v>5</v>
      </c>
      <c r="CV48" s="673">
        <v>3</v>
      </c>
      <c r="CW48" s="685">
        <v>1.05</v>
      </c>
      <c r="CX48" s="686">
        <v>1.2798586482969265</v>
      </c>
      <c r="CY48" s="724">
        <v>1.2859877072397368</v>
      </c>
      <c r="CZ48" s="687" t="s">
        <v>1145</v>
      </c>
      <c r="DA48" s="688">
        <v>1.1000000000000001</v>
      </c>
      <c r="DB48" s="688">
        <v>1.1000000000000001</v>
      </c>
      <c r="DC48" s="688">
        <v>1.1000000000000001</v>
      </c>
      <c r="DD48" s="688">
        <v>1.02</v>
      </c>
      <c r="DE48" s="688">
        <v>1</v>
      </c>
      <c r="DF48" s="688">
        <v>1.2</v>
      </c>
      <c r="DI48" s="725"/>
      <c r="DJ48" s="725"/>
    </row>
    <row r="49" spans="1:114" s="689" customFormat="1" ht="24">
      <c r="A49" s="693">
        <v>31134</v>
      </c>
      <c r="B49" s="721"/>
      <c r="C49" s="672" t="s">
        <v>525</v>
      </c>
      <c r="D49" s="673" t="s">
        <v>526</v>
      </c>
      <c r="E49" s="674" t="s">
        <v>402</v>
      </c>
      <c r="F49" s="675" t="s">
        <v>1081</v>
      </c>
      <c r="G49" s="676" t="s">
        <v>521</v>
      </c>
      <c r="H49" s="677" t="s">
        <v>402</v>
      </c>
      <c r="I49" s="678" t="s">
        <v>402</v>
      </c>
      <c r="J49" s="679">
        <v>0</v>
      </c>
      <c r="K49" s="676" t="s">
        <v>395</v>
      </c>
      <c r="L49" s="730">
        <v>0</v>
      </c>
      <c r="M49" s="681">
        <v>8</v>
      </c>
      <c r="N49" s="682">
        <v>1.2859877072397368</v>
      </c>
      <c r="O49" s="683" t="s">
        <v>1302</v>
      </c>
      <c r="P49" s="730">
        <v>0</v>
      </c>
      <c r="Q49" s="681">
        <v>8</v>
      </c>
      <c r="R49" s="682">
        <v>1.2859877072397368</v>
      </c>
      <c r="S49" s="683" t="s">
        <v>1302</v>
      </c>
      <c r="T49" s="730">
        <v>0</v>
      </c>
      <c r="U49" s="681">
        <v>8</v>
      </c>
      <c r="V49" s="682">
        <v>1.2859877072397368</v>
      </c>
      <c r="W49" s="683" t="s">
        <v>1302</v>
      </c>
      <c r="X49" s="730">
        <v>0</v>
      </c>
      <c r="Y49" s="681">
        <v>8</v>
      </c>
      <c r="Z49" s="682">
        <v>1.2859877072397368</v>
      </c>
      <c r="AA49" s="683" t="s">
        <v>1302</v>
      </c>
      <c r="AB49" s="730">
        <v>0</v>
      </c>
      <c r="AC49" s="681">
        <v>8</v>
      </c>
      <c r="AD49" s="682">
        <v>1.2859877072397368</v>
      </c>
      <c r="AE49" s="683" t="s">
        <v>1302</v>
      </c>
      <c r="AF49" s="730">
        <v>0</v>
      </c>
      <c r="AG49" s="681">
        <v>8</v>
      </c>
      <c r="AH49" s="682">
        <v>1.2859877072397368</v>
      </c>
      <c r="AI49" s="683" t="s">
        <v>1302</v>
      </c>
      <c r="AJ49" s="730">
        <v>0</v>
      </c>
      <c r="AK49" s="681">
        <v>8</v>
      </c>
      <c r="AL49" s="682">
        <v>1.2859877072397368</v>
      </c>
      <c r="AM49" s="683" t="s">
        <v>1302</v>
      </c>
      <c r="AN49" s="730">
        <v>0</v>
      </c>
      <c r="AO49" s="681">
        <v>8</v>
      </c>
      <c r="AP49" s="682">
        <v>1.2859877072397368</v>
      </c>
      <c r="AQ49" s="683" t="s">
        <v>1302</v>
      </c>
      <c r="AR49" s="730">
        <v>0</v>
      </c>
      <c r="AS49" s="681">
        <v>8</v>
      </c>
      <c r="AT49" s="682">
        <v>1.2859877072397368</v>
      </c>
      <c r="AU49" s="683" t="s">
        <v>1302</v>
      </c>
      <c r="AV49" s="730">
        <v>0</v>
      </c>
      <c r="AW49" s="681">
        <v>8</v>
      </c>
      <c r="AX49" s="682">
        <v>1.2859877072397368</v>
      </c>
      <c r="AY49" s="683" t="s">
        <v>1302</v>
      </c>
      <c r="AZ49" s="730">
        <v>0</v>
      </c>
      <c r="BA49" s="681">
        <v>8</v>
      </c>
      <c r="BB49" s="682">
        <v>1.2859877072397368</v>
      </c>
      <c r="BC49" s="683" t="s">
        <v>1302</v>
      </c>
      <c r="BD49" s="730">
        <v>0</v>
      </c>
      <c r="BE49" s="681">
        <v>8</v>
      </c>
      <c r="BF49" s="682">
        <v>1.2859877072397368</v>
      </c>
      <c r="BG49" s="683" t="s">
        <v>1302</v>
      </c>
      <c r="BH49" s="730">
        <v>0</v>
      </c>
      <c r="BI49" s="681">
        <v>8</v>
      </c>
      <c r="BJ49" s="682">
        <v>1.2859877072397368</v>
      </c>
      <c r="BK49" s="683" t="s">
        <v>1302</v>
      </c>
      <c r="BL49" s="730">
        <v>0</v>
      </c>
      <c r="BM49" s="681">
        <v>8</v>
      </c>
      <c r="BN49" s="682">
        <v>1.2859877072397368</v>
      </c>
      <c r="BO49" s="683" t="s">
        <v>1302</v>
      </c>
      <c r="BP49" s="730">
        <v>0</v>
      </c>
      <c r="BQ49" s="681">
        <v>8</v>
      </c>
      <c r="BR49" s="682">
        <v>1.2859877072397368</v>
      </c>
      <c r="BS49" s="683" t="s">
        <v>1302</v>
      </c>
      <c r="BT49" s="730">
        <v>0</v>
      </c>
      <c r="BU49" s="681">
        <v>8</v>
      </c>
      <c r="BV49" s="682">
        <v>1.2859877072397368</v>
      </c>
      <c r="BW49" s="683" t="s">
        <v>1302</v>
      </c>
      <c r="BX49" s="684"/>
      <c r="BY49" s="680">
        <v>0</v>
      </c>
      <c r="BZ49" s="681">
        <v>8</v>
      </c>
      <c r="CA49" s="682">
        <v>1.2859877072397368</v>
      </c>
      <c r="CB49" s="683" t="s">
        <v>1302</v>
      </c>
      <c r="CC49" s="680">
        <v>0</v>
      </c>
      <c r="CD49" s="681">
        <v>1</v>
      </c>
      <c r="CE49" s="682">
        <v>1.2859877072397368</v>
      </c>
      <c r="CF49" s="684" t="s">
        <v>1302</v>
      </c>
      <c r="CG49" s="712"/>
      <c r="CH49" s="712"/>
      <c r="CI49" s="716"/>
      <c r="CJ49" s="716"/>
      <c r="CK49" s="712"/>
      <c r="CL49" s="716"/>
      <c r="CM49" s="722"/>
      <c r="CN49" s="720">
        <v>0</v>
      </c>
      <c r="CO49" s="723" t="s">
        <v>1124</v>
      </c>
      <c r="CP49" s="674">
        <v>3</v>
      </c>
      <c r="CQ49" s="673">
        <v>4</v>
      </c>
      <c r="CR49" s="673">
        <v>3</v>
      </c>
      <c r="CS49" s="673">
        <v>3</v>
      </c>
      <c r="CT49" s="673">
        <v>1</v>
      </c>
      <c r="CU49" s="673">
        <v>5</v>
      </c>
      <c r="CV49" s="673">
        <v>3</v>
      </c>
      <c r="CW49" s="685">
        <v>1.05</v>
      </c>
      <c r="CX49" s="686">
        <v>1.2798586482969265</v>
      </c>
      <c r="CY49" s="724">
        <v>1.2859877072397368</v>
      </c>
      <c r="CZ49" s="687" t="s">
        <v>1145</v>
      </c>
      <c r="DA49" s="688">
        <v>1.1000000000000001</v>
      </c>
      <c r="DB49" s="688">
        <v>1.1000000000000001</v>
      </c>
      <c r="DC49" s="688">
        <v>1.1000000000000001</v>
      </c>
      <c r="DD49" s="688">
        <v>1.02</v>
      </c>
      <c r="DE49" s="688">
        <v>1</v>
      </c>
      <c r="DF49" s="688">
        <v>1.2</v>
      </c>
      <c r="DI49" s="725"/>
      <c r="DJ49" s="725"/>
    </row>
    <row r="50" spans="1:114" s="689" customFormat="1" ht="24">
      <c r="A50" s="693">
        <v>30173</v>
      </c>
      <c r="B50" s="721"/>
      <c r="C50" s="672" t="s">
        <v>525</v>
      </c>
      <c r="D50" s="673" t="s">
        <v>526</v>
      </c>
      <c r="E50" s="674" t="s">
        <v>402</v>
      </c>
      <c r="F50" s="675" t="s">
        <v>1307</v>
      </c>
      <c r="G50" s="676" t="s">
        <v>51</v>
      </c>
      <c r="H50" s="677" t="s">
        <v>402</v>
      </c>
      <c r="I50" s="678" t="s">
        <v>402</v>
      </c>
      <c r="J50" s="679">
        <v>0</v>
      </c>
      <c r="K50" s="676" t="s">
        <v>395</v>
      </c>
      <c r="L50" s="730">
        <v>2.8124999999999995E-3</v>
      </c>
      <c r="M50" s="681">
        <v>9</v>
      </c>
      <c r="N50" s="682">
        <v>1.2859877072397368</v>
      </c>
      <c r="O50" s="683" t="s">
        <v>1302</v>
      </c>
      <c r="P50" s="730">
        <v>2.8124999999999995E-3</v>
      </c>
      <c r="Q50" s="681">
        <v>9</v>
      </c>
      <c r="R50" s="682">
        <v>1.2859877072397368</v>
      </c>
      <c r="S50" s="683" t="s">
        <v>1302</v>
      </c>
      <c r="T50" s="730">
        <v>2.8124999999999995E-3</v>
      </c>
      <c r="U50" s="681">
        <v>9</v>
      </c>
      <c r="V50" s="682">
        <v>1.2859877072397368</v>
      </c>
      <c r="W50" s="683" t="s">
        <v>1302</v>
      </c>
      <c r="X50" s="730">
        <v>2.8124999999999995E-3</v>
      </c>
      <c r="Y50" s="681">
        <v>9</v>
      </c>
      <c r="Z50" s="682">
        <v>1.2859877072397368</v>
      </c>
      <c r="AA50" s="683" t="s">
        <v>1302</v>
      </c>
      <c r="AB50" s="730">
        <v>2.8124999999999995E-3</v>
      </c>
      <c r="AC50" s="681">
        <v>9</v>
      </c>
      <c r="AD50" s="682">
        <v>1.2859877072397368</v>
      </c>
      <c r="AE50" s="683" t="s">
        <v>1302</v>
      </c>
      <c r="AF50" s="730">
        <v>2.8124999999999995E-3</v>
      </c>
      <c r="AG50" s="681">
        <v>9</v>
      </c>
      <c r="AH50" s="682">
        <v>1.2859877072397368</v>
      </c>
      <c r="AI50" s="683" t="s">
        <v>1302</v>
      </c>
      <c r="AJ50" s="730">
        <v>2.8124999999999995E-3</v>
      </c>
      <c r="AK50" s="681">
        <v>9</v>
      </c>
      <c r="AL50" s="682">
        <v>1.2859877072397368</v>
      </c>
      <c r="AM50" s="683" t="s">
        <v>1302</v>
      </c>
      <c r="AN50" s="730">
        <v>2.8124999999999995E-3</v>
      </c>
      <c r="AO50" s="681">
        <v>9</v>
      </c>
      <c r="AP50" s="682">
        <v>1.2859877072397368</v>
      </c>
      <c r="AQ50" s="683" t="s">
        <v>1302</v>
      </c>
      <c r="AR50" s="730">
        <v>2.8124999999999995E-3</v>
      </c>
      <c r="AS50" s="681">
        <v>9</v>
      </c>
      <c r="AT50" s="682">
        <v>1.2859877072397368</v>
      </c>
      <c r="AU50" s="683" t="s">
        <v>1302</v>
      </c>
      <c r="AV50" s="730">
        <v>2.8124999999999995E-3</v>
      </c>
      <c r="AW50" s="681">
        <v>9</v>
      </c>
      <c r="AX50" s="682">
        <v>1.2859877072397368</v>
      </c>
      <c r="AY50" s="683" t="s">
        <v>1302</v>
      </c>
      <c r="AZ50" s="730">
        <v>2.8124999999999995E-3</v>
      </c>
      <c r="BA50" s="681">
        <v>9</v>
      </c>
      <c r="BB50" s="682">
        <v>1.2859877072397368</v>
      </c>
      <c r="BC50" s="683" t="s">
        <v>1302</v>
      </c>
      <c r="BD50" s="730">
        <v>2.8124999999999995E-3</v>
      </c>
      <c r="BE50" s="681">
        <v>9</v>
      </c>
      <c r="BF50" s="682">
        <v>1.2859877072397368</v>
      </c>
      <c r="BG50" s="683" t="s">
        <v>1302</v>
      </c>
      <c r="BH50" s="730">
        <v>2.8124999999999995E-3</v>
      </c>
      <c r="BI50" s="681">
        <v>9</v>
      </c>
      <c r="BJ50" s="682">
        <v>1.2859877072397368</v>
      </c>
      <c r="BK50" s="683" t="s">
        <v>1302</v>
      </c>
      <c r="BL50" s="730">
        <v>2.8124999999999995E-3</v>
      </c>
      <c r="BM50" s="681">
        <v>9</v>
      </c>
      <c r="BN50" s="682">
        <v>1.2859877072397368</v>
      </c>
      <c r="BO50" s="683" t="s">
        <v>1302</v>
      </c>
      <c r="BP50" s="730">
        <v>2.8124999999999995E-3</v>
      </c>
      <c r="BQ50" s="681">
        <v>9</v>
      </c>
      <c r="BR50" s="682">
        <v>1.2859877072397368</v>
      </c>
      <c r="BS50" s="683" t="s">
        <v>1302</v>
      </c>
      <c r="BT50" s="730">
        <v>2.8124999999999995E-3</v>
      </c>
      <c r="BU50" s="681">
        <v>9</v>
      </c>
      <c r="BV50" s="682">
        <v>1.2859877072397368</v>
      </c>
      <c r="BW50" s="683" t="s">
        <v>1302</v>
      </c>
      <c r="BX50" s="684"/>
      <c r="BY50" s="680">
        <v>2.8124999999999995E-3</v>
      </c>
      <c r="BZ50" s="681">
        <v>9</v>
      </c>
      <c r="CA50" s="682">
        <v>1.2859877072397368</v>
      </c>
      <c r="CB50" s="683" t="s">
        <v>1302</v>
      </c>
      <c r="CC50" s="680">
        <v>2.8124999999999995E-3</v>
      </c>
      <c r="CD50" s="681">
        <v>1</v>
      </c>
      <c r="CE50" s="682">
        <v>1.2859877072397368</v>
      </c>
      <c r="CF50" s="684" t="s">
        <v>1302</v>
      </c>
      <c r="CG50" s="712"/>
      <c r="CH50" s="712"/>
      <c r="CI50" s="716"/>
      <c r="CJ50" s="716"/>
      <c r="CK50" s="712"/>
      <c r="CL50" s="716"/>
      <c r="CM50" s="722"/>
      <c r="CN50" s="720">
        <v>2.8124999999999995E-3</v>
      </c>
      <c r="CO50" s="723" t="s">
        <v>1124</v>
      </c>
      <c r="CP50" s="674">
        <v>3</v>
      </c>
      <c r="CQ50" s="673">
        <v>4</v>
      </c>
      <c r="CR50" s="673">
        <v>3</v>
      </c>
      <c r="CS50" s="673">
        <v>3</v>
      </c>
      <c r="CT50" s="673">
        <v>1</v>
      </c>
      <c r="CU50" s="673">
        <v>5</v>
      </c>
      <c r="CV50" s="673">
        <v>3</v>
      </c>
      <c r="CW50" s="685">
        <v>1.05</v>
      </c>
      <c r="CX50" s="686">
        <v>1.2798586482969265</v>
      </c>
      <c r="CY50" s="724">
        <v>1.2859877072397368</v>
      </c>
      <c r="CZ50" s="687" t="s">
        <v>1145</v>
      </c>
      <c r="DA50" s="688">
        <v>1.1000000000000001</v>
      </c>
      <c r="DB50" s="688">
        <v>1.1000000000000001</v>
      </c>
      <c r="DC50" s="688">
        <v>1.1000000000000001</v>
      </c>
      <c r="DD50" s="688">
        <v>1.02</v>
      </c>
      <c r="DE50" s="688">
        <v>1</v>
      </c>
      <c r="DF50" s="688">
        <v>1.2</v>
      </c>
      <c r="DI50" s="725"/>
      <c r="DJ50" s="725"/>
    </row>
    <row r="51" spans="1:114" s="689" customFormat="1" ht="24">
      <c r="A51" s="693">
        <v>1259</v>
      </c>
      <c r="B51" s="721"/>
      <c r="C51" s="672" t="s">
        <v>525</v>
      </c>
      <c r="D51" s="673" t="s">
        <v>526</v>
      </c>
      <c r="E51" s="674" t="s">
        <v>402</v>
      </c>
      <c r="F51" s="675" t="s">
        <v>55</v>
      </c>
      <c r="G51" s="676" t="s">
        <v>521</v>
      </c>
      <c r="H51" s="677" t="s">
        <v>402</v>
      </c>
      <c r="I51" s="678" t="s">
        <v>402</v>
      </c>
      <c r="J51" s="679">
        <v>0</v>
      </c>
      <c r="K51" s="676" t="s">
        <v>395</v>
      </c>
      <c r="L51" s="730">
        <v>2.3749999999999997E-2</v>
      </c>
      <c r="M51" s="681">
        <v>11</v>
      </c>
      <c r="N51" s="682">
        <v>1.2859877072397368</v>
      </c>
      <c r="O51" s="683" t="s">
        <v>1302</v>
      </c>
      <c r="P51" s="730">
        <v>2.3749999999999997E-2</v>
      </c>
      <c r="Q51" s="681">
        <v>11</v>
      </c>
      <c r="R51" s="682">
        <v>1.2859877072397368</v>
      </c>
      <c r="S51" s="683" t="s">
        <v>1302</v>
      </c>
      <c r="T51" s="730">
        <v>2.3749999999999997E-2</v>
      </c>
      <c r="U51" s="681">
        <v>11</v>
      </c>
      <c r="V51" s="682">
        <v>1.2859877072397368</v>
      </c>
      <c r="W51" s="683" t="s">
        <v>1302</v>
      </c>
      <c r="X51" s="730">
        <v>2.3749999999999997E-2</v>
      </c>
      <c r="Y51" s="681">
        <v>11</v>
      </c>
      <c r="Z51" s="682">
        <v>1.2859877072397368</v>
      </c>
      <c r="AA51" s="683" t="s">
        <v>1302</v>
      </c>
      <c r="AB51" s="730">
        <v>2.3749999999999997E-2</v>
      </c>
      <c r="AC51" s="681">
        <v>11</v>
      </c>
      <c r="AD51" s="682">
        <v>1.2859877072397368</v>
      </c>
      <c r="AE51" s="683" t="s">
        <v>1302</v>
      </c>
      <c r="AF51" s="730">
        <v>2.3749999999999997E-2</v>
      </c>
      <c r="AG51" s="681">
        <v>11</v>
      </c>
      <c r="AH51" s="682">
        <v>1.2859877072397368</v>
      </c>
      <c r="AI51" s="683" t="s">
        <v>1302</v>
      </c>
      <c r="AJ51" s="730">
        <v>2.3749999999999997E-2</v>
      </c>
      <c r="AK51" s="681">
        <v>11</v>
      </c>
      <c r="AL51" s="682">
        <v>1.2859877072397368</v>
      </c>
      <c r="AM51" s="683" t="s">
        <v>1302</v>
      </c>
      <c r="AN51" s="730">
        <v>2.3749999999999997E-2</v>
      </c>
      <c r="AO51" s="681">
        <v>11</v>
      </c>
      <c r="AP51" s="682">
        <v>1.2859877072397368</v>
      </c>
      <c r="AQ51" s="683" t="s">
        <v>1302</v>
      </c>
      <c r="AR51" s="730">
        <v>2.3749999999999997E-2</v>
      </c>
      <c r="AS51" s="681">
        <v>11</v>
      </c>
      <c r="AT51" s="682">
        <v>1.2859877072397368</v>
      </c>
      <c r="AU51" s="683" t="s">
        <v>1302</v>
      </c>
      <c r="AV51" s="730">
        <v>2.3749999999999997E-2</v>
      </c>
      <c r="AW51" s="681">
        <v>11</v>
      </c>
      <c r="AX51" s="682">
        <v>1.2859877072397368</v>
      </c>
      <c r="AY51" s="683" t="s">
        <v>1302</v>
      </c>
      <c r="AZ51" s="730">
        <v>2.3749999999999997E-2</v>
      </c>
      <c r="BA51" s="681">
        <v>11</v>
      </c>
      <c r="BB51" s="682">
        <v>1.2859877072397368</v>
      </c>
      <c r="BC51" s="683" t="s">
        <v>1302</v>
      </c>
      <c r="BD51" s="730">
        <v>2.3749999999999997E-2</v>
      </c>
      <c r="BE51" s="681">
        <v>11</v>
      </c>
      <c r="BF51" s="682">
        <v>1.2859877072397368</v>
      </c>
      <c r="BG51" s="683" t="s">
        <v>1302</v>
      </c>
      <c r="BH51" s="730">
        <v>2.3749999999999997E-2</v>
      </c>
      <c r="BI51" s="681">
        <v>11</v>
      </c>
      <c r="BJ51" s="682">
        <v>1.2859877072397368</v>
      </c>
      <c r="BK51" s="683" t="s">
        <v>1302</v>
      </c>
      <c r="BL51" s="730">
        <v>2.3749999999999997E-2</v>
      </c>
      <c r="BM51" s="681">
        <v>11</v>
      </c>
      <c r="BN51" s="682">
        <v>1.2859877072397368</v>
      </c>
      <c r="BO51" s="683" t="s">
        <v>1302</v>
      </c>
      <c r="BP51" s="730">
        <v>2.3749999999999997E-2</v>
      </c>
      <c r="BQ51" s="681">
        <v>11</v>
      </c>
      <c r="BR51" s="682">
        <v>1.2859877072397368</v>
      </c>
      <c r="BS51" s="683" t="s">
        <v>1302</v>
      </c>
      <c r="BT51" s="730">
        <v>2.3749999999999997E-2</v>
      </c>
      <c r="BU51" s="681">
        <v>11</v>
      </c>
      <c r="BV51" s="682">
        <v>1.2859877072397368</v>
      </c>
      <c r="BW51" s="683" t="s">
        <v>1302</v>
      </c>
      <c r="BX51" s="684"/>
      <c r="BY51" s="680">
        <v>2.3749999999999997E-2</v>
      </c>
      <c r="BZ51" s="681">
        <v>11</v>
      </c>
      <c r="CA51" s="682">
        <v>1.2859877072397368</v>
      </c>
      <c r="CB51" s="683" t="s">
        <v>1302</v>
      </c>
      <c r="CC51" s="680">
        <v>2.3749999999999997E-2</v>
      </c>
      <c r="CD51" s="681">
        <v>1</v>
      </c>
      <c r="CE51" s="682">
        <v>1.2859877072397368</v>
      </c>
      <c r="CF51" s="684" t="s">
        <v>1302</v>
      </c>
      <c r="CG51" s="712"/>
      <c r="CH51" s="712"/>
      <c r="CI51" s="716"/>
      <c r="CJ51" s="716"/>
      <c r="CK51" s="712"/>
      <c r="CL51" s="716"/>
      <c r="CM51" s="722"/>
      <c r="CN51" s="720">
        <v>2.3749999999999997E-2</v>
      </c>
      <c r="CO51" s="723" t="s">
        <v>1124</v>
      </c>
      <c r="CP51" s="674">
        <v>3</v>
      </c>
      <c r="CQ51" s="673">
        <v>4</v>
      </c>
      <c r="CR51" s="673">
        <v>3</v>
      </c>
      <c r="CS51" s="673">
        <v>3</v>
      </c>
      <c r="CT51" s="673">
        <v>1</v>
      </c>
      <c r="CU51" s="673">
        <v>5</v>
      </c>
      <c r="CV51" s="673">
        <v>3</v>
      </c>
      <c r="CW51" s="685">
        <v>1.05</v>
      </c>
      <c r="CX51" s="686">
        <v>1.2798586482969265</v>
      </c>
      <c r="CY51" s="724">
        <v>1.2859877072397368</v>
      </c>
      <c r="CZ51" s="687" t="s">
        <v>1145</v>
      </c>
      <c r="DA51" s="688">
        <v>1.1000000000000001</v>
      </c>
      <c r="DB51" s="688">
        <v>1.1000000000000001</v>
      </c>
      <c r="DC51" s="688">
        <v>1.1000000000000001</v>
      </c>
      <c r="DD51" s="688">
        <v>1.02</v>
      </c>
      <c r="DE51" s="688">
        <v>1</v>
      </c>
      <c r="DF51" s="688">
        <v>1.2</v>
      </c>
      <c r="DI51" s="725"/>
      <c r="DJ51" s="725"/>
    </row>
    <row r="52" spans="1:114" ht="24">
      <c r="A52" s="2">
        <v>2929</v>
      </c>
      <c r="B52" s="37" t="s">
        <v>525</v>
      </c>
      <c r="C52" s="151" t="s">
        <v>525</v>
      </c>
      <c r="D52" s="152" t="s">
        <v>526</v>
      </c>
      <c r="E52" s="153" t="s">
        <v>402</v>
      </c>
      <c r="F52" s="144" t="s">
        <v>1086</v>
      </c>
      <c r="G52" s="125" t="s">
        <v>521</v>
      </c>
      <c r="H52" s="154" t="s">
        <v>402</v>
      </c>
      <c r="I52" s="123" t="s">
        <v>402</v>
      </c>
      <c r="J52" s="124">
        <v>0</v>
      </c>
      <c r="K52" s="125" t="s">
        <v>395</v>
      </c>
      <c r="L52" s="728">
        <v>8.8125</v>
      </c>
      <c r="M52" s="29">
        <v>1</v>
      </c>
      <c r="N52" s="1">
        <v>1.2434566510799234</v>
      </c>
      <c r="O52" s="139" t="s">
        <v>1308</v>
      </c>
      <c r="P52" s="728">
        <v>8.8125</v>
      </c>
      <c r="Q52" s="29">
        <v>1</v>
      </c>
      <c r="R52" s="1">
        <v>1.2434566510799234</v>
      </c>
      <c r="S52" s="139" t="s">
        <v>1308</v>
      </c>
      <c r="T52" s="728">
        <v>8.8125</v>
      </c>
      <c r="U52" s="29">
        <v>1</v>
      </c>
      <c r="V52" s="1">
        <v>1.2434566510799234</v>
      </c>
      <c r="W52" s="139" t="s">
        <v>1308</v>
      </c>
      <c r="X52" s="728">
        <v>8.8125</v>
      </c>
      <c r="Y52" s="29">
        <v>1</v>
      </c>
      <c r="Z52" s="1">
        <v>1.2434566510799234</v>
      </c>
      <c r="AA52" s="139" t="s">
        <v>1308</v>
      </c>
      <c r="AB52" s="728">
        <v>8.8125</v>
      </c>
      <c r="AC52" s="29">
        <v>1</v>
      </c>
      <c r="AD52" s="1">
        <v>1.2434566510799234</v>
      </c>
      <c r="AE52" s="139" t="s">
        <v>1308</v>
      </c>
      <c r="AF52" s="728">
        <v>8.8125</v>
      </c>
      <c r="AG52" s="29">
        <v>1</v>
      </c>
      <c r="AH52" s="1">
        <v>1.2434566510799234</v>
      </c>
      <c r="AI52" s="139" t="s">
        <v>1308</v>
      </c>
      <c r="AJ52" s="729">
        <v>8.8125</v>
      </c>
      <c r="AK52" s="29">
        <v>1</v>
      </c>
      <c r="AL52" s="1">
        <v>1.2434566510799234</v>
      </c>
      <c r="AM52" s="139" t="s">
        <v>1308</v>
      </c>
      <c r="AN52" s="728">
        <v>8.8125</v>
      </c>
      <c r="AO52" s="29">
        <v>1</v>
      </c>
      <c r="AP52" s="1">
        <v>1.2434566510799234</v>
      </c>
      <c r="AQ52" s="139" t="s">
        <v>1308</v>
      </c>
      <c r="AR52" s="728">
        <v>8.8125</v>
      </c>
      <c r="AS52" s="29">
        <v>1</v>
      </c>
      <c r="AT52" s="1">
        <v>1.2434566510799234</v>
      </c>
      <c r="AU52" s="139" t="s">
        <v>1308</v>
      </c>
      <c r="AV52" s="728">
        <v>8.8125</v>
      </c>
      <c r="AW52" s="29">
        <v>1</v>
      </c>
      <c r="AX52" s="1">
        <v>1.2434566510799234</v>
      </c>
      <c r="AY52" s="139" t="s">
        <v>1308</v>
      </c>
      <c r="AZ52" s="728">
        <v>8.8125</v>
      </c>
      <c r="BA52" s="29">
        <v>1</v>
      </c>
      <c r="BB52" s="1">
        <v>1.2434566510799234</v>
      </c>
      <c r="BC52" s="139" t="s">
        <v>1308</v>
      </c>
      <c r="BD52" s="728">
        <v>8.8125</v>
      </c>
      <c r="BE52" s="29">
        <v>1</v>
      </c>
      <c r="BF52" s="1">
        <v>1.2434566510799234</v>
      </c>
      <c r="BG52" s="139" t="s">
        <v>1308</v>
      </c>
      <c r="BH52" s="728">
        <v>8.8125</v>
      </c>
      <c r="BI52" s="29">
        <v>1</v>
      </c>
      <c r="BJ52" s="1">
        <v>1.2434566510799234</v>
      </c>
      <c r="BK52" s="139" t="s">
        <v>1308</v>
      </c>
      <c r="BL52" s="728">
        <v>8.8125</v>
      </c>
      <c r="BM52" s="29">
        <v>1</v>
      </c>
      <c r="BN52" s="1">
        <v>1.2434566510799234</v>
      </c>
      <c r="BO52" s="139" t="s">
        <v>1308</v>
      </c>
      <c r="BP52" s="728">
        <v>8.8125</v>
      </c>
      <c r="BQ52" s="29">
        <v>1</v>
      </c>
      <c r="BR52" s="1">
        <v>1.2434566510799234</v>
      </c>
      <c r="BS52" s="139" t="s">
        <v>1308</v>
      </c>
      <c r="BT52" s="728">
        <v>8.8125</v>
      </c>
      <c r="BU52" s="29">
        <v>1</v>
      </c>
      <c r="BV52" s="1">
        <v>1.2434566510799234</v>
      </c>
      <c r="BW52" s="139" t="s">
        <v>1308</v>
      </c>
      <c r="BX52" s="31"/>
      <c r="BY52" s="155">
        <v>8.8125</v>
      </c>
      <c r="BZ52" s="29">
        <v>1</v>
      </c>
      <c r="CA52" s="1">
        <v>1.2434566510799234</v>
      </c>
      <c r="CB52" s="139" t="s">
        <v>1308</v>
      </c>
      <c r="CC52" s="155">
        <v>8.8125</v>
      </c>
      <c r="CD52" s="29">
        <v>1</v>
      </c>
      <c r="CE52" s="1">
        <v>1.2434566510799234</v>
      </c>
      <c r="CF52" s="31" t="s">
        <v>1308</v>
      </c>
      <c r="CG52" s="253">
        <v>10.079382966468836</v>
      </c>
      <c r="CH52" s="253"/>
      <c r="CI52" s="182">
        <v>11.520000000000001</v>
      </c>
      <c r="CJ52" s="182"/>
      <c r="CK52" s="253"/>
      <c r="CL52" s="182">
        <v>252358.30491428575</v>
      </c>
      <c r="CM52" s="259">
        <v>15.09375</v>
      </c>
      <c r="CN52" s="694">
        <v>8.8125</v>
      </c>
      <c r="CO52" s="115" t="s">
        <v>1124</v>
      </c>
      <c r="CP52" s="272">
        <v>1</v>
      </c>
      <c r="CQ52" s="272">
        <v>4</v>
      </c>
      <c r="CR52" s="272">
        <v>1</v>
      </c>
      <c r="CS52" s="272">
        <v>3</v>
      </c>
      <c r="CT52" s="272">
        <v>3</v>
      </c>
      <c r="CU52" s="272">
        <v>3</v>
      </c>
      <c r="CV52" s="50">
        <v>3</v>
      </c>
      <c r="CW52" s="51">
        <v>1.05</v>
      </c>
      <c r="CX52" s="87">
        <v>1.2365959919080913</v>
      </c>
      <c r="CY52" s="88">
        <v>1.2434566510799234</v>
      </c>
      <c r="CZ52" s="89" t="s">
        <v>1309</v>
      </c>
      <c r="DA52" s="52">
        <v>1</v>
      </c>
      <c r="DB52" s="52">
        <v>1.1000000000000001</v>
      </c>
      <c r="DC52" s="52">
        <v>1</v>
      </c>
      <c r="DD52" s="52">
        <v>1.02</v>
      </c>
      <c r="DE52" s="52">
        <v>1.2</v>
      </c>
      <c r="DF52" s="52">
        <v>1.05</v>
      </c>
      <c r="DH52" s="7">
        <v>0</v>
      </c>
    </row>
    <row r="53" spans="1:114" ht="24">
      <c r="A53" s="156">
        <v>992</v>
      </c>
      <c r="B53" s="37" t="s">
        <v>525</v>
      </c>
      <c r="C53" s="151" t="s">
        <v>525</v>
      </c>
      <c r="D53" s="152" t="s">
        <v>526</v>
      </c>
      <c r="E53" s="153" t="s">
        <v>402</v>
      </c>
      <c r="F53" s="144" t="s">
        <v>1085</v>
      </c>
      <c r="G53" s="125" t="s">
        <v>521</v>
      </c>
      <c r="H53" s="154" t="s">
        <v>402</v>
      </c>
      <c r="I53" s="123" t="s">
        <v>402</v>
      </c>
      <c r="J53" s="124">
        <v>0</v>
      </c>
      <c r="K53" s="125" t="s">
        <v>395</v>
      </c>
      <c r="L53" s="728">
        <v>0.10249999999999999</v>
      </c>
      <c r="M53" s="29">
        <v>1</v>
      </c>
      <c r="N53" s="1">
        <v>1.1267298112245603</v>
      </c>
      <c r="O53" s="139" t="s">
        <v>1304</v>
      </c>
      <c r="P53" s="728">
        <v>0.10249999999999999</v>
      </c>
      <c r="Q53" s="29">
        <v>1</v>
      </c>
      <c r="R53" s="1">
        <v>1.1267298112245603</v>
      </c>
      <c r="S53" s="139" t="s">
        <v>1304</v>
      </c>
      <c r="T53" s="728">
        <v>0.10249999999999999</v>
      </c>
      <c r="U53" s="29">
        <v>1</v>
      </c>
      <c r="V53" s="1">
        <v>1.1267298112245603</v>
      </c>
      <c r="W53" s="139" t="s">
        <v>1304</v>
      </c>
      <c r="X53" s="728">
        <v>0.10249999999999999</v>
      </c>
      <c r="Y53" s="29">
        <v>1</v>
      </c>
      <c r="Z53" s="1">
        <v>1.1267298112245603</v>
      </c>
      <c r="AA53" s="139" t="s">
        <v>1304</v>
      </c>
      <c r="AB53" s="728">
        <v>0.10249999999999999</v>
      </c>
      <c r="AC53" s="29">
        <v>1</v>
      </c>
      <c r="AD53" s="1">
        <v>1.1267298112245603</v>
      </c>
      <c r="AE53" s="139" t="s">
        <v>1304</v>
      </c>
      <c r="AF53" s="728">
        <v>0.10249999999999999</v>
      </c>
      <c r="AG53" s="29">
        <v>1</v>
      </c>
      <c r="AH53" s="1">
        <v>1.1267298112245603</v>
      </c>
      <c r="AI53" s="139" t="s">
        <v>1304</v>
      </c>
      <c r="AJ53" s="729">
        <v>0.10249999999999999</v>
      </c>
      <c r="AK53" s="29">
        <v>1</v>
      </c>
      <c r="AL53" s="1">
        <v>1.1267298112245603</v>
      </c>
      <c r="AM53" s="139" t="s">
        <v>1304</v>
      </c>
      <c r="AN53" s="728">
        <v>0.10249999999999999</v>
      </c>
      <c r="AO53" s="29">
        <v>1</v>
      </c>
      <c r="AP53" s="1">
        <v>1.1267298112245603</v>
      </c>
      <c r="AQ53" s="139" t="s">
        <v>1304</v>
      </c>
      <c r="AR53" s="728">
        <v>0.10249999999999999</v>
      </c>
      <c r="AS53" s="29">
        <v>1</v>
      </c>
      <c r="AT53" s="1">
        <v>1.1267298112245603</v>
      </c>
      <c r="AU53" s="139" t="s">
        <v>1304</v>
      </c>
      <c r="AV53" s="728">
        <v>0.10249999999999999</v>
      </c>
      <c r="AW53" s="29">
        <v>1</v>
      </c>
      <c r="AX53" s="1">
        <v>1.1267298112245603</v>
      </c>
      <c r="AY53" s="139" t="s">
        <v>1304</v>
      </c>
      <c r="AZ53" s="728">
        <v>0.10249999999999999</v>
      </c>
      <c r="BA53" s="29">
        <v>1</v>
      </c>
      <c r="BB53" s="1">
        <v>1.1267298112245603</v>
      </c>
      <c r="BC53" s="139" t="s">
        <v>1304</v>
      </c>
      <c r="BD53" s="728">
        <v>0.10249999999999999</v>
      </c>
      <c r="BE53" s="29">
        <v>1</v>
      </c>
      <c r="BF53" s="1">
        <v>1.1267298112245603</v>
      </c>
      <c r="BG53" s="139" t="s">
        <v>1304</v>
      </c>
      <c r="BH53" s="728">
        <v>0.10249999999999999</v>
      </c>
      <c r="BI53" s="29">
        <v>1</v>
      </c>
      <c r="BJ53" s="1">
        <v>1.1267298112245603</v>
      </c>
      <c r="BK53" s="139" t="s">
        <v>1304</v>
      </c>
      <c r="BL53" s="728">
        <v>0.10249999999999999</v>
      </c>
      <c r="BM53" s="29">
        <v>1</v>
      </c>
      <c r="BN53" s="1">
        <v>1.1267298112245603</v>
      </c>
      <c r="BO53" s="139" t="s">
        <v>1304</v>
      </c>
      <c r="BP53" s="728">
        <v>0.10249999999999999</v>
      </c>
      <c r="BQ53" s="29">
        <v>1</v>
      </c>
      <c r="BR53" s="1">
        <v>1.1267298112245603</v>
      </c>
      <c r="BS53" s="139" t="s">
        <v>1304</v>
      </c>
      <c r="BT53" s="728">
        <v>0.10249999999999999</v>
      </c>
      <c r="BU53" s="29">
        <v>1</v>
      </c>
      <c r="BV53" s="1">
        <v>1.1267298112245603</v>
      </c>
      <c r="BW53" s="139" t="s">
        <v>1304</v>
      </c>
      <c r="BX53" s="31"/>
      <c r="BY53" s="155">
        <v>0.10249999999999999</v>
      </c>
      <c r="BZ53" s="29">
        <v>1</v>
      </c>
      <c r="CA53" s="1">
        <v>1.1267298112245603</v>
      </c>
      <c r="CB53" s="139" t="s">
        <v>1304</v>
      </c>
      <c r="CC53" s="155">
        <v>0.10249999999999999</v>
      </c>
      <c r="CD53" s="29">
        <v>1</v>
      </c>
      <c r="CE53" s="1">
        <v>1.1267298112245603</v>
      </c>
      <c r="CF53" s="31" t="s">
        <v>1304</v>
      </c>
      <c r="CG53" s="253">
        <v>0.11268875366238448</v>
      </c>
      <c r="CH53" s="253"/>
      <c r="CI53" s="182">
        <v>5.4779255252548016E-2</v>
      </c>
      <c r="CJ53" s="182"/>
      <c r="CK53" s="253"/>
      <c r="CL53" s="182">
        <v>1200</v>
      </c>
      <c r="CM53" s="259">
        <v>0.23624999999999999</v>
      </c>
      <c r="CN53" s="694">
        <v>0.10249999999999999</v>
      </c>
      <c r="CO53" s="115" t="s">
        <v>1124</v>
      </c>
      <c r="CP53" s="272">
        <v>1</v>
      </c>
      <c r="CQ53" s="272">
        <v>4</v>
      </c>
      <c r="CR53" s="272">
        <v>1</v>
      </c>
      <c r="CS53" s="272">
        <v>3</v>
      </c>
      <c r="CT53" s="272">
        <v>1</v>
      </c>
      <c r="CU53" s="272">
        <v>3</v>
      </c>
      <c r="CV53" s="50">
        <v>3</v>
      </c>
      <c r="CW53" s="51">
        <v>1.05</v>
      </c>
      <c r="CX53" s="87">
        <v>1.1150377561073679</v>
      </c>
      <c r="CY53" s="88">
        <v>1.1267298112245603</v>
      </c>
      <c r="CZ53" s="89" t="s">
        <v>1305</v>
      </c>
      <c r="DA53" s="52">
        <v>1</v>
      </c>
      <c r="DB53" s="52">
        <v>1.1000000000000001</v>
      </c>
      <c r="DC53" s="52">
        <v>1</v>
      </c>
      <c r="DD53" s="52">
        <v>1.02</v>
      </c>
      <c r="DE53" s="52">
        <v>1</v>
      </c>
      <c r="DF53" s="52">
        <v>1.05</v>
      </c>
    </row>
    <row r="54" spans="1:114" ht="24">
      <c r="A54" s="2">
        <v>3822</v>
      </c>
      <c r="B54" s="37" t="s">
        <v>525</v>
      </c>
      <c r="C54" s="151" t="s">
        <v>525</v>
      </c>
      <c r="D54" s="152" t="s">
        <v>526</v>
      </c>
      <c r="E54" s="153" t="s">
        <v>402</v>
      </c>
      <c r="F54" s="144" t="s">
        <v>1310</v>
      </c>
      <c r="G54" s="125" t="s">
        <v>521</v>
      </c>
      <c r="H54" s="154" t="s">
        <v>402</v>
      </c>
      <c r="I54" s="123" t="s">
        <v>402</v>
      </c>
      <c r="J54" s="124">
        <v>0</v>
      </c>
      <c r="K54" s="125" t="s">
        <v>395</v>
      </c>
      <c r="L54" s="728">
        <v>0.29499999999999998</v>
      </c>
      <c r="M54" s="29">
        <v>1</v>
      </c>
      <c r="N54" s="1">
        <v>1.1267298112245603</v>
      </c>
      <c r="O54" s="139" t="s">
        <v>1304</v>
      </c>
      <c r="P54" s="728">
        <v>0.29499999999999998</v>
      </c>
      <c r="Q54" s="29">
        <v>1</v>
      </c>
      <c r="R54" s="1">
        <v>1.1267298112245603</v>
      </c>
      <c r="S54" s="139" t="s">
        <v>1304</v>
      </c>
      <c r="T54" s="728">
        <v>0.29499999999999998</v>
      </c>
      <c r="U54" s="29">
        <v>1</v>
      </c>
      <c r="V54" s="1">
        <v>1.1267298112245603</v>
      </c>
      <c r="W54" s="139" t="s">
        <v>1304</v>
      </c>
      <c r="X54" s="728">
        <v>0.29499999999999998</v>
      </c>
      <c r="Y54" s="29">
        <v>1</v>
      </c>
      <c r="Z54" s="1">
        <v>1.1267298112245603</v>
      </c>
      <c r="AA54" s="139" t="s">
        <v>1304</v>
      </c>
      <c r="AB54" s="728">
        <v>0.29499999999999998</v>
      </c>
      <c r="AC54" s="29">
        <v>1</v>
      </c>
      <c r="AD54" s="1">
        <v>1.1267298112245603</v>
      </c>
      <c r="AE54" s="139" t="s">
        <v>1304</v>
      </c>
      <c r="AF54" s="728">
        <v>0.29499999999999998</v>
      </c>
      <c r="AG54" s="29">
        <v>1</v>
      </c>
      <c r="AH54" s="1">
        <v>1.1267298112245603</v>
      </c>
      <c r="AI54" s="139" t="s">
        <v>1304</v>
      </c>
      <c r="AJ54" s="729">
        <v>0.29499999999999998</v>
      </c>
      <c r="AK54" s="29">
        <v>1</v>
      </c>
      <c r="AL54" s="1">
        <v>1.1267298112245603</v>
      </c>
      <c r="AM54" s="139" t="s">
        <v>1304</v>
      </c>
      <c r="AN54" s="728">
        <v>0.29499999999999998</v>
      </c>
      <c r="AO54" s="29">
        <v>1</v>
      </c>
      <c r="AP54" s="1">
        <v>1.1267298112245603</v>
      </c>
      <c r="AQ54" s="139" t="s">
        <v>1304</v>
      </c>
      <c r="AR54" s="728">
        <v>0.29499999999999998</v>
      </c>
      <c r="AS54" s="29">
        <v>1</v>
      </c>
      <c r="AT54" s="1">
        <v>1.1267298112245603</v>
      </c>
      <c r="AU54" s="139" t="s">
        <v>1304</v>
      </c>
      <c r="AV54" s="728">
        <v>0.29499999999999998</v>
      </c>
      <c r="AW54" s="29">
        <v>1</v>
      </c>
      <c r="AX54" s="1">
        <v>1.1267298112245603</v>
      </c>
      <c r="AY54" s="139" t="s">
        <v>1304</v>
      </c>
      <c r="AZ54" s="728">
        <v>0.29499999999999998</v>
      </c>
      <c r="BA54" s="29">
        <v>1</v>
      </c>
      <c r="BB54" s="1">
        <v>1.1267298112245603</v>
      </c>
      <c r="BC54" s="139" t="s">
        <v>1304</v>
      </c>
      <c r="BD54" s="728">
        <v>0.29499999999999998</v>
      </c>
      <c r="BE54" s="29">
        <v>1</v>
      </c>
      <c r="BF54" s="1">
        <v>1.1267298112245603</v>
      </c>
      <c r="BG54" s="139" t="s">
        <v>1304</v>
      </c>
      <c r="BH54" s="728">
        <v>0.29499999999999998</v>
      </c>
      <c r="BI54" s="29">
        <v>1</v>
      </c>
      <c r="BJ54" s="1">
        <v>1.1267298112245603</v>
      </c>
      <c r="BK54" s="139" t="s">
        <v>1304</v>
      </c>
      <c r="BL54" s="728">
        <v>0.29499999999999998</v>
      </c>
      <c r="BM54" s="29">
        <v>1</v>
      </c>
      <c r="BN54" s="1">
        <v>1.1267298112245603</v>
      </c>
      <c r="BO54" s="139" t="s">
        <v>1304</v>
      </c>
      <c r="BP54" s="728">
        <v>0.29499999999999998</v>
      </c>
      <c r="BQ54" s="29">
        <v>1</v>
      </c>
      <c r="BR54" s="1">
        <v>1.1267298112245603</v>
      </c>
      <c r="BS54" s="139" t="s">
        <v>1304</v>
      </c>
      <c r="BT54" s="728">
        <v>0.29499999999999998</v>
      </c>
      <c r="BU54" s="29">
        <v>1</v>
      </c>
      <c r="BV54" s="1">
        <v>1.1267298112245603</v>
      </c>
      <c r="BW54" s="139" t="s">
        <v>1304</v>
      </c>
      <c r="BX54" s="31"/>
      <c r="BY54" s="155">
        <v>0.29499999999999998</v>
      </c>
      <c r="BZ54" s="29">
        <v>1</v>
      </c>
      <c r="CA54" s="1">
        <v>1.1267298112245603</v>
      </c>
      <c r="CB54" s="139" t="s">
        <v>1304</v>
      </c>
      <c r="CC54" s="155">
        <v>0.29499999999999998</v>
      </c>
      <c r="CD54" s="29">
        <v>1</v>
      </c>
      <c r="CE54" s="1">
        <v>1.1267298112245603</v>
      </c>
      <c r="CF54" s="31" t="s">
        <v>1304</v>
      </c>
      <c r="CG54" s="253">
        <v>0.18781458943730747</v>
      </c>
      <c r="CH54" s="253"/>
      <c r="CI54" s="182">
        <v>0</v>
      </c>
      <c r="CJ54" s="182"/>
      <c r="CK54" s="253"/>
      <c r="CL54" s="182"/>
      <c r="CM54" s="259">
        <v>2.75625E-2</v>
      </c>
      <c r="CN54" s="694">
        <v>0.29499999999999998</v>
      </c>
      <c r="CO54" s="115" t="s">
        <v>1124</v>
      </c>
      <c r="CP54" s="272">
        <v>1</v>
      </c>
      <c r="CQ54" s="272">
        <v>4</v>
      </c>
      <c r="CR54" s="272">
        <v>1</v>
      </c>
      <c r="CS54" s="272">
        <v>3</v>
      </c>
      <c r="CT54" s="272">
        <v>1</v>
      </c>
      <c r="CU54" s="272">
        <v>3</v>
      </c>
      <c r="CV54" s="50">
        <v>3</v>
      </c>
      <c r="CW54" s="51">
        <v>1.05</v>
      </c>
      <c r="CX54" s="87">
        <v>1.1150377561073679</v>
      </c>
      <c r="CY54" s="88">
        <v>1.1267298112245603</v>
      </c>
      <c r="CZ54" s="89" t="s">
        <v>1305</v>
      </c>
      <c r="DA54" s="52">
        <v>1</v>
      </c>
      <c r="DB54" s="52">
        <v>1.1000000000000001</v>
      </c>
      <c r="DC54" s="52">
        <v>1</v>
      </c>
      <c r="DD54" s="52">
        <v>1.02</v>
      </c>
      <c r="DE54" s="52">
        <v>1</v>
      </c>
      <c r="DF54" s="52">
        <v>1.05</v>
      </c>
    </row>
    <row r="55" spans="1:114" ht="24">
      <c r="A55" s="2">
        <v>1212</v>
      </c>
      <c r="B55" s="37" t="s">
        <v>525</v>
      </c>
      <c r="C55" s="151" t="s">
        <v>525</v>
      </c>
      <c r="D55" s="152" t="s">
        <v>526</v>
      </c>
      <c r="E55" s="153" t="s">
        <v>402</v>
      </c>
      <c r="F55" s="144" t="s">
        <v>1092</v>
      </c>
      <c r="G55" s="125" t="s">
        <v>521</v>
      </c>
      <c r="H55" s="154" t="s">
        <v>402</v>
      </c>
      <c r="I55" s="123" t="s">
        <v>402</v>
      </c>
      <c r="J55" s="124">
        <v>0</v>
      </c>
      <c r="K55" s="125" t="s">
        <v>395</v>
      </c>
      <c r="L55" s="728">
        <v>0.87499999999999989</v>
      </c>
      <c r="M55" s="29">
        <v>1</v>
      </c>
      <c r="N55" s="1">
        <v>1.1267298112245603</v>
      </c>
      <c r="O55" s="139" t="s">
        <v>1304</v>
      </c>
      <c r="P55" s="728">
        <v>0.87499999999999989</v>
      </c>
      <c r="Q55" s="29">
        <v>1</v>
      </c>
      <c r="R55" s="1">
        <v>1.1267298112245603</v>
      </c>
      <c r="S55" s="139" t="s">
        <v>1304</v>
      </c>
      <c r="T55" s="728">
        <v>0.87499999999999989</v>
      </c>
      <c r="U55" s="29">
        <v>1</v>
      </c>
      <c r="V55" s="1">
        <v>1.1267298112245603</v>
      </c>
      <c r="W55" s="139" t="s">
        <v>1304</v>
      </c>
      <c r="X55" s="728">
        <v>0.87499999999999989</v>
      </c>
      <c r="Y55" s="29">
        <v>1</v>
      </c>
      <c r="Z55" s="1">
        <v>1.1267298112245603</v>
      </c>
      <c r="AA55" s="139" t="s">
        <v>1304</v>
      </c>
      <c r="AB55" s="728">
        <v>0.87499999999999989</v>
      </c>
      <c r="AC55" s="29">
        <v>1</v>
      </c>
      <c r="AD55" s="1">
        <v>1.1267298112245603</v>
      </c>
      <c r="AE55" s="139" t="s">
        <v>1304</v>
      </c>
      <c r="AF55" s="728">
        <v>0.87499999999999989</v>
      </c>
      <c r="AG55" s="29">
        <v>1</v>
      </c>
      <c r="AH55" s="1">
        <v>1.1267298112245603</v>
      </c>
      <c r="AI55" s="139" t="s">
        <v>1304</v>
      </c>
      <c r="AJ55" s="729">
        <v>0.87499999999999989</v>
      </c>
      <c r="AK55" s="29">
        <v>1</v>
      </c>
      <c r="AL55" s="1">
        <v>1.1267298112245603</v>
      </c>
      <c r="AM55" s="139" t="s">
        <v>1304</v>
      </c>
      <c r="AN55" s="728">
        <v>0.87499999999999989</v>
      </c>
      <c r="AO55" s="29">
        <v>1</v>
      </c>
      <c r="AP55" s="1">
        <v>1.1267298112245603</v>
      </c>
      <c r="AQ55" s="139" t="s">
        <v>1304</v>
      </c>
      <c r="AR55" s="728">
        <v>0.87499999999999989</v>
      </c>
      <c r="AS55" s="29">
        <v>1</v>
      </c>
      <c r="AT55" s="1">
        <v>1.1267298112245603</v>
      </c>
      <c r="AU55" s="139" t="s">
        <v>1304</v>
      </c>
      <c r="AV55" s="728">
        <v>0.87499999999999989</v>
      </c>
      <c r="AW55" s="29">
        <v>1</v>
      </c>
      <c r="AX55" s="1">
        <v>1.1267298112245603</v>
      </c>
      <c r="AY55" s="139" t="s">
        <v>1304</v>
      </c>
      <c r="AZ55" s="728">
        <v>0.87499999999999989</v>
      </c>
      <c r="BA55" s="29">
        <v>1</v>
      </c>
      <c r="BB55" s="1">
        <v>1.1267298112245603</v>
      </c>
      <c r="BC55" s="139" t="s">
        <v>1304</v>
      </c>
      <c r="BD55" s="728">
        <v>0.87499999999999989</v>
      </c>
      <c r="BE55" s="29">
        <v>1</v>
      </c>
      <c r="BF55" s="1">
        <v>1.1267298112245603</v>
      </c>
      <c r="BG55" s="139" t="s">
        <v>1304</v>
      </c>
      <c r="BH55" s="728">
        <v>0.87499999999999989</v>
      </c>
      <c r="BI55" s="29">
        <v>1</v>
      </c>
      <c r="BJ55" s="1">
        <v>1.1267298112245603</v>
      </c>
      <c r="BK55" s="139" t="s">
        <v>1304</v>
      </c>
      <c r="BL55" s="728">
        <v>0.87499999999999989</v>
      </c>
      <c r="BM55" s="29">
        <v>1</v>
      </c>
      <c r="BN55" s="1">
        <v>1.1267298112245603</v>
      </c>
      <c r="BO55" s="139" t="s">
        <v>1304</v>
      </c>
      <c r="BP55" s="728">
        <v>0.87499999999999989</v>
      </c>
      <c r="BQ55" s="29">
        <v>1</v>
      </c>
      <c r="BR55" s="1">
        <v>1.1267298112245603</v>
      </c>
      <c r="BS55" s="139" t="s">
        <v>1304</v>
      </c>
      <c r="BT55" s="728">
        <v>0.87499999999999989</v>
      </c>
      <c r="BU55" s="29">
        <v>1</v>
      </c>
      <c r="BV55" s="1">
        <v>1.1267298112245603</v>
      </c>
      <c r="BW55" s="139" t="s">
        <v>1304</v>
      </c>
      <c r="BX55" s="31"/>
      <c r="BY55" s="155">
        <v>0.87499999999999989</v>
      </c>
      <c r="BZ55" s="29">
        <v>1</v>
      </c>
      <c r="CA55" s="1">
        <v>1.1267298112245603</v>
      </c>
      <c r="CB55" s="139" t="s">
        <v>1304</v>
      </c>
      <c r="CC55" s="155">
        <v>0.87499999999999989</v>
      </c>
      <c r="CD55" s="29">
        <v>1</v>
      </c>
      <c r="CE55" s="1">
        <v>1.1267298112245603</v>
      </c>
      <c r="CF55" s="31" t="s">
        <v>1304</v>
      </c>
      <c r="CG55" s="253">
        <v>1.0016778103323065</v>
      </c>
      <c r="CH55" s="253"/>
      <c r="CI55" s="182">
        <v>0.91298758754246689</v>
      </c>
      <c r="CJ55" s="182"/>
      <c r="CK55" s="253"/>
      <c r="CL55" s="182">
        <v>20000</v>
      </c>
      <c r="CM55" s="259">
        <v>1.4568749999999999</v>
      </c>
      <c r="CN55" s="694">
        <v>0.87499999999999989</v>
      </c>
      <c r="CO55" s="115" t="s">
        <v>1124</v>
      </c>
      <c r="CP55" s="272">
        <v>1</v>
      </c>
      <c r="CQ55" s="272">
        <v>4</v>
      </c>
      <c r="CR55" s="272">
        <v>1</v>
      </c>
      <c r="CS55" s="272">
        <v>3</v>
      </c>
      <c r="CT55" s="272">
        <v>1</v>
      </c>
      <c r="CU55" s="272">
        <v>3</v>
      </c>
      <c r="CV55" s="50">
        <v>3</v>
      </c>
      <c r="CW55" s="51">
        <v>1.05</v>
      </c>
      <c r="CX55" s="87">
        <v>1.1150377561073679</v>
      </c>
      <c r="CY55" s="88">
        <v>1.1267298112245603</v>
      </c>
      <c r="CZ55" s="89" t="s">
        <v>1305</v>
      </c>
      <c r="DA55" s="52">
        <v>1</v>
      </c>
      <c r="DB55" s="52">
        <v>1.1000000000000001</v>
      </c>
      <c r="DC55" s="52">
        <v>1</v>
      </c>
      <c r="DD55" s="52">
        <v>1.02</v>
      </c>
      <c r="DE55" s="52">
        <v>1</v>
      </c>
      <c r="DF55" s="52">
        <v>1.05</v>
      </c>
    </row>
    <row r="56" spans="1:114" ht="24">
      <c r="A56" s="226">
        <v>32127</v>
      </c>
      <c r="B56" s="37" t="s">
        <v>525</v>
      </c>
      <c r="C56" s="151" t="s">
        <v>525</v>
      </c>
      <c r="D56" s="152" t="s">
        <v>526</v>
      </c>
      <c r="E56" s="153" t="s">
        <v>402</v>
      </c>
      <c r="F56" s="144" t="s">
        <v>1093</v>
      </c>
      <c r="G56" s="125" t="s">
        <v>465</v>
      </c>
      <c r="H56" s="154" t="s">
        <v>402</v>
      </c>
      <c r="I56" s="123" t="s">
        <v>402</v>
      </c>
      <c r="J56" s="124">
        <v>0</v>
      </c>
      <c r="K56" s="125" t="s">
        <v>395</v>
      </c>
      <c r="L56" s="728">
        <v>0.11187499999999999</v>
      </c>
      <c r="M56" s="29">
        <v>1</v>
      </c>
      <c r="N56" s="1">
        <v>1.1267298112245603</v>
      </c>
      <c r="O56" s="139" t="s">
        <v>1304</v>
      </c>
      <c r="P56" s="728">
        <v>0.11187499999999999</v>
      </c>
      <c r="Q56" s="29">
        <v>1</v>
      </c>
      <c r="R56" s="1">
        <v>1.1267298112245603</v>
      </c>
      <c r="S56" s="139" t="s">
        <v>1304</v>
      </c>
      <c r="T56" s="728">
        <v>0.11187499999999999</v>
      </c>
      <c r="U56" s="29">
        <v>1</v>
      </c>
      <c r="V56" s="1">
        <v>1.1267298112245603</v>
      </c>
      <c r="W56" s="139" t="s">
        <v>1304</v>
      </c>
      <c r="X56" s="728">
        <v>0.11187499999999999</v>
      </c>
      <c r="Y56" s="29">
        <v>1</v>
      </c>
      <c r="Z56" s="1">
        <v>1.1267298112245603</v>
      </c>
      <c r="AA56" s="139" t="s">
        <v>1304</v>
      </c>
      <c r="AB56" s="728">
        <v>0.11187499999999999</v>
      </c>
      <c r="AC56" s="29">
        <v>1</v>
      </c>
      <c r="AD56" s="1">
        <v>1.1267298112245603</v>
      </c>
      <c r="AE56" s="139" t="s">
        <v>1304</v>
      </c>
      <c r="AF56" s="728">
        <v>0.11187499999999999</v>
      </c>
      <c r="AG56" s="29">
        <v>1</v>
      </c>
      <c r="AH56" s="1">
        <v>1.1267298112245603</v>
      </c>
      <c r="AI56" s="139" t="s">
        <v>1304</v>
      </c>
      <c r="AJ56" s="729">
        <v>0.11187499999999999</v>
      </c>
      <c r="AK56" s="29">
        <v>1</v>
      </c>
      <c r="AL56" s="1">
        <v>1.1267298112245603</v>
      </c>
      <c r="AM56" s="139" t="s">
        <v>1304</v>
      </c>
      <c r="AN56" s="728">
        <v>0.11187499999999999</v>
      </c>
      <c r="AO56" s="29">
        <v>1</v>
      </c>
      <c r="AP56" s="1">
        <v>1.1267298112245603</v>
      </c>
      <c r="AQ56" s="139" t="s">
        <v>1304</v>
      </c>
      <c r="AR56" s="728">
        <v>0.11187499999999999</v>
      </c>
      <c r="AS56" s="29">
        <v>1</v>
      </c>
      <c r="AT56" s="1">
        <v>1.1267298112245603</v>
      </c>
      <c r="AU56" s="139" t="s">
        <v>1304</v>
      </c>
      <c r="AV56" s="728">
        <v>0.11187499999999999</v>
      </c>
      <c r="AW56" s="29">
        <v>1</v>
      </c>
      <c r="AX56" s="1">
        <v>1.1267298112245603</v>
      </c>
      <c r="AY56" s="139" t="s">
        <v>1304</v>
      </c>
      <c r="AZ56" s="728">
        <v>0.11187499999999999</v>
      </c>
      <c r="BA56" s="29">
        <v>1</v>
      </c>
      <c r="BB56" s="1">
        <v>1.1267298112245603</v>
      </c>
      <c r="BC56" s="139" t="s">
        <v>1304</v>
      </c>
      <c r="BD56" s="728">
        <v>0.11187499999999999</v>
      </c>
      <c r="BE56" s="29">
        <v>1</v>
      </c>
      <c r="BF56" s="1">
        <v>1.1267298112245603</v>
      </c>
      <c r="BG56" s="139" t="s">
        <v>1304</v>
      </c>
      <c r="BH56" s="728">
        <v>0.11187499999999999</v>
      </c>
      <c r="BI56" s="29">
        <v>1</v>
      </c>
      <c r="BJ56" s="1">
        <v>1.1267298112245603</v>
      </c>
      <c r="BK56" s="139" t="s">
        <v>1304</v>
      </c>
      <c r="BL56" s="728">
        <v>0.11187499999999999</v>
      </c>
      <c r="BM56" s="29">
        <v>1</v>
      </c>
      <c r="BN56" s="1">
        <v>1.1267298112245603</v>
      </c>
      <c r="BO56" s="139" t="s">
        <v>1304</v>
      </c>
      <c r="BP56" s="728">
        <v>0.11187499999999999</v>
      </c>
      <c r="BQ56" s="29">
        <v>1</v>
      </c>
      <c r="BR56" s="1">
        <v>1.1267298112245603</v>
      </c>
      <c r="BS56" s="139" t="s">
        <v>1304</v>
      </c>
      <c r="BT56" s="728">
        <v>0.11187499999999999</v>
      </c>
      <c r="BU56" s="29">
        <v>1</v>
      </c>
      <c r="BV56" s="1">
        <v>1.1267298112245603</v>
      </c>
      <c r="BW56" s="139" t="s">
        <v>1304</v>
      </c>
      <c r="BX56" s="31"/>
      <c r="BY56" s="155">
        <v>0.11187499999999999</v>
      </c>
      <c r="BZ56" s="29">
        <v>1</v>
      </c>
      <c r="CA56" s="1">
        <v>1.1267298112245603</v>
      </c>
      <c r="CB56" s="139" t="s">
        <v>1304</v>
      </c>
      <c r="CC56" s="155">
        <v>0.11187499999999999</v>
      </c>
      <c r="CD56" s="29">
        <v>1</v>
      </c>
      <c r="CE56" s="1">
        <v>1.1267298112245603</v>
      </c>
      <c r="CF56" s="31" t="s">
        <v>1304</v>
      </c>
      <c r="CG56" s="253">
        <v>0.11039954285714287</v>
      </c>
      <c r="CH56" s="253"/>
      <c r="CI56" s="182">
        <v>4.564937937712335E-2</v>
      </c>
      <c r="CJ56" s="182"/>
      <c r="CK56" s="253"/>
      <c r="CL56" s="182">
        <v>1000</v>
      </c>
      <c r="CM56" s="259">
        <v>7.1583750000000002E-2</v>
      </c>
      <c r="CN56" s="694">
        <v>0.11187499999999999</v>
      </c>
      <c r="CO56" s="115" t="s">
        <v>1124</v>
      </c>
      <c r="CP56" s="272">
        <v>1</v>
      </c>
      <c r="CQ56" s="272">
        <v>4</v>
      </c>
      <c r="CR56" s="272">
        <v>1</v>
      </c>
      <c r="CS56" s="272">
        <v>3</v>
      </c>
      <c r="CT56" s="272">
        <v>1</v>
      </c>
      <c r="CU56" s="272">
        <v>3</v>
      </c>
      <c r="CV56" s="50">
        <v>3</v>
      </c>
      <c r="CW56" s="51">
        <v>1.05</v>
      </c>
      <c r="CX56" s="87">
        <v>1.1150377561073679</v>
      </c>
      <c r="CY56" s="88">
        <v>1.1267298112245603</v>
      </c>
      <c r="CZ56" s="89" t="s">
        <v>1305</v>
      </c>
      <c r="DA56" s="52">
        <v>1</v>
      </c>
      <c r="DB56" s="52">
        <v>1.1000000000000001</v>
      </c>
      <c r="DC56" s="52">
        <v>1</v>
      </c>
      <c r="DD56" s="52">
        <v>1.02</v>
      </c>
      <c r="DE56" s="52">
        <v>1</v>
      </c>
      <c r="DF56" s="52">
        <v>1.05</v>
      </c>
    </row>
    <row r="57" spans="1:114" ht="24">
      <c r="A57" s="120">
        <v>1262</v>
      </c>
      <c r="B57" s="168" t="s">
        <v>525</v>
      </c>
      <c r="C57" s="151" t="s">
        <v>525</v>
      </c>
      <c r="D57" s="152" t="s">
        <v>526</v>
      </c>
      <c r="E57" s="153" t="s">
        <v>402</v>
      </c>
      <c r="F57" s="144" t="s">
        <v>1094</v>
      </c>
      <c r="G57" s="125" t="s">
        <v>521</v>
      </c>
      <c r="H57" s="154" t="s">
        <v>402</v>
      </c>
      <c r="I57" s="123" t="s">
        <v>402</v>
      </c>
      <c r="J57" s="124">
        <v>0</v>
      </c>
      <c r="K57" s="125" t="s">
        <v>395</v>
      </c>
      <c r="L57" s="728">
        <v>0.34562500000000002</v>
      </c>
      <c r="M57" s="29">
        <v>1</v>
      </c>
      <c r="N57" s="1">
        <v>1.1267298112245603</v>
      </c>
      <c r="O57" s="139" t="s">
        <v>1304</v>
      </c>
      <c r="P57" s="728">
        <v>0.34562500000000002</v>
      </c>
      <c r="Q57" s="29">
        <v>1</v>
      </c>
      <c r="R57" s="1">
        <v>1.1267298112245603</v>
      </c>
      <c r="S57" s="139" t="s">
        <v>1304</v>
      </c>
      <c r="T57" s="728">
        <v>0.34562500000000002</v>
      </c>
      <c r="U57" s="29">
        <v>1</v>
      </c>
      <c r="V57" s="1">
        <v>1.1267298112245603</v>
      </c>
      <c r="W57" s="139" t="s">
        <v>1304</v>
      </c>
      <c r="X57" s="728">
        <v>0.34562500000000002</v>
      </c>
      <c r="Y57" s="29">
        <v>1</v>
      </c>
      <c r="Z57" s="1">
        <v>1.1267298112245603</v>
      </c>
      <c r="AA57" s="139" t="s">
        <v>1304</v>
      </c>
      <c r="AB57" s="728">
        <v>0.34562500000000002</v>
      </c>
      <c r="AC57" s="29">
        <v>1</v>
      </c>
      <c r="AD57" s="1">
        <v>1.1267298112245603</v>
      </c>
      <c r="AE57" s="139" t="s">
        <v>1304</v>
      </c>
      <c r="AF57" s="728">
        <v>0.34562500000000002</v>
      </c>
      <c r="AG57" s="29">
        <v>1</v>
      </c>
      <c r="AH57" s="1">
        <v>1.1267298112245603</v>
      </c>
      <c r="AI57" s="139" t="s">
        <v>1304</v>
      </c>
      <c r="AJ57" s="729">
        <v>0.34562500000000002</v>
      </c>
      <c r="AK57" s="29">
        <v>1</v>
      </c>
      <c r="AL57" s="1">
        <v>1.1267298112245603</v>
      </c>
      <c r="AM57" s="139" t="s">
        <v>1304</v>
      </c>
      <c r="AN57" s="728">
        <v>0.34562500000000002</v>
      </c>
      <c r="AO57" s="29">
        <v>1</v>
      </c>
      <c r="AP57" s="1">
        <v>1.1267298112245603</v>
      </c>
      <c r="AQ57" s="139" t="s">
        <v>1304</v>
      </c>
      <c r="AR57" s="728">
        <v>0.34562500000000002</v>
      </c>
      <c r="AS57" s="29">
        <v>1</v>
      </c>
      <c r="AT57" s="1">
        <v>1.1267298112245603</v>
      </c>
      <c r="AU57" s="139" t="s">
        <v>1304</v>
      </c>
      <c r="AV57" s="728">
        <v>0.34562500000000002</v>
      </c>
      <c r="AW57" s="29">
        <v>1</v>
      </c>
      <c r="AX57" s="1">
        <v>1.1267298112245603</v>
      </c>
      <c r="AY57" s="139" t="s">
        <v>1304</v>
      </c>
      <c r="AZ57" s="728">
        <v>0.34562500000000002</v>
      </c>
      <c r="BA57" s="29">
        <v>1</v>
      </c>
      <c r="BB57" s="1">
        <v>1.1267298112245603</v>
      </c>
      <c r="BC57" s="139" t="s">
        <v>1304</v>
      </c>
      <c r="BD57" s="728">
        <v>0.34562500000000002</v>
      </c>
      <c r="BE57" s="29">
        <v>1</v>
      </c>
      <c r="BF57" s="1">
        <v>1.1267298112245603</v>
      </c>
      <c r="BG57" s="139" t="s">
        <v>1304</v>
      </c>
      <c r="BH57" s="728">
        <v>0.34562500000000002</v>
      </c>
      <c r="BI57" s="29">
        <v>1</v>
      </c>
      <c r="BJ57" s="1">
        <v>1.1267298112245603</v>
      </c>
      <c r="BK57" s="139" t="s">
        <v>1304</v>
      </c>
      <c r="BL57" s="728">
        <v>0.34562500000000002</v>
      </c>
      <c r="BM57" s="29">
        <v>1</v>
      </c>
      <c r="BN57" s="1">
        <v>1.1267298112245603</v>
      </c>
      <c r="BO57" s="139" t="s">
        <v>1304</v>
      </c>
      <c r="BP57" s="728">
        <v>0.34562500000000002</v>
      </c>
      <c r="BQ57" s="29">
        <v>1</v>
      </c>
      <c r="BR57" s="1">
        <v>1.1267298112245603</v>
      </c>
      <c r="BS57" s="139" t="s">
        <v>1304</v>
      </c>
      <c r="BT57" s="728">
        <v>0.34562500000000002</v>
      </c>
      <c r="BU57" s="29">
        <v>1</v>
      </c>
      <c r="BV57" s="1">
        <v>1.1267298112245603</v>
      </c>
      <c r="BW57" s="139" t="s">
        <v>1304</v>
      </c>
      <c r="BX57" s="31"/>
      <c r="BY57" s="155">
        <v>0.34562500000000002</v>
      </c>
      <c r="BZ57" s="29">
        <v>1</v>
      </c>
      <c r="CA57" s="1">
        <v>1.1267298112245603</v>
      </c>
      <c r="CB57" s="139" t="s">
        <v>1304</v>
      </c>
      <c r="CC57" s="155">
        <v>0.34562500000000002</v>
      </c>
      <c r="CD57" s="29">
        <v>1</v>
      </c>
      <c r="CE57" s="1">
        <v>1.1267298112245603</v>
      </c>
      <c r="CF57" s="31" t="s">
        <v>1304</v>
      </c>
      <c r="CG57" s="253">
        <v>0.37297142857142862</v>
      </c>
      <c r="CH57" s="253"/>
      <c r="CI57" s="182">
        <v>1.6433776575764407</v>
      </c>
      <c r="CJ57" s="182"/>
      <c r="CK57" s="253"/>
      <c r="CL57" s="182">
        <v>36000.000000000007</v>
      </c>
      <c r="CM57" s="259">
        <v>2.6249999999999999E-2</v>
      </c>
      <c r="CN57" s="694">
        <v>0.34562500000000002</v>
      </c>
      <c r="CO57" s="115" t="s">
        <v>1124</v>
      </c>
      <c r="CP57" s="272">
        <v>1</v>
      </c>
      <c r="CQ57" s="272">
        <v>4</v>
      </c>
      <c r="CR57" s="272">
        <v>1</v>
      </c>
      <c r="CS57" s="272">
        <v>3</v>
      </c>
      <c r="CT57" s="272">
        <v>1</v>
      </c>
      <c r="CU57" s="272">
        <v>3</v>
      </c>
      <c r="CV57" s="50">
        <v>3</v>
      </c>
      <c r="CW57" s="51">
        <v>1.05</v>
      </c>
      <c r="CX57" s="87">
        <v>1.1150377561073679</v>
      </c>
      <c r="CY57" s="88">
        <v>1.1267298112245603</v>
      </c>
      <c r="CZ57" s="89" t="s">
        <v>1305</v>
      </c>
      <c r="DA57" s="52">
        <v>1</v>
      </c>
      <c r="DB57" s="52">
        <v>1.1000000000000001</v>
      </c>
      <c r="DC57" s="52">
        <v>1</v>
      </c>
      <c r="DD57" s="52">
        <v>1.02</v>
      </c>
      <c r="DE57" s="52">
        <v>1</v>
      </c>
      <c r="DF57" s="52">
        <v>1.05</v>
      </c>
    </row>
    <row r="58" spans="1:114" ht="24">
      <c r="A58" s="2">
        <v>3819</v>
      </c>
      <c r="B58" s="37" t="s">
        <v>525</v>
      </c>
      <c r="C58" s="151" t="s">
        <v>525</v>
      </c>
      <c r="D58" s="152" t="s">
        <v>526</v>
      </c>
      <c r="E58" s="153" t="s">
        <v>402</v>
      </c>
      <c r="F58" s="144" t="s">
        <v>1095</v>
      </c>
      <c r="G58" s="125" t="s">
        <v>521</v>
      </c>
      <c r="H58" s="154" t="s">
        <v>402</v>
      </c>
      <c r="I58" s="123" t="s">
        <v>402</v>
      </c>
      <c r="J58" s="124">
        <v>0</v>
      </c>
      <c r="K58" s="125" t="s">
        <v>395</v>
      </c>
      <c r="L58" s="728">
        <v>0.121875</v>
      </c>
      <c r="M58" s="29">
        <v>1</v>
      </c>
      <c r="N58" s="1">
        <v>1.1267298112245603</v>
      </c>
      <c r="O58" s="139" t="s">
        <v>1304</v>
      </c>
      <c r="P58" s="728">
        <v>0.121875</v>
      </c>
      <c r="Q58" s="29">
        <v>1</v>
      </c>
      <c r="R58" s="1">
        <v>1.1267298112245603</v>
      </c>
      <c r="S58" s="139" t="s">
        <v>1304</v>
      </c>
      <c r="T58" s="728">
        <v>0.121875</v>
      </c>
      <c r="U58" s="29">
        <v>1</v>
      </c>
      <c r="V58" s="1">
        <v>1.1267298112245603</v>
      </c>
      <c r="W58" s="139" t="s">
        <v>1304</v>
      </c>
      <c r="X58" s="728">
        <v>0.121875</v>
      </c>
      <c r="Y58" s="29">
        <v>1</v>
      </c>
      <c r="Z58" s="1">
        <v>1.1267298112245603</v>
      </c>
      <c r="AA58" s="139" t="s">
        <v>1304</v>
      </c>
      <c r="AB58" s="728">
        <v>0.121875</v>
      </c>
      <c r="AC58" s="29">
        <v>1</v>
      </c>
      <c r="AD58" s="1">
        <v>1.1267298112245603</v>
      </c>
      <c r="AE58" s="139" t="s">
        <v>1304</v>
      </c>
      <c r="AF58" s="728">
        <v>0.121875</v>
      </c>
      <c r="AG58" s="29">
        <v>1</v>
      </c>
      <c r="AH58" s="1">
        <v>1.1267298112245603</v>
      </c>
      <c r="AI58" s="139" t="s">
        <v>1304</v>
      </c>
      <c r="AJ58" s="729">
        <v>0.121875</v>
      </c>
      <c r="AK58" s="29">
        <v>1</v>
      </c>
      <c r="AL58" s="1">
        <v>1.1267298112245603</v>
      </c>
      <c r="AM58" s="139" t="s">
        <v>1304</v>
      </c>
      <c r="AN58" s="728">
        <v>0.121875</v>
      </c>
      <c r="AO58" s="29">
        <v>1</v>
      </c>
      <c r="AP58" s="1">
        <v>1.1267298112245603</v>
      </c>
      <c r="AQ58" s="139" t="s">
        <v>1304</v>
      </c>
      <c r="AR58" s="728">
        <v>0.121875</v>
      </c>
      <c r="AS58" s="29">
        <v>1</v>
      </c>
      <c r="AT58" s="1">
        <v>1.1267298112245603</v>
      </c>
      <c r="AU58" s="139" t="s">
        <v>1304</v>
      </c>
      <c r="AV58" s="728">
        <v>0.121875</v>
      </c>
      <c r="AW58" s="29">
        <v>1</v>
      </c>
      <c r="AX58" s="1">
        <v>1.1267298112245603</v>
      </c>
      <c r="AY58" s="139" t="s">
        <v>1304</v>
      </c>
      <c r="AZ58" s="728">
        <v>0.121875</v>
      </c>
      <c r="BA58" s="29">
        <v>1</v>
      </c>
      <c r="BB58" s="1">
        <v>1.1267298112245603</v>
      </c>
      <c r="BC58" s="139" t="s">
        <v>1304</v>
      </c>
      <c r="BD58" s="728">
        <v>0.121875</v>
      </c>
      <c r="BE58" s="29">
        <v>1</v>
      </c>
      <c r="BF58" s="1">
        <v>1.1267298112245603</v>
      </c>
      <c r="BG58" s="139" t="s">
        <v>1304</v>
      </c>
      <c r="BH58" s="728">
        <v>0.121875</v>
      </c>
      <c r="BI58" s="29">
        <v>1</v>
      </c>
      <c r="BJ58" s="1">
        <v>1.1267298112245603</v>
      </c>
      <c r="BK58" s="139" t="s">
        <v>1304</v>
      </c>
      <c r="BL58" s="728">
        <v>0.121875</v>
      </c>
      <c r="BM58" s="29">
        <v>1</v>
      </c>
      <c r="BN58" s="1">
        <v>1.1267298112245603</v>
      </c>
      <c r="BO58" s="139" t="s">
        <v>1304</v>
      </c>
      <c r="BP58" s="728">
        <v>0.121875</v>
      </c>
      <c r="BQ58" s="29">
        <v>1</v>
      </c>
      <c r="BR58" s="1">
        <v>1.1267298112245603</v>
      </c>
      <c r="BS58" s="139" t="s">
        <v>1304</v>
      </c>
      <c r="BT58" s="728">
        <v>0.121875</v>
      </c>
      <c r="BU58" s="29">
        <v>1</v>
      </c>
      <c r="BV58" s="1">
        <v>1.1267298112245603</v>
      </c>
      <c r="BW58" s="139" t="s">
        <v>1304</v>
      </c>
      <c r="BX58" s="31"/>
      <c r="BY58" s="155">
        <v>0.121875</v>
      </c>
      <c r="BZ58" s="29">
        <v>1</v>
      </c>
      <c r="CA58" s="1">
        <v>1.1267298112245603</v>
      </c>
      <c r="CB58" s="139" t="s">
        <v>1304</v>
      </c>
      <c r="CC58" s="155">
        <v>0.121875</v>
      </c>
      <c r="CD58" s="29">
        <v>1</v>
      </c>
      <c r="CE58" s="1">
        <v>1.1267298112245603</v>
      </c>
      <c r="CF58" s="31" t="s">
        <v>1304</v>
      </c>
      <c r="CG58" s="253">
        <v>0.12195427340795832</v>
      </c>
      <c r="CH58" s="253"/>
      <c r="CI58" s="182">
        <v>3.423703453284251E-3</v>
      </c>
      <c r="CJ58" s="182"/>
      <c r="CK58" s="253"/>
      <c r="CL58" s="182">
        <v>75</v>
      </c>
      <c r="CM58" s="259">
        <v>5.2499999999999995E-3</v>
      </c>
      <c r="CN58" s="694">
        <v>0.121875</v>
      </c>
      <c r="CO58" s="115" t="s">
        <v>1124</v>
      </c>
      <c r="CP58" s="272">
        <v>1</v>
      </c>
      <c r="CQ58" s="272">
        <v>4</v>
      </c>
      <c r="CR58" s="272">
        <v>1</v>
      </c>
      <c r="CS58" s="272">
        <v>3</v>
      </c>
      <c r="CT58" s="272">
        <v>1</v>
      </c>
      <c r="CU58" s="272">
        <v>3</v>
      </c>
      <c r="CV58" s="50">
        <v>3</v>
      </c>
      <c r="CW58" s="51">
        <v>1.05</v>
      </c>
      <c r="CX58" s="87">
        <v>1.1150377561073679</v>
      </c>
      <c r="CY58" s="88">
        <v>1.1267298112245603</v>
      </c>
      <c r="CZ58" s="89" t="s">
        <v>1305</v>
      </c>
      <c r="DA58" s="52">
        <v>1</v>
      </c>
      <c r="DB58" s="52">
        <v>1.1000000000000001</v>
      </c>
      <c r="DC58" s="52">
        <v>1</v>
      </c>
      <c r="DD58" s="52">
        <v>1.02</v>
      </c>
      <c r="DE58" s="52">
        <v>1</v>
      </c>
      <c r="DF58" s="52">
        <v>1.05</v>
      </c>
    </row>
    <row r="59" spans="1:114" ht="24">
      <c r="A59" s="157">
        <v>1183</v>
      </c>
      <c r="B59" s="37" t="s">
        <v>151</v>
      </c>
      <c r="C59" s="151" t="s">
        <v>525</v>
      </c>
      <c r="D59" s="152" t="s">
        <v>526</v>
      </c>
      <c r="E59" s="153" t="s">
        <v>402</v>
      </c>
      <c r="F59" s="144" t="s">
        <v>1217</v>
      </c>
      <c r="G59" s="125" t="s">
        <v>521</v>
      </c>
      <c r="H59" s="154" t="s">
        <v>402</v>
      </c>
      <c r="I59" s="123" t="s">
        <v>402</v>
      </c>
      <c r="J59" s="124">
        <v>0</v>
      </c>
      <c r="K59" s="125" t="s">
        <v>395</v>
      </c>
      <c r="L59" s="728">
        <v>0</v>
      </c>
      <c r="M59" s="29">
        <v>1</v>
      </c>
      <c r="N59" s="1">
        <v>1.1267298112245603</v>
      </c>
      <c r="O59" s="139" t="s">
        <v>1304</v>
      </c>
      <c r="P59" s="728">
        <v>0</v>
      </c>
      <c r="Q59" s="29">
        <v>1</v>
      </c>
      <c r="R59" s="1">
        <v>1.1267298112245603</v>
      </c>
      <c r="S59" s="139" t="s">
        <v>1304</v>
      </c>
      <c r="T59" s="728">
        <v>0</v>
      </c>
      <c r="U59" s="29">
        <v>1</v>
      </c>
      <c r="V59" s="1">
        <v>1.1267298112245603</v>
      </c>
      <c r="W59" s="139" t="s">
        <v>1304</v>
      </c>
      <c r="X59" s="728">
        <v>0</v>
      </c>
      <c r="Y59" s="29">
        <v>1</v>
      </c>
      <c r="Z59" s="1">
        <v>1.1267298112245603</v>
      </c>
      <c r="AA59" s="139" t="s">
        <v>1304</v>
      </c>
      <c r="AB59" s="728">
        <v>0</v>
      </c>
      <c r="AC59" s="29">
        <v>1</v>
      </c>
      <c r="AD59" s="1">
        <v>1.1267298112245603</v>
      </c>
      <c r="AE59" s="139" t="s">
        <v>1304</v>
      </c>
      <c r="AF59" s="728">
        <v>0</v>
      </c>
      <c r="AG59" s="29">
        <v>1</v>
      </c>
      <c r="AH59" s="1">
        <v>1.1267298112245603</v>
      </c>
      <c r="AI59" s="139" t="s">
        <v>1304</v>
      </c>
      <c r="AJ59" s="729">
        <v>0</v>
      </c>
      <c r="AK59" s="29">
        <v>1</v>
      </c>
      <c r="AL59" s="1">
        <v>1.1267298112245603</v>
      </c>
      <c r="AM59" s="139" t="s">
        <v>1304</v>
      </c>
      <c r="AN59" s="728">
        <v>0</v>
      </c>
      <c r="AO59" s="29">
        <v>1</v>
      </c>
      <c r="AP59" s="1">
        <v>1.1267298112245603</v>
      </c>
      <c r="AQ59" s="139" t="s">
        <v>1304</v>
      </c>
      <c r="AR59" s="728">
        <v>0</v>
      </c>
      <c r="AS59" s="29">
        <v>1</v>
      </c>
      <c r="AT59" s="1">
        <v>1.1267298112245603</v>
      </c>
      <c r="AU59" s="139" t="s">
        <v>1304</v>
      </c>
      <c r="AV59" s="728">
        <v>0</v>
      </c>
      <c r="AW59" s="29">
        <v>1</v>
      </c>
      <c r="AX59" s="1">
        <v>1.1267298112245603</v>
      </c>
      <c r="AY59" s="139" t="s">
        <v>1304</v>
      </c>
      <c r="AZ59" s="728">
        <v>0</v>
      </c>
      <c r="BA59" s="29">
        <v>1</v>
      </c>
      <c r="BB59" s="1">
        <v>1.1267298112245603</v>
      </c>
      <c r="BC59" s="139" t="s">
        <v>1304</v>
      </c>
      <c r="BD59" s="728">
        <v>0</v>
      </c>
      <c r="BE59" s="29">
        <v>1</v>
      </c>
      <c r="BF59" s="1">
        <v>1.1267298112245603</v>
      </c>
      <c r="BG59" s="139" t="s">
        <v>1304</v>
      </c>
      <c r="BH59" s="728">
        <v>0</v>
      </c>
      <c r="BI59" s="29">
        <v>1</v>
      </c>
      <c r="BJ59" s="1">
        <v>1.1267298112245603</v>
      </c>
      <c r="BK59" s="139" t="s">
        <v>1304</v>
      </c>
      <c r="BL59" s="728">
        <v>0</v>
      </c>
      <c r="BM59" s="29">
        <v>1</v>
      </c>
      <c r="BN59" s="1">
        <v>1.1267298112245603</v>
      </c>
      <c r="BO59" s="139" t="s">
        <v>1304</v>
      </c>
      <c r="BP59" s="728">
        <v>0</v>
      </c>
      <c r="BQ59" s="29">
        <v>1</v>
      </c>
      <c r="BR59" s="1">
        <v>1.1267298112245603</v>
      </c>
      <c r="BS59" s="139" t="s">
        <v>1304</v>
      </c>
      <c r="BT59" s="728">
        <v>0</v>
      </c>
      <c r="BU59" s="29">
        <v>1</v>
      </c>
      <c r="BV59" s="1">
        <v>1.1267298112245603</v>
      </c>
      <c r="BW59" s="139" t="s">
        <v>1304</v>
      </c>
      <c r="BX59" s="31"/>
      <c r="BY59" s="155">
        <v>0</v>
      </c>
      <c r="BZ59" s="29">
        <v>1</v>
      </c>
      <c r="CA59" s="1">
        <v>1.1267298112245603</v>
      </c>
      <c r="CB59" s="139" t="s">
        <v>1304</v>
      </c>
      <c r="CC59" s="155">
        <v>0</v>
      </c>
      <c r="CD59" s="29">
        <v>1</v>
      </c>
      <c r="CE59" s="1">
        <v>1.1267298112245603</v>
      </c>
      <c r="CF59" s="31" t="s">
        <v>1304</v>
      </c>
      <c r="CG59" s="253">
        <v>1.2959206671174216E-2</v>
      </c>
      <c r="CH59" s="253"/>
      <c r="CI59" s="182">
        <v>3.6099529211429142E-5</v>
      </c>
      <c r="CJ59" s="182"/>
      <c r="CK59" s="253"/>
      <c r="CL59" s="182">
        <v>0.79079999999999995</v>
      </c>
      <c r="CM59" s="259">
        <v>5.7662499999999985E-5</v>
      </c>
      <c r="CN59" s="694">
        <v>0</v>
      </c>
      <c r="CO59" s="115" t="s">
        <v>1124</v>
      </c>
      <c r="CP59" s="272">
        <v>1</v>
      </c>
      <c r="CQ59" s="272">
        <v>4</v>
      </c>
      <c r="CR59" s="272">
        <v>1</v>
      </c>
      <c r="CS59" s="272">
        <v>3</v>
      </c>
      <c r="CT59" s="272">
        <v>1</v>
      </c>
      <c r="CU59" s="272">
        <v>3</v>
      </c>
      <c r="CV59" s="50">
        <v>3</v>
      </c>
      <c r="CW59" s="51">
        <v>1.05</v>
      </c>
      <c r="CX59" s="87">
        <v>1.1150377561073679</v>
      </c>
      <c r="CY59" s="88">
        <v>1.1267298112245603</v>
      </c>
      <c r="CZ59" s="89" t="s">
        <v>1305</v>
      </c>
      <c r="DA59" s="52">
        <v>1</v>
      </c>
      <c r="DB59" s="52">
        <v>1.1000000000000001</v>
      </c>
      <c r="DC59" s="52">
        <v>1</v>
      </c>
      <c r="DD59" s="52">
        <v>1.02</v>
      </c>
      <c r="DE59" s="52">
        <v>1</v>
      </c>
      <c r="DF59" s="52">
        <v>1.05</v>
      </c>
      <c r="DG59" s="182">
        <v>1</v>
      </c>
      <c r="DH59" s="7">
        <v>0.78569999999999995</v>
      </c>
    </row>
    <row r="60" spans="1:114" ht="24">
      <c r="A60" s="157">
        <v>3402</v>
      </c>
      <c r="B60" s="37" t="s">
        <v>150</v>
      </c>
      <c r="C60" s="151" t="s">
        <v>525</v>
      </c>
      <c r="D60" s="152" t="s">
        <v>526</v>
      </c>
      <c r="E60" s="153" t="s">
        <v>402</v>
      </c>
      <c r="F60" s="144" t="s">
        <v>1311</v>
      </c>
      <c r="G60" s="125" t="s">
        <v>393</v>
      </c>
      <c r="H60" s="154" t="s">
        <v>402</v>
      </c>
      <c r="I60" s="123" t="s">
        <v>402</v>
      </c>
      <c r="J60" s="124">
        <v>0</v>
      </c>
      <c r="K60" s="125" t="s">
        <v>395</v>
      </c>
      <c r="L60" s="728">
        <v>0</v>
      </c>
      <c r="M60" s="29">
        <v>1</v>
      </c>
      <c r="N60" s="1">
        <v>1.1267298112245603</v>
      </c>
      <c r="O60" s="139" t="s">
        <v>1304</v>
      </c>
      <c r="P60" s="728">
        <v>0</v>
      </c>
      <c r="Q60" s="29">
        <v>1</v>
      </c>
      <c r="R60" s="1">
        <v>1.1267298112245603</v>
      </c>
      <c r="S60" s="139" t="s">
        <v>1304</v>
      </c>
      <c r="T60" s="728">
        <v>0</v>
      </c>
      <c r="U60" s="29">
        <v>1</v>
      </c>
      <c r="V60" s="1">
        <v>1.1267298112245603</v>
      </c>
      <c r="W60" s="139" t="s">
        <v>1304</v>
      </c>
      <c r="X60" s="728">
        <v>0</v>
      </c>
      <c r="Y60" s="29">
        <v>1</v>
      </c>
      <c r="Z60" s="1">
        <v>1.1267298112245603</v>
      </c>
      <c r="AA60" s="139" t="s">
        <v>1304</v>
      </c>
      <c r="AB60" s="728">
        <v>0</v>
      </c>
      <c r="AC60" s="29">
        <v>1</v>
      </c>
      <c r="AD60" s="1">
        <v>1.1267298112245603</v>
      </c>
      <c r="AE60" s="139" t="s">
        <v>1304</v>
      </c>
      <c r="AF60" s="728">
        <v>0</v>
      </c>
      <c r="AG60" s="29">
        <v>1</v>
      </c>
      <c r="AH60" s="1">
        <v>1.1267298112245603</v>
      </c>
      <c r="AI60" s="139" t="s">
        <v>1304</v>
      </c>
      <c r="AJ60" s="729">
        <v>0</v>
      </c>
      <c r="AK60" s="29">
        <v>1</v>
      </c>
      <c r="AL60" s="1">
        <v>1.1267298112245603</v>
      </c>
      <c r="AM60" s="139" t="s">
        <v>1304</v>
      </c>
      <c r="AN60" s="728">
        <v>0</v>
      </c>
      <c r="AO60" s="29">
        <v>1</v>
      </c>
      <c r="AP60" s="1">
        <v>1.1267298112245603</v>
      </c>
      <c r="AQ60" s="139" t="s">
        <v>1304</v>
      </c>
      <c r="AR60" s="728">
        <v>0</v>
      </c>
      <c r="AS60" s="29">
        <v>1</v>
      </c>
      <c r="AT60" s="1">
        <v>1.1267298112245603</v>
      </c>
      <c r="AU60" s="139" t="s">
        <v>1304</v>
      </c>
      <c r="AV60" s="728">
        <v>0</v>
      </c>
      <c r="AW60" s="29">
        <v>1</v>
      </c>
      <c r="AX60" s="1">
        <v>1.1267298112245603</v>
      </c>
      <c r="AY60" s="139" t="s">
        <v>1304</v>
      </c>
      <c r="AZ60" s="728">
        <v>0</v>
      </c>
      <c r="BA60" s="29">
        <v>1</v>
      </c>
      <c r="BB60" s="1">
        <v>1.1267298112245603</v>
      </c>
      <c r="BC60" s="139" t="s">
        <v>1304</v>
      </c>
      <c r="BD60" s="728">
        <v>0</v>
      </c>
      <c r="BE60" s="29">
        <v>1</v>
      </c>
      <c r="BF60" s="1">
        <v>1.1267298112245603</v>
      </c>
      <c r="BG60" s="139" t="s">
        <v>1304</v>
      </c>
      <c r="BH60" s="728">
        <v>0</v>
      </c>
      <c r="BI60" s="29">
        <v>1</v>
      </c>
      <c r="BJ60" s="1">
        <v>1.1267298112245603</v>
      </c>
      <c r="BK60" s="139" t="s">
        <v>1304</v>
      </c>
      <c r="BL60" s="728">
        <v>0</v>
      </c>
      <c r="BM60" s="29">
        <v>1</v>
      </c>
      <c r="BN60" s="1">
        <v>1.1267298112245603</v>
      </c>
      <c r="BO60" s="139" t="s">
        <v>1304</v>
      </c>
      <c r="BP60" s="728">
        <v>0</v>
      </c>
      <c r="BQ60" s="29">
        <v>1</v>
      </c>
      <c r="BR60" s="1">
        <v>1.1267298112245603</v>
      </c>
      <c r="BS60" s="139" t="s">
        <v>1304</v>
      </c>
      <c r="BT60" s="728">
        <v>0</v>
      </c>
      <c r="BU60" s="29">
        <v>1</v>
      </c>
      <c r="BV60" s="1">
        <v>1.1267298112245603</v>
      </c>
      <c r="BW60" s="139" t="s">
        <v>1304</v>
      </c>
      <c r="BX60" s="31"/>
      <c r="BY60" s="155">
        <v>0</v>
      </c>
      <c r="BZ60" s="29">
        <v>1</v>
      </c>
      <c r="CA60" s="1">
        <v>1.1267298112245603</v>
      </c>
      <c r="CB60" s="139" t="s">
        <v>1304</v>
      </c>
      <c r="CC60" s="155">
        <v>0</v>
      </c>
      <c r="CD60" s="29">
        <v>1</v>
      </c>
      <c r="CE60" s="1">
        <v>1.1267298112245603</v>
      </c>
      <c r="CF60" s="31" t="s">
        <v>1304</v>
      </c>
      <c r="CG60" s="253"/>
      <c r="CH60" s="253"/>
      <c r="CI60" s="182">
        <v>2.1555636941877642E-3</v>
      </c>
      <c r="CJ60" s="182"/>
      <c r="CK60" s="253"/>
      <c r="CL60" s="182">
        <v>47.22</v>
      </c>
      <c r="CM60" s="259">
        <v>3.4431250000000004E-3</v>
      </c>
      <c r="CN60" s="694">
        <v>0</v>
      </c>
      <c r="CO60" s="115" t="s">
        <v>1124</v>
      </c>
      <c r="CP60" s="10">
        <v>1</v>
      </c>
      <c r="CQ60" s="50">
        <v>4</v>
      </c>
      <c r="CR60" s="50">
        <v>1</v>
      </c>
      <c r="CS60" s="50">
        <v>3</v>
      </c>
      <c r="CT60" s="50">
        <v>1</v>
      </c>
      <c r="CU60" s="50">
        <v>3</v>
      </c>
      <c r="CV60" s="50">
        <v>3</v>
      </c>
      <c r="CW60" s="51">
        <v>1.05</v>
      </c>
      <c r="CX60" s="87">
        <v>1.1150377561073679</v>
      </c>
      <c r="CY60" s="88">
        <v>1.1267298112245603</v>
      </c>
      <c r="CZ60" s="89" t="s">
        <v>1305</v>
      </c>
      <c r="DA60" s="52">
        <v>1</v>
      </c>
      <c r="DB60" s="52">
        <v>1.1000000000000001</v>
      </c>
      <c r="DC60" s="52">
        <v>1</v>
      </c>
      <c r="DD60" s="52">
        <v>1.02</v>
      </c>
      <c r="DE60" s="52">
        <v>1</v>
      </c>
      <c r="DF60" s="52">
        <v>1.05</v>
      </c>
      <c r="DG60" s="182">
        <v>60</v>
      </c>
      <c r="DH60" s="7">
        <v>47.46</v>
      </c>
    </row>
    <row r="61" spans="1:114" ht="24">
      <c r="A61" s="157">
        <v>1295</v>
      </c>
      <c r="B61" s="168" t="s">
        <v>525</v>
      </c>
      <c r="C61" s="151" t="s">
        <v>525</v>
      </c>
      <c r="D61" s="152" t="s">
        <v>526</v>
      </c>
      <c r="E61" s="153" t="s">
        <v>402</v>
      </c>
      <c r="F61" s="144" t="s">
        <v>1312</v>
      </c>
      <c r="G61" s="125" t="s">
        <v>521</v>
      </c>
      <c r="H61" s="154" t="s">
        <v>402</v>
      </c>
      <c r="I61" s="123" t="s">
        <v>402</v>
      </c>
      <c r="J61" s="124">
        <v>0</v>
      </c>
      <c r="K61" s="125" t="s">
        <v>395</v>
      </c>
      <c r="L61" s="728">
        <v>0</v>
      </c>
      <c r="M61" s="29">
        <v>1</v>
      </c>
      <c r="N61" s="1">
        <v>1.1267298112245603</v>
      </c>
      <c r="O61" s="139" t="s">
        <v>1304</v>
      </c>
      <c r="P61" s="728">
        <v>0</v>
      </c>
      <c r="Q61" s="29">
        <v>1</v>
      </c>
      <c r="R61" s="1">
        <v>1.1267298112245603</v>
      </c>
      <c r="S61" s="139" t="s">
        <v>1304</v>
      </c>
      <c r="T61" s="728">
        <v>0</v>
      </c>
      <c r="U61" s="29">
        <v>1</v>
      </c>
      <c r="V61" s="1">
        <v>1.1267298112245603</v>
      </c>
      <c r="W61" s="139" t="s">
        <v>1304</v>
      </c>
      <c r="X61" s="728">
        <v>0</v>
      </c>
      <c r="Y61" s="29">
        <v>1</v>
      </c>
      <c r="Z61" s="1">
        <v>1.1267298112245603</v>
      </c>
      <c r="AA61" s="139" t="s">
        <v>1304</v>
      </c>
      <c r="AB61" s="728">
        <v>0</v>
      </c>
      <c r="AC61" s="29">
        <v>1</v>
      </c>
      <c r="AD61" s="1">
        <v>1.1267298112245603</v>
      </c>
      <c r="AE61" s="139" t="s">
        <v>1304</v>
      </c>
      <c r="AF61" s="728">
        <v>0</v>
      </c>
      <c r="AG61" s="29">
        <v>1</v>
      </c>
      <c r="AH61" s="1">
        <v>1.1267298112245603</v>
      </c>
      <c r="AI61" s="139" t="s">
        <v>1304</v>
      </c>
      <c r="AJ61" s="729">
        <v>0</v>
      </c>
      <c r="AK61" s="29">
        <v>1</v>
      </c>
      <c r="AL61" s="1">
        <v>1.1267298112245603</v>
      </c>
      <c r="AM61" s="139" t="s">
        <v>1304</v>
      </c>
      <c r="AN61" s="728">
        <v>0</v>
      </c>
      <c r="AO61" s="29">
        <v>1</v>
      </c>
      <c r="AP61" s="1">
        <v>1.1267298112245603</v>
      </c>
      <c r="AQ61" s="139" t="s">
        <v>1304</v>
      </c>
      <c r="AR61" s="728">
        <v>0</v>
      </c>
      <c r="AS61" s="29">
        <v>1</v>
      </c>
      <c r="AT61" s="1">
        <v>1.1267298112245603</v>
      </c>
      <c r="AU61" s="139" t="s">
        <v>1304</v>
      </c>
      <c r="AV61" s="728">
        <v>0</v>
      </c>
      <c r="AW61" s="29">
        <v>1</v>
      </c>
      <c r="AX61" s="1">
        <v>1.1267298112245603</v>
      </c>
      <c r="AY61" s="139" t="s">
        <v>1304</v>
      </c>
      <c r="AZ61" s="728">
        <v>0</v>
      </c>
      <c r="BA61" s="29">
        <v>1</v>
      </c>
      <c r="BB61" s="1">
        <v>1.1267298112245603</v>
      </c>
      <c r="BC61" s="139" t="s">
        <v>1304</v>
      </c>
      <c r="BD61" s="728">
        <v>0</v>
      </c>
      <c r="BE61" s="29">
        <v>1</v>
      </c>
      <c r="BF61" s="1">
        <v>1.1267298112245603</v>
      </c>
      <c r="BG61" s="139" t="s">
        <v>1304</v>
      </c>
      <c r="BH61" s="728">
        <v>0</v>
      </c>
      <c r="BI61" s="29">
        <v>1</v>
      </c>
      <c r="BJ61" s="1">
        <v>1.1267298112245603</v>
      </c>
      <c r="BK61" s="139" t="s">
        <v>1304</v>
      </c>
      <c r="BL61" s="728">
        <v>0</v>
      </c>
      <c r="BM61" s="29">
        <v>1</v>
      </c>
      <c r="BN61" s="1">
        <v>1.1267298112245603</v>
      </c>
      <c r="BO61" s="139" t="s">
        <v>1304</v>
      </c>
      <c r="BP61" s="728">
        <v>0</v>
      </c>
      <c r="BQ61" s="29">
        <v>1</v>
      </c>
      <c r="BR61" s="1">
        <v>1.1267298112245603</v>
      </c>
      <c r="BS61" s="139" t="s">
        <v>1304</v>
      </c>
      <c r="BT61" s="728">
        <v>0</v>
      </c>
      <c r="BU61" s="29">
        <v>1</v>
      </c>
      <c r="BV61" s="1">
        <v>1.1267298112245603</v>
      </c>
      <c r="BW61" s="139" t="s">
        <v>1304</v>
      </c>
      <c r="BX61" s="31"/>
      <c r="BY61" s="155">
        <v>0</v>
      </c>
      <c r="BZ61" s="29">
        <v>1</v>
      </c>
      <c r="CA61" s="1">
        <v>1.1267298112245603</v>
      </c>
      <c r="CB61" s="139" t="s">
        <v>1304</v>
      </c>
      <c r="CC61" s="155">
        <v>0</v>
      </c>
      <c r="CD61" s="29">
        <v>1</v>
      </c>
      <c r="CE61" s="1">
        <v>1.1267298112245603</v>
      </c>
      <c r="CF61" s="31" t="s">
        <v>1304</v>
      </c>
      <c r="CG61" s="253"/>
      <c r="CH61" s="253"/>
      <c r="CI61" s="182">
        <v>1.6433776575764405E-3</v>
      </c>
      <c r="CJ61" s="182"/>
      <c r="CK61" s="253"/>
      <c r="CL61" s="182">
        <v>36</v>
      </c>
      <c r="CM61" s="259">
        <v>2.6249999999999997E-3</v>
      </c>
      <c r="CN61" s="694">
        <v>0</v>
      </c>
      <c r="CO61" s="115" t="s">
        <v>1124</v>
      </c>
      <c r="CP61" s="10">
        <v>1</v>
      </c>
      <c r="CQ61" s="50">
        <v>4</v>
      </c>
      <c r="CR61" s="50">
        <v>1</v>
      </c>
      <c r="CS61" s="50">
        <v>3</v>
      </c>
      <c r="CT61" s="50">
        <v>1</v>
      </c>
      <c r="CU61" s="50">
        <v>3</v>
      </c>
      <c r="CV61" s="50">
        <v>3</v>
      </c>
      <c r="CW61" s="51">
        <v>1.05</v>
      </c>
      <c r="CX61" s="87">
        <v>1.1150377561073679</v>
      </c>
      <c r="CY61" s="88">
        <v>1.1267298112245603</v>
      </c>
      <c r="CZ61" s="89" t="s">
        <v>1305</v>
      </c>
      <c r="DA61" s="52">
        <v>1</v>
      </c>
      <c r="DB61" s="52">
        <v>1.1000000000000001</v>
      </c>
      <c r="DC61" s="52">
        <v>1</v>
      </c>
      <c r="DD61" s="52">
        <v>1.02</v>
      </c>
      <c r="DE61" s="52">
        <v>1</v>
      </c>
      <c r="DF61" s="52">
        <v>1.05</v>
      </c>
      <c r="DG61" s="182">
        <v>40</v>
      </c>
      <c r="DH61" s="7">
        <v>35.78</v>
      </c>
    </row>
    <row r="62" spans="1:114" ht="24">
      <c r="A62" s="157">
        <v>2786</v>
      </c>
      <c r="B62" s="168" t="s">
        <v>525</v>
      </c>
      <c r="C62" s="151" t="s">
        <v>525</v>
      </c>
      <c r="D62" s="152" t="s">
        <v>526</v>
      </c>
      <c r="E62" s="153" t="s">
        <v>402</v>
      </c>
      <c r="F62" s="144" t="s">
        <v>1263</v>
      </c>
      <c r="G62" s="125" t="s">
        <v>521</v>
      </c>
      <c r="H62" s="154" t="s">
        <v>402</v>
      </c>
      <c r="I62" s="123" t="s">
        <v>402</v>
      </c>
      <c r="J62" s="124">
        <v>0</v>
      </c>
      <c r="K62" s="125" t="s">
        <v>395</v>
      </c>
      <c r="L62" s="728">
        <v>0</v>
      </c>
      <c r="M62" s="29">
        <v>1</v>
      </c>
      <c r="N62" s="1">
        <v>1.1267298112245603</v>
      </c>
      <c r="O62" s="139" t="s">
        <v>1304</v>
      </c>
      <c r="P62" s="728">
        <v>0</v>
      </c>
      <c r="Q62" s="29">
        <v>1</v>
      </c>
      <c r="R62" s="1">
        <v>1.1267298112245603</v>
      </c>
      <c r="S62" s="139" t="s">
        <v>1304</v>
      </c>
      <c r="T62" s="728">
        <v>0</v>
      </c>
      <c r="U62" s="29">
        <v>1</v>
      </c>
      <c r="V62" s="1">
        <v>1.1267298112245603</v>
      </c>
      <c r="W62" s="139" t="s">
        <v>1304</v>
      </c>
      <c r="X62" s="728">
        <v>0</v>
      </c>
      <c r="Y62" s="29">
        <v>1</v>
      </c>
      <c r="Z62" s="1">
        <v>1.1267298112245603</v>
      </c>
      <c r="AA62" s="139" t="s">
        <v>1304</v>
      </c>
      <c r="AB62" s="728">
        <v>0</v>
      </c>
      <c r="AC62" s="29">
        <v>1</v>
      </c>
      <c r="AD62" s="1">
        <v>1.1267298112245603</v>
      </c>
      <c r="AE62" s="139" t="s">
        <v>1304</v>
      </c>
      <c r="AF62" s="728">
        <v>0</v>
      </c>
      <c r="AG62" s="29">
        <v>1</v>
      </c>
      <c r="AH62" s="1">
        <v>1.1267298112245603</v>
      </c>
      <c r="AI62" s="139" t="s">
        <v>1304</v>
      </c>
      <c r="AJ62" s="729">
        <v>0</v>
      </c>
      <c r="AK62" s="29">
        <v>1</v>
      </c>
      <c r="AL62" s="1">
        <v>1.1267298112245603</v>
      </c>
      <c r="AM62" s="139" t="s">
        <v>1304</v>
      </c>
      <c r="AN62" s="728">
        <v>0</v>
      </c>
      <c r="AO62" s="29">
        <v>1</v>
      </c>
      <c r="AP62" s="1">
        <v>1.1267298112245603</v>
      </c>
      <c r="AQ62" s="139" t="s">
        <v>1304</v>
      </c>
      <c r="AR62" s="728">
        <v>0</v>
      </c>
      <c r="AS62" s="29">
        <v>1</v>
      </c>
      <c r="AT62" s="1">
        <v>1.1267298112245603</v>
      </c>
      <c r="AU62" s="139" t="s">
        <v>1304</v>
      </c>
      <c r="AV62" s="728">
        <v>0</v>
      </c>
      <c r="AW62" s="29">
        <v>1</v>
      </c>
      <c r="AX62" s="1">
        <v>1.1267298112245603</v>
      </c>
      <c r="AY62" s="139" t="s">
        <v>1304</v>
      </c>
      <c r="AZ62" s="728">
        <v>0</v>
      </c>
      <c r="BA62" s="29">
        <v>1</v>
      </c>
      <c r="BB62" s="1">
        <v>1.1267298112245603</v>
      </c>
      <c r="BC62" s="139" t="s">
        <v>1304</v>
      </c>
      <c r="BD62" s="728">
        <v>0</v>
      </c>
      <c r="BE62" s="29">
        <v>1</v>
      </c>
      <c r="BF62" s="1">
        <v>1.1267298112245603</v>
      </c>
      <c r="BG62" s="139" t="s">
        <v>1304</v>
      </c>
      <c r="BH62" s="728">
        <v>0</v>
      </c>
      <c r="BI62" s="29">
        <v>1</v>
      </c>
      <c r="BJ62" s="1">
        <v>1.1267298112245603</v>
      </c>
      <c r="BK62" s="139" t="s">
        <v>1304</v>
      </c>
      <c r="BL62" s="728">
        <v>0</v>
      </c>
      <c r="BM62" s="29">
        <v>1</v>
      </c>
      <c r="BN62" s="1">
        <v>1.1267298112245603</v>
      </c>
      <c r="BO62" s="139" t="s">
        <v>1304</v>
      </c>
      <c r="BP62" s="728">
        <v>0</v>
      </c>
      <c r="BQ62" s="29">
        <v>1</v>
      </c>
      <c r="BR62" s="1">
        <v>1.1267298112245603</v>
      </c>
      <c r="BS62" s="139" t="s">
        <v>1304</v>
      </c>
      <c r="BT62" s="728">
        <v>0</v>
      </c>
      <c r="BU62" s="29">
        <v>1</v>
      </c>
      <c r="BV62" s="1">
        <v>1.1267298112245603</v>
      </c>
      <c r="BW62" s="139" t="s">
        <v>1304</v>
      </c>
      <c r="BX62" s="31"/>
      <c r="BY62" s="155">
        <v>0</v>
      </c>
      <c r="BZ62" s="29">
        <v>1</v>
      </c>
      <c r="CA62" s="1">
        <v>1.1267298112245603</v>
      </c>
      <c r="CB62" s="139" t="s">
        <v>1304</v>
      </c>
      <c r="CC62" s="155">
        <v>0</v>
      </c>
      <c r="CD62" s="29">
        <v>1</v>
      </c>
      <c r="CE62" s="1">
        <v>1.1267298112245603</v>
      </c>
      <c r="CF62" s="31" t="s">
        <v>1304</v>
      </c>
      <c r="CG62" s="253"/>
      <c r="CH62" s="253"/>
      <c r="CI62" s="182">
        <v>1.606858154074742E-3</v>
      </c>
      <c r="CJ62" s="182"/>
      <c r="CK62" s="253"/>
      <c r="CL62" s="182">
        <v>35.200000000000003</v>
      </c>
      <c r="CM62" s="259">
        <v>2.5666666666666672E-3</v>
      </c>
      <c r="CN62" s="694">
        <v>0</v>
      </c>
      <c r="CO62" s="115" t="s">
        <v>1124</v>
      </c>
      <c r="CP62" s="10">
        <v>1</v>
      </c>
      <c r="CQ62" s="50">
        <v>4</v>
      </c>
      <c r="CR62" s="50">
        <v>1</v>
      </c>
      <c r="CS62" s="50">
        <v>3</v>
      </c>
      <c r="CT62" s="50">
        <v>1</v>
      </c>
      <c r="CU62" s="50">
        <v>3</v>
      </c>
      <c r="CV62" s="50">
        <v>3</v>
      </c>
      <c r="CW62" s="51">
        <v>1.05</v>
      </c>
      <c r="CX62" s="87">
        <v>1.1150377561073679</v>
      </c>
      <c r="CY62" s="88">
        <v>1.1267298112245603</v>
      </c>
      <c r="CZ62" s="89" t="s">
        <v>1305</v>
      </c>
      <c r="DA62" s="52">
        <v>1</v>
      </c>
      <c r="DB62" s="52">
        <v>1.1000000000000001</v>
      </c>
      <c r="DC62" s="52">
        <v>1</v>
      </c>
      <c r="DD62" s="52">
        <v>1.02</v>
      </c>
      <c r="DE62" s="52">
        <v>1</v>
      </c>
      <c r="DF62" s="52">
        <v>1.05</v>
      </c>
      <c r="DG62" s="182">
        <v>44</v>
      </c>
    </row>
    <row r="63" spans="1:114" ht="24">
      <c r="A63" s="156">
        <v>1198</v>
      </c>
      <c r="B63" s="168" t="s">
        <v>525</v>
      </c>
      <c r="C63" s="151" t="s">
        <v>525</v>
      </c>
      <c r="D63" s="152" t="s">
        <v>526</v>
      </c>
      <c r="E63" s="153" t="s">
        <v>402</v>
      </c>
      <c r="F63" s="144" t="s">
        <v>54</v>
      </c>
      <c r="G63" s="125" t="s">
        <v>521</v>
      </c>
      <c r="H63" s="154" t="s">
        <v>402</v>
      </c>
      <c r="I63" s="123" t="s">
        <v>402</v>
      </c>
      <c r="J63" s="124">
        <v>0</v>
      </c>
      <c r="K63" s="125" t="s">
        <v>395</v>
      </c>
      <c r="L63" s="728">
        <v>0.76249999999999996</v>
      </c>
      <c r="M63" s="29">
        <v>1</v>
      </c>
      <c r="N63" s="1">
        <v>1.1267298112245603</v>
      </c>
      <c r="O63" s="139" t="s">
        <v>1304</v>
      </c>
      <c r="P63" s="728">
        <v>0.76249999999999996</v>
      </c>
      <c r="Q63" s="29">
        <v>1</v>
      </c>
      <c r="R63" s="1">
        <v>1.1267298112245603</v>
      </c>
      <c r="S63" s="139" t="s">
        <v>1304</v>
      </c>
      <c r="T63" s="728">
        <v>0.76249999999999996</v>
      </c>
      <c r="U63" s="29">
        <v>1</v>
      </c>
      <c r="V63" s="1">
        <v>1.1267298112245603</v>
      </c>
      <c r="W63" s="139" t="s">
        <v>1304</v>
      </c>
      <c r="X63" s="728">
        <v>0.76249999999999996</v>
      </c>
      <c r="Y63" s="29">
        <v>1</v>
      </c>
      <c r="Z63" s="1">
        <v>1.1267298112245603</v>
      </c>
      <c r="AA63" s="139" t="s">
        <v>1304</v>
      </c>
      <c r="AB63" s="728">
        <v>0.76249999999999996</v>
      </c>
      <c r="AC63" s="29">
        <v>1</v>
      </c>
      <c r="AD63" s="1">
        <v>1.1267298112245603</v>
      </c>
      <c r="AE63" s="139" t="s">
        <v>1304</v>
      </c>
      <c r="AF63" s="728">
        <v>0.76249999999999996</v>
      </c>
      <c r="AG63" s="29">
        <v>1</v>
      </c>
      <c r="AH63" s="1">
        <v>1.1267298112245603</v>
      </c>
      <c r="AI63" s="139" t="s">
        <v>1304</v>
      </c>
      <c r="AJ63" s="729">
        <v>0.76249999999999996</v>
      </c>
      <c r="AK63" s="29">
        <v>1</v>
      </c>
      <c r="AL63" s="1">
        <v>1.1267298112245603</v>
      </c>
      <c r="AM63" s="139" t="s">
        <v>1304</v>
      </c>
      <c r="AN63" s="728">
        <v>0.76249999999999996</v>
      </c>
      <c r="AO63" s="29">
        <v>1</v>
      </c>
      <c r="AP63" s="1">
        <v>1.1267298112245603</v>
      </c>
      <c r="AQ63" s="139" t="s">
        <v>1304</v>
      </c>
      <c r="AR63" s="728">
        <v>0.76249999999999996</v>
      </c>
      <c r="AS63" s="29">
        <v>1</v>
      </c>
      <c r="AT63" s="1">
        <v>1.1267298112245603</v>
      </c>
      <c r="AU63" s="139" t="s">
        <v>1304</v>
      </c>
      <c r="AV63" s="728">
        <v>0.76249999999999996</v>
      </c>
      <c r="AW63" s="29">
        <v>1</v>
      </c>
      <c r="AX63" s="1">
        <v>1.1267298112245603</v>
      </c>
      <c r="AY63" s="139" t="s">
        <v>1304</v>
      </c>
      <c r="AZ63" s="728">
        <v>0.76249999999999996</v>
      </c>
      <c r="BA63" s="29">
        <v>1</v>
      </c>
      <c r="BB63" s="1">
        <v>1.1267298112245603</v>
      </c>
      <c r="BC63" s="139" t="s">
        <v>1304</v>
      </c>
      <c r="BD63" s="728">
        <v>0.76249999999999996</v>
      </c>
      <c r="BE63" s="29">
        <v>1</v>
      </c>
      <c r="BF63" s="1">
        <v>1.1267298112245603</v>
      </c>
      <c r="BG63" s="139" t="s">
        <v>1304</v>
      </c>
      <c r="BH63" s="728">
        <v>0.76249999999999996</v>
      </c>
      <c r="BI63" s="29">
        <v>1</v>
      </c>
      <c r="BJ63" s="1">
        <v>1.1267298112245603</v>
      </c>
      <c r="BK63" s="139" t="s">
        <v>1304</v>
      </c>
      <c r="BL63" s="728">
        <v>0.76249999999999996</v>
      </c>
      <c r="BM63" s="29">
        <v>1</v>
      </c>
      <c r="BN63" s="1">
        <v>1.1267298112245603</v>
      </c>
      <c r="BO63" s="139" t="s">
        <v>1304</v>
      </c>
      <c r="BP63" s="728">
        <v>0.76249999999999996</v>
      </c>
      <c r="BQ63" s="29">
        <v>1</v>
      </c>
      <c r="BR63" s="1">
        <v>1.1267298112245603</v>
      </c>
      <c r="BS63" s="139" t="s">
        <v>1304</v>
      </c>
      <c r="BT63" s="728">
        <v>0.76249999999999996</v>
      </c>
      <c r="BU63" s="29">
        <v>1</v>
      </c>
      <c r="BV63" s="1">
        <v>1.1267298112245603</v>
      </c>
      <c r="BW63" s="139" t="s">
        <v>1304</v>
      </c>
      <c r="BX63" s="31"/>
      <c r="BY63" s="155">
        <v>0.76249999999999996</v>
      </c>
      <c r="BZ63" s="29">
        <v>1</v>
      </c>
      <c r="CA63" s="1">
        <v>1.1267298112245603</v>
      </c>
      <c r="CB63" s="139" t="s">
        <v>1304</v>
      </c>
      <c r="CC63" s="155">
        <v>0.76249999999999996</v>
      </c>
      <c r="CD63" s="29">
        <v>1</v>
      </c>
      <c r="CE63" s="1">
        <v>1.1267298112245603</v>
      </c>
      <c r="CF63" s="31" t="s">
        <v>1304</v>
      </c>
      <c r="CG63" s="253">
        <v>1.0955851050509604</v>
      </c>
      <c r="CH63" s="253"/>
      <c r="CI63" s="182">
        <v>0</v>
      </c>
      <c r="CJ63" s="182"/>
      <c r="CK63" s="253"/>
      <c r="CL63" s="182"/>
      <c r="CM63" s="259">
        <v>0.13125000000000001</v>
      </c>
      <c r="CN63" s="694">
        <v>0.76249999999999996</v>
      </c>
      <c r="CO63" s="115" t="s">
        <v>1124</v>
      </c>
      <c r="CP63" s="272">
        <v>1</v>
      </c>
      <c r="CQ63" s="272">
        <v>4</v>
      </c>
      <c r="CR63" s="272">
        <v>1</v>
      </c>
      <c r="CS63" s="272">
        <v>3</v>
      </c>
      <c r="CT63" s="272">
        <v>1</v>
      </c>
      <c r="CU63" s="272">
        <v>3</v>
      </c>
      <c r="CV63" s="50">
        <v>3</v>
      </c>
      <c r="CW63" s="51">
        <v>1.05</v>
      </c>
      <c r="CX63" s="87">
        <v>1.1150377561073679</v>
      </c>
      <c r="CY63" s="88">
        <v>1.1267298112245603</v>
      </c>
      <c r="CZ63" s="89" t="s">
        <v>1305</v>
      </c>
      <c r="DA63" s="52">
        <v>1</v>
      </c>
      <c r="DB63" s="52">
        <v>1.1000000000000001</v>
      </c>
      <c r="DC63" s="52">
        <v>1</v>
      </c>
      <c r="DD63" s="52">
        <v>1.02</v>
      </c>
      <c r="DE63" s="52">
        <v>1</v>
      </c>
      <c r="DF63" s="52">
        <v>1.05</v>
      </c>
    </row>
    <row r="64" spans="1:114" ht="24">
      <c r="A64" s="120">
        <v>33062</v>
      </c>
      <c r="B64" s="37"/>
      <c r="C64" s="151" t="s">
        <v>525</v>
      </c>
      <c r="D64" s="152" t="s">
        <v>526</v>
      </c>
      <c r="E64" s="153" t="s">
        <v>402</v>
      </c>
      <c r="F64" s="144" t="s">
        <v>1313</v>
      </c>
      <c r="G64" s="125" t="s">
        <v>521</v>
      </c>
      <c r="H64" s="154" t="s">
        <v>402</v>
      </c>
      <c r="I64" s="123" t="s">
        <v>402</v>
      </c>
      <c r="J64" s="124">
        <v>0</v>
      </c>
      <c r="K64" s="125" t="s">
        <v>395</v>
      </c>
      <c r="L64" s="728">
        <v>1.5874999999999997E-2</v>
      </c>
      <c r="M64" s="29">
        <v>1</v>
      </c>
      <c r="N64" s="1">
        <v>1.1267298112245603</v>
      </c>
      <c r="O64" s="139" t="s">
        <v>1304</v>
      </c>
      <c r="P64" s="728">
        <v>1.5874999999999997E-2</v>
      </c>
      <c r="Q64" s="29">
        <v>1</v>
      </c>
      <c r="R64" s="1">
        <v>1.1267298112245603</v>
      </c>
      <c r="S64" s="139" t="s">
        <v>1304</v>
      </c>
      <c r="T64" s="728">
        <v>1.5874999999999997E-2</v>
      </c>
      <c r="U64" s="29">
        <v>1</v>
      </c>
      <c r="V64" s="1">
        <v>1.1267298112245603</v>
      </c>
      <c r="W64" s="139" t="s">
        <v>1304</v>
      </c>
      <c r="X64" s="728">
        <v>1.5874999999999997E-2</v>
      </c>
      <c r="Y64" s="29">
        <v>1</v>
      </c>
      <c r="Z64" s="1">
        <v>1.1267298112245603</v>
      </c>
      <c r="AA64" s="139" t="s">
        <v>1304</v>
      </c>
      <c r="AB64" s="728">
        <v>1.5874999999999997E-2</v>
      </c>
      <c r="AC64" s="29">
        <v>1</v>
      </c>
      <c r="AD64" s="1">
        <v>1.1267298112245603</v>
      </c>
      <c r="AE64" s="139" t="s">
        <v>1304</v>
      </c>
      <c r="AF64" s="728">
        <v>1.5874999999999997E-2</v>
      </c>
      <c r="AG64" s="29">
        <v>1</v>
      </c>
      <c r="AH64" s="1">
        <v>1.1267298112245603</v>
      </c>
      <c r="AI64" s="139" t="s">
        <v>1304</v>
      </c>
      <c r="AJ64" s="729">
        <v>1.5874999999999997E-2</v>
      </c>
      <c r="AK64" s="29">
        <v>1</v>
      </c>
      <c r="AL64" s="1">
        <v>1.1267298112245603</v>
      </c>
      <c r="AM64" s="139" t="s">
        <v>1304</v>
      </c>
      <c r="AN64" s="728">
        <v>1.5874999999999997E-2</v>
      </c>
      <c r="AO64" s="29">
        <v>1</v>
      </c>
      <c r="AP64" s="1">
        <v>1.1267298112245603</v>
      </c>
      <c r="AQ64" s="139" t="s">
        <v>1304</v>
      </c>
      <c r="AR64" s="728">
        <v>1.5874999999999997E-2</v>
      </c>
      <c r="AS64" s="29">
        <v>1</v>
      </c>
      <c r="AT64" s="1">
        <v>1.1267298112245603</v>
      </c>
      <c r="AU64" s="139" t="s">
        <v>1304</v>
      </c>
      <c r="AV64" s="728">
        <v>1.5874999999999997E-2</v>
      </c>
      <c r="AW64" s="29">
        <v>1</v>
      </c>
      <c r="AX64" s="1">
        <v>1.1267298112245603</v>
      </c>
      <c r="AY64" s="139" t="s">
        <v>1304</v>
      </c>
      <c r="AZ64" s="728">
        <v>1.5874999999999997E-2</v>
      </c>
      <c r="BA64" s="29">
        <v>1</v>
      </c>
      <c r="BB64" s="1">
        <v>1.1267298112245603</v>
      </c>
      <c r="BC64" s="139" t="s">
        <v>1304</v>
      </c>
      <c r="BD64" s="728">
        <v>1.5874999999999997E-2</v>
      </c>
      <c r="BE64" s="29">
        <v>1</v>
      </c>
      <c r="BF64" s="1">
        <v>1.1267298112245603</v>
      </c>
      <c r="BG64" s="139" t="s">
        <v>1304</v>
      </c>
      <c r="BH64" s="728">
        <v>1.5874999999999997E-2</v>
      </c>
      <c r="BI64" s="29">
        <v>1</v>
      </c>
      <c r="BJ64" s="1">
        <v>1.1267298112245603</v>
      </c>
      <c r="BK64" s="139" t="s">
        <v>1304</v>
      </c>
      <c r="BL64" s="728">
        <v>1.5874999999999997E-2</v>
      </c>
      <c r="BM64" s="29">
        <v>1</v>
      </c>
      <c r="BN64" s="1">
        <v>1.1267298112245603</v>
      </c>
      <c r="BO64" s="139" t="s">
        <v>1304</v>
      </c>
      <c r="BP64" s="728">
        <v>1.5874999999999997E-2</v>
      </c>
      <c r="BQ64" s="29">
        <v>1</v>
      </c>
      <c r="BR64" s="1">
        <v>1.1267298112245603</v>
      </c>
      <c r="BS64" s="139" t="s">
        <v>1304</v>
      </c>
      <c r="BT64" s="728">
        <v>1.5874999999999997E-2</v>
      </c>
      <c r="BU64" s="29">
        <v>1</v>
      </c>
      <c r="BV64" s="1">
        <v>1.1267298112245603</v>
      </c>
      <c r="BW64" s="139" t="s">
        <v>1304</v>
      </c>
      <c r="BX64" s="31"/>
      <c r="BY64" s="155">
        <v>1.5874999999999997E-2</v>
      </c>
      <c r="BZ64" s="29">
        <v>1</v>
      </c>
      <c r="CA64" s="1">
        <v>1.1267298112245603</v>
      </c>
      <c r="CB64" s="139" t="s">
        <v>1304</v>
      </c>
      <c r="CC64" s="155">
        <v>1.5874999999999997E-2</v>
      </c>
      <c r="CD64" s="29">
        <v>1</v>
      </c>
      <c r="CE64" s="1">
        <v>1.1267298112245603</v>
      </c>
      <c r="CF64" s="31" t="s">
        <v>1304</v>
      </c>
      <c r="CG64" s="253">
        <v>8.1386322089499908E-3</v>
      </c>
      <c r="CH64" s="253"/>
      <c r="CI64" s="182">
        <v>1.0955851050509603E-2</v>
      </c>
      <c r="CJ64" s="182"/>
      <c r="CK64" s="253"/>
      <c r="CL64" s="182">
        <v>240</v>
      </c>
      <c r="CM64" s="259">
        <v>1.745625E-2</v>
      </c>
      <c r="CN64" s="694">
        <v>1.5874999999999997E-2</v>
      </c>
      <c r="CO64" s="115" t="s">
        <v>1124</v>
      </c>
      <c r="CP64" s="272">
        <v>1</v>
      </c>
      <c r="CQ64" s="272">
        <v>4</v>
      </c>
      <c r="CR64" s="272">
        <v>1</v>
      </c>
      <c r="CS64" s="272">
        <v>3</v>
      </c>
      <c r="CT64" s="272">
        <v>1</v>
      </c>
      <c r="CU64" s="272">
        <v>3</v>
      </c>
      <c r="CV64" s="50">
        <v>3</v>
      </c>
      <c r="CW64" s="51">
        <v>1.05</v>
      </c>
      <c r="CX64" s="87">
        <v>1.1150377561073679</v>
      </c>
      <c r="CY64" s="88">
        <v>1.1267298112245603</v>
      </c>
      <c r="CZ64" s="89" t="s">
        <v>1305</v>
      </c>
      <c r="DA64" s="52">
        <v>1</v>
      </c>
      <c r="DB64" s="52">
        <v>1.1000000000000001</v>
      </c>
      <c r="DC64" s="52">
        <v>1</v>
      </c>
      <c r="DD64" s="52">
        <v>1.02</v>
      </c>
      <c r="DE64" s="52">
        <v>1</v>
      </c>
      <c r="DF64" s="52">
        <v>1.05</v>
      </c>
    </row>
    <row r="65" spans="1:114" s="689" customFormat="1" ht="24">
      <c r="A65" s="693">
        <v>3110</v>
      </c>
      <c r="B65" s="721"/>
      <c r="C65" s="672" t="s">
        <v>525</v>
      </c>
      <c r="D65" s="673" t="s">
        <v>526</v>
      </c>
      <c r="E65" s="674" t="s">
        <v>402</v>
      </c>
      <c r="F65" s="675" t="s">
        <v>1314</v>
      </c>
      <c r="G65" s="676" t="s">
        <v>521</v>
      </c>
      <c r="H65" s="677" t="s">
        <v>402</v>
      </c>
      <c r="I65" s="678" t="s">
        <v>402</v>
      </c>
      <c r="J65" s="679">
        <v>0</v>
      </c>
      <c r="K65" s="676" t="s">
        <v>522</v>
      </c>
      <c r="L65" s="730">
        <v>0.05</v>
      </c>
      <c r="M65" s="681">
        <v>10</v>
      </c>
      <c r="N65" s="682">
        <v>1.2859877072397368</v>
      </c>
      <c r="O65" s="683" t="s">
        <v>1302</v>
      </c>
      <c r="P65" s="730">
        <v>0.05</v>
      </c>
      <c r="Q65" s="681">
        <v>10</v>
      </c>
      <c r="R65" s="682">
        <v>1.2859877072397368</v>
      </c>
      <c r="S65" s="683" t="s">
        <v>1302</v>
      </c>
      <c r="T65" s="730">
        <v>0.05</v>
      </c>
      <c r="U65" s="681">
        <v>10</v>
      </c>
      <c r="V65" s="682">
        <v>1.2859877072397368</v>
      </c>
      <c r="W65" s="683" t="s">
        <v>1302</v>
      </c>
      <c r="X65" s="730">
        <v>0.05</v>
      </c>
      <c r="Y65" s="681">
        <v>10</v>
      </c>
      <c r="Z65" s="682">
        <v>1.2859877072397368</v>
      </c>
      <c r="AA65" s="683" t="s">
        <v>1302</v>
      </c>
      <c r="AB65" s="730">
        <v>0.05</v>
      </c>
      <c r="AC65" s="681">
        <v>10</v>
      </c>
      <c r="AD65" s="682">
        <v>1.2859877072397368</v>
      </c>
      <c r="AE65" s="683" t="s">
        <v>1302</v>
      </c>
      <c r="AF65" s="730">
        <v>0.05</v>
      </c>
      <c r="AG65" s="681">
        <v>10</v>
      </c>
      <c r="AH65" s="682">
        <v>1.2859877072397368</v>
      </c>
      <c r="AI65" s="683" t="s">
        <v>1302</v>
      </c>
      <c r="AJ65" s="730">
        <v>0.05</v>
      </c>
      <c r="AK65" s="681">
        <v>10</v>
      </c>
      <c r="AL65" s="682">
        <v>1.2859877072397368</v>
      </c>
      <c r="AM65" s="683" t="s">
        <v>1302</v>
      </c>
      <c r="AN65" s="730">
        <v>0.05</v>
      </c>
      <c r="AO65" s="681">
        <v>10</v>
      </c>
      <c r="AP65" s="682">
        <v>1.2859877072397368</v>
      </c>
      <c r="AQ65" s="683" t="s">
        <v>1302</v>
      </c>
      <c r="AR65" s="730">
        <v>0.05</v>
      </c>
      <c r="AS65" s="681">
        <v>10</v>
      </c>
      <c r="AT65" s="682">
        <v>1.2859877072397368</v>
      </c>
      <c r="AU65" s="683" t="s">
        <v>1302</v>
      </c>
      <c r="AV65" s="730">
        <v>0.05</v>
      </c>
      <c r="AW65" s="681">
        <v>10</v>
      </c>
      <c r="AX65" s="682">
        <v>1.2859877072397368</v>
      </c>
      <c r="AY65" s="683" t="s">
        <v>1302</v>
      </c>
      <c r="AZ65" s="730">
        <v>0.05</v>
      </c>
      <c r="BA65" s="681">
        <v>10</v>
      </c>
      <c r="BB65" s="682">
        <v>1.2859877072397368</v>
      </c>
      <c r="BC65" s="683" t="s">
        <v>1302</v>
      </c>
      <c r="BD65" s="730">
        <v>0.05</v>
      </c>
      <c r="BE65" s="681">
        <v>10</v>
      </c>
      <c r="BF65" s="682">
        <v>1.2859877072397368</v>
      </c>
      <c r="BG65" s="683" t="s">
        <v>1302</v>
      </c>
      <c r="BH65" s="730">
        <v>0.05</v>
      </c>
      <c r="BI65" s="681">
        <v>10</v>
      </c>
      <c r="BJ65" s="682">
        <v>1.2859877072397368</v>
      </c>
      <c r="BK65" s="683" t="s">
        <v>1302</v>
      </c>
      <c r="BL65" s="730">
        <v>0.05</v>
      </c>
      <c r="BM65" s="681">
        <v>10</v>
      </c>
      <c r="BN65" s="682">
        <v>1.2859877072397368</v>
      </c>
      <c r="BO65" s="683" t="s">
        <v>1302</v>
      </c>
      <c r="BP65" s="730">
        <v>0.05</v>
      </c>
      <c r="BQ65" s="681">
        <v>10</v>
      </c>
      <c r="BR65" s="682">
        <v>1.2859877072397368</v>
      </c>
      <c r="BS65" s="683" t="s">
        <v>1302</v>
      </c>
      <c r="BT65" s="730">
        <v>0.05</v>
      </c>
      <c r="BU65" s="681">
        <v>10</v>
      </c>
      <c r="BV65" s="682">
        <v>1.2859877072397368</v>
      </c>
      <c r="BW65" s="683" t="s">
        <v>1302</v>
      </c>
      <c r="BX65" s="684"/>
      <c r="BY65" s="680">
        <v>0.05</v>
      </c>
      <c r="BZ65" s="681">
        <v>10</v>
      </c>
      <c r="CA65" s="682">
        <v>1.2859877072397368</v>
      </c>
      <c r="CB65" s="683" t="s">
        <v>1302</v>
      </c>
      <c r="CC65" s="680">
        <v>0.05</v>
      </c>
      <c r="CD65" s="681">
        <v>1</v>
      </c>
      <c r="CE65" s="682">
        <v>1.2859877072397368</v>
      </c>
      <c r="CF65" s="684" t="s">
        <v>1302</v>
      </c>
      <c r="CG65" s="712"/>
      <c r="CH65" s="712"/>
      <c r="CI65" s="716"/>
      <c r="CJ65" s="716"/>
      <c r="CK65" s="712"/>
      <c r="CL65" s="716"/>
      <c r="CM65" s="722"/>
      <c r="CN65" s="720">
        <v>0.05</v>
      </c>
      <c r="CO65" s="723" t="s">
        <v>1124</v>
      </c>
      <c r="CP65" s="674">
        <v>3</v>
      </c>
      <c r="CQ65" s="673">
        <v>4</v>
      </c>
      <c r="CR65" s="673">
        <v>3</v>
      </c>
      <c r="CS65" s="673">
        <v>3</v>
      </c>
      <c r="CT65" s="673">
        <v>1</v>
      </c>
      <c r="CU65" s="673">
        <v>5</v>
      </c>
      <c r="CV65" s="673">
        <v>3</v>
      </c>
      <c r="CW65" s="685">
        <v>1.05</v>
      </c>
      <c r="CX65" s="686">
        <v>1.2798586482969265</v>
      </c>
      <c r="CY65" s="724">
        <v>1.2859877072397368</v>
      </c>
      <c r="CZ65" s="687" t="s">
        <v>1145</v>
      </c>
      <c r="DA65" s="688">
        <v>1.1000000000000001</v>
      </c>
      <c r="DB65" s="688">
        <v>1.1000000000000001</v>
      </c>
      <c r="DC65" s="688">
        <v>1.1000000000000001</v>
      </c>
      <c r="DD65" s="688">
        <v>1.02</v>
      </c>
      <c r="DE65" s="688">
        <v>1</v>
      </c>
      <c r="DF65" s="688">
        <v>1.2</v>
      </c>
      <c r="DI65" s="725"/>
      <c r="DJ65" s="725"/>
    </row>
    <row r="66" spans="1:114" s="689" customFormat="1" ht="24">
      <c r="A66" s="693">
        <v>825</v>
      </c>
      <c r="B66" s="721"/>
      <c r="C66" s="672" t="s">
        <v>525</v>
      </c>
      <c r="D66" s="673" t="s">
        <v>526</v>
      </c>
      <c r="E66" s="674" t="s">
        <v>402</v>
      </c>
      <c r="F66" s="675" t="s">
        <v>1213</v>
      </c>
      <c r="G66" s="676" t="s">
        <v>51</v>
      </c>
      <c r="H66" s="677" t="s">
        <v>402</v>
      </c>
      <c r="I66" s="678" t="s">
        <v>402</v>
      </c>
      <c r="J66" s="679">
        <v>0</v>
      </c>
      <c r="K66" s="676" t="s">
        <v>395</v>
      </c>
      <c r="L66" s="730">
        <v>6.2375E-2</v>
      </c>
      <c r="M66" s="681">
        <v>4</v>
      </c>
      <c r="N66" s="682">
        <v>1.2859877072397368</v>
      </c>
      <c r="O66" s="683" t="s">
        <v>1302</v>
      </c>
      <c r="P66" s="730">
        <v>6.2375E-2</v>
      </c>
      <c r="Q66" s="681">
        <v>4</v>
      </c>
      <c r="R66" s="682">
        <v>1.2859877072397368</v>
      </c>
      <c r="S66" s="683" t="s">
        <v>1302</v>
      </c>
      <c r="T66" s="730">
        <v>6.2375E-2</v>
      </c>
      <c r="U66" s="681">
        <v>4</v>
      </c>
      <c r="V66" s="682">
        <v>1.2859877072397368</v>
      </c>
      <c r="W66" s="683" t="s">
        <v>1302</v>
      </c>
      <c r="X66" s="730">
        <v>6.2375E-2</v>
      </c>
      <c r="Y66" s="681">
        <v>4</v>
      </c>
      <c r="Z66" s="682">
        <v>1.2859877072397368</v>
      </c>
      <c r="AA66" s="683" t="s">
        <v>1302</v>
      </c>
      <c r="AB66" s="730">
        <v>6.2375E-2</v>
      </c>
      <c r="AC66" s="681">
        <v>4</v>
      </c>
      <c r="AD66" s="682">
        <v>1.2859877072397368</v>
      </c>
      <c r="AE66" s="683" t="s">
        <v>1302</v>
      </c>
      <c r="AF66" s="730">
        <v>6.2375E-2</v>
      </c>
      <c r="AG66" s="681">
        <v>4</v>
      </c>
      <c r="AH66" s="682">
        <v>1.2859877072397368</v>
      </c>
      <c r="AI66" s="683" t="s">
        <v>1302</v>
      </c>
      <c r="AJ66" s="730">
        <v>6.2375E-2</v>
      </c>
      <c r="AK66" s="681">
        <v>4</v>
      </c>
      <c r="AL66" s="682">
        <v>1.2859877072397368</v>
      </c>
      <c r="AM66" s="683" t="s">
        <v>1302</v>
      </c>
      <c r="AN66" s="730">
        <v>6.2375E-2</v>
      </c>
      <c r="AO66" s="681">
        <v>4</v>
      </c>
      <c r="AP66" s="682">
        <v>1.2859877072397368</v>
      </c>
      <c r="AQ66" s="683" t="s">
        <v>1302</v>
      </c>
      <c r="AR66" s="730">
        <v>6.2375E-2</v>
      </c>
      <c r="AS66" s="681">
        <v>4</v>
      </c>
      <c r="AT66" s="682">
        <v>1.2859877072397368</v>
      </c>
      <c r="AU66" s="683" t="s">
        <v>1302</v>
      </c>
      <c r="AV66" s="730">
        <v>6.2375E-2</v>
      </c>
      <c r="AW66" s="681">
        <v>4</v>
      </c>
      <c r="AX66" s="682">
        <v>1.2859877072397368</v>
      </c>
      <c r="AY66" s="683" t="s">
        <v>1302</v>
      </c>
      <c r="AZ66" s="730">
        <v>6.2375E-2</v>
      </c>
      <c r="BA66" s="681">
        <v>4</v>
      </c>
      <c r="BB66" s="682">
        <v>1.2859877072397368</v>
      </c>
      <c r="BC66" s="683" t="s">
        <v>1302</v>
      </c>
      <c r="BD66" s="730">
        <v>6.2375E-2</v>
      </c>
      <c r="BE66" s="681">
        <v>4</v>
      </c>
      <c r="BF66" s="682">
        <v>1.2859877072397368</v>
      </c>
      <c r="BG66" s="683" t="s">
        <v>1302</v>
      </c>
      <c r="BH66" s="730">
        <v>6.2375E-2</v>
      </c>
      <c r="BI66" s="681">
        <v>4</v>
      </c>
      <c r="BJ66" s="682">
        <v>1.2859877072397368</v>
      </c>
      <c r="BK66" s="683" t="s">
        <v>1302</v>
      </c>
      <c r="BL66" s="730">
        <v>6.2375E-2</v>
      </c>
      <c r="BM66" s="681">
        <v>4</v>
      </c>
      <c r="BN66" s="682">
        <v>1.2859877072397368</v>
      </c>
      <c r="BO66" s="683" t="s">
        <v>1302</v>
      </c>
      <c r="BP66" s="730">
        <v>6.2375E-2</v>
      </c>
      <c r="BQ66" s="681">
        <v>4</v>
      </c>
      <c r="BR66" s="682">
        <v>1.2859877072397368</v>
      </c>
      <c r="BS66" s="683" t="s">
        <v>1302</v>
      </c>
      <c r="BT66" s="730">
        <v>6.2375E-2</v>
      </c>
      <c r="BU66" s="681">
        <v>4</v>
      </c>
      <c r="BV66" s="682">
        <v>1.2859877072397368</v>
      </c>
      <c r="BW66" s="683" t="s">
        <v>1302</v>
      </c>
      <c r="BX66" s="684"/>
      <c r="BY66" s="680">
        <v>6.2375E-2</v>
      </c>
      <c r="BZ66" s="681">
        <v>4</v>
      </c>
      <c r="CA66" s="682">
        <v>1.2859877072397368</v>
      </c>
      <c r="CB66" s="683" t="s">
        <v>1302</v>
      </c>
      <c r="CC66" s="680">
        <v>6.2375E-2</v>
      </c>
      <c r="CD66" s="681">
        <v>1</v>
      </c>
      <c r="CE66" s="682">
        <v>1.2859877072397368</v>
      </c>
      <c r="CF66" s="684" t="s">
        <v>1302</v>
      </c>
      <c r="CG66" s="712"/>
      <c r="CH66" s="712"/>
      <c r="CI66" s="716"/>
      <c r="CJ66" s="716"/>
      <c r="CK66" s="712"/>
      <c r="CL66" s="716"/>
      <c r="CM66" s="722"/>
      <c r="CN66" s="720">
        <v>6.2375E-2</v>
      </c>
      <c r="CO66" s="723" t="s">
        <v>1124</v>
      </c>
      <c r="CP66" s="674">
        <v>3</v>
      </c>
      <c r="CQ66" s="673">
        <v>4</v>
      </c>
      <c r="CR66" s="673">
        <v>3</v>
      </c>
      <c r="CS66" s="673">
        <v>3</v>
      </c>
      <c r="CT66" s="673">
        <v>1</v>
      </c>
      <c r="CU66" s="673">
        <v>5</v>
      </c>
      <c r="CV66" s="673">
        <v>3</v>
      </c>
      <c r="CW66" s="685">
        <v>1.05</v>
      </c>
      <c r="CX66" s="686">
        <v>1.2798586482969265</v>
      </c>
      <c r="CY66" s="724">
        <v>1.2859877072397368</v>
      </c>
      <c r="CZ66" s="687" t="s">
        <v>1145</v>
      </c>
      <c r="DA66" s="688">
        <v>1.1000000000000001</v>
      </c>
      <c r="DB66" s="688">
        <v>1.1000000000000001</v>
      </c>
      <c r="DC66" s="688">
        <v>1.1000000000000001</v>
      </c>
      <c r="DD66" s="688">
        <v>1.02</v>
      </c>
      <c r="DE66" s="688">
        <v>1</v>
      </c>
      <c r="DF66" s="688">
        <v>1.2</v>
      </c>
      <c r="DI66" s="725"/>
      <c r="DJ66" s="725"/>
    </row>
    <row r="67" spans="1:114" s="689" customFormat="1" ht="24">
      <c r="A67" s="693">
        <v>2814</v>
      </c>
      <c r="B67" s="721"/>
      <c r="C67" s="672" t="s">
        <v>525</v>
      </c>
      <c r="D67" s="673" t="s">
        <v>526</v>
      </c>
      <c r="E67" s="674" t="s">
        <v>402</v>
      </c>
      <c r="F67" s="675" t="s">
        <v>1261</v>
      </c>
      <c r="G67" s="676" t="s">
        <v>521</v>
      </c>
      <c r="H67" s="677" t="s">
        <v>402</v>
      </c>
      <c r="I67" s="678" t="s">
        <v>402</v>
      </c>
      <c r="J67" s="679">
        <v>0</v>
      </c>
      <c r="K67" s="676" t="s">
        <v>395</v>
      </c>
      <c r="L67" s="730">
        <v>1.4687499999999998E-4</v>
      </c>
      <c r="M67" s="681">
        <v>2</v>
      </c>
      <c r="N67" s="682">
        <v>1.2859877072397368</v>
      </c>
      <c r="O67" s="683" t="s">
        <v>1302</v>
      </c>
      <c r="P67" s="730">
        <v>1.4687499999999998E-4</v>
      </c>
      <c r="Q67" s="681">
        <v>2</v>
      </c>
      <c r="R67" s="682">
        <v>1.2859877072397368</v>
      </c>
      <c r="S67" s="683" t="s">
        <v>1302</v>
      </c>
      <c r="T67" s="730">
        <v>1.4687499999999998E-4</v>
      </c>
      <c r="U67" s="681">
        <v>2</v>
      </c>
      <c r="V67" s="682">
        <v>1.2859877072397368</v>
      </c>
      <c r="W67" s="683" t="s">
        <v>1302</v>
      </c>
      <c r="X67" s="730">
        <v>1.4687499999999998E-4</v>
      </c>
      <c r="Y67" s="681">
        <v>2</v>
      </c>
      <c r="Z67" s="682">
        <v>1.2859877072397368</v>
      </c>
      <c r="AA67" s="683" t="s">
        <v>1302</v>
      </c>
      <c r="AB67" s="730">
        <v>1.4687499999999998E-4</v>
      </c>
      <c r="AC67" s="681">
        <v>2</v>
      </c>
      <c r="AD67" s="682">
        <v>1.2859877072397368</v>
      </c>
      <c r="AE67" s="683" t="s">
        <v>1302</v>
      </c>
      <c r="AF67" s="730">
        <v>1.4687499999999998E-4</v>
      </c>
      <c r="AG67" s="681">
        <v>2</v>
      </c>
      <c r="AH67" s="682">
        <v>1.2859877072397368</v>
      </c>
      <c r="AI67" s="683" t="s">
        <v>1302</v>
      </c>
      <c r="AJ67" s="730">
        <v>1.4687499999999998E-4</v>
      </c>
      <c r="AK67" s="681">
        <v>2</v>
      </c>
      <c r="AL67" s="682">
        <v>1.2859877072397368</v>
      </c>
      <c r="AM67" s="683" t="s">
        <v>1302</v>
      </c>
      <c r="AN67" s="730">
        <v>1.4687499999999998E-4</v>
      </c>
      <c r="AO67" s="681">
        <v>2</v>
      </c>
      <c r="AP67" s="682">
        <v>1.2859877072397368</v>
      </c>
      <c r="AQ67" s="683" t="s">
        <v>1302</v>
      </c>
      <c r="AR67" s="730">
        <v>1.4687499999999998E-4</v>
      </c>
      <c r="AS67" s="681">
        <v>2</v>
      </c>
      <c r="AT67" s="682">
        <v>1.2859877072397368</v>
      </c>
      <c r="AU67" s="683" t="s">
        <v>1302</v>
      </c>
      <c r="AV67" s="730">
        <v>1.4687499999999998E-4</v>
      </c>
      <c r="AW67" s="681">
        <v>2</v>
      </c>
      <c r="AX67" s="682">
        <v>1.2859877072397368</v>
      </c>
      <c r="AY67" s="683" t="s">
        <v>1302</v>
      </c>
      <c r="AZ67" s="730">
        <v>1.4687499999999998E-4</v>
      </c>
      <c r="BA67" s="681">
        <v>2</v>
      </c>
      <c r="BB67" s="682">
        <v>1.2859877072397368</v>
      </c>
      <c r="BC67" s="683" t="s">
        <v>1302</v>
      </c>
      <c r="BD67" s="730">
        <v>1.4687499999999998E-4</v>
      </c>
      <c r="BE67" s="681">
        <v>2</v>
      </c>
      <c r="BF67" s="682">
        <v>1.2859877072397368</v>
      </c>
      <c r="BG67" s="683" t="s">
        <v>1302</v>
      </c>
      <c r="BH67" s="730">
        <v>1.4687499999999998E-4</v>
      </c>
      <c r="BI67" s="681">
        <v>2</v>
      </c>
      <c r="BJ67" s="682">
        <v>1.2859877072397368</v>
      </c>
      <c r="BK67" s="683" t="s">
        <v>1302</v>
      </c>
      <c r="BL67" s="730">
        <v>1.4687499999999998E-4</v>
      </c>
      <c r="BM67" s="681">
        <v>2</v>
      </c>
      <c r="BN67" s="682">
        <v>1.2859877072397368</v>
      </c>
      <c r="BO67" s="683" t="s">
        <v>1302</v>
      </c>
      <c r="BP67" s="730">
        <v>1.4687499999999998E-4</v>
      </c>
      <c r="BQ67" s="681">
        <v>2</v>
      </c>
      <c r="BR67" s="682">
        <v>1.2859877072397368</v>
      </c>
      <c r="BS67" s="683" t="s">
        <v>1302</v>
      </c>
      <c r="BT67" s="730">
        <v>1.4687499999999998E-4</v>
      </c>
      <c r="BU67" s="681">
        <v>2</v>
      </c>
      <c r="BV67" s="682">
        <v>1.2859877072397368</v>
      </c>
      <c r="BW67" s="683" t="s">
        <v>1302</v>
      </c>
      <c r="BX67" s="684"/>
      <c r="BY67" s="680">
        <v>1.4687499999999998E-4</v>
      </c>
      <c r="BZ67" s="681">
        <v>2</v>
      </c>
      <c r="CA67" s="682">
        <v>1.2859877072397368</v>
      </c>
      <c r="CB67" s="683" t="s">
        <v>1302</v>
      </c>
      <c r="CC67" s="680">
        <v>1.4687499999999998E-4</v>
      </c>
      <c r="CD67" s="681">
        <v>1</v>
      </c>
      <c r="CE67" s="682">
        <v>1.2859877072397368</v>
      </c>
      <c r="CF67" s="684" t="s">
        <v>1302</v>
      </c>
      <c r="CG67" s="712"/>
      <c r="CH67" s="712"/>
      <c r="CI67" s="716"/>
      <c r="CJ67" s="716"/>
      <c r="CK67" s="712"/>
      <c r="CL67" s="716"/>
      <c r="CM67" s="722"/>
      <c r="CN67" s="720">
        <v>1.4687499999999998E-4</v>
      </c>
      <c r="CO67" s="723" t="s">
        <v>1124</v>
      </c>
      <c r="CP67" s="674">
        <v>3</v>
      </c>
      <c r="CQ67" s="673">
        <v>4</v>
      </c>
      <c r="CR67" s="673">
        <v>3</v>
      </c>
      <c r="CS67" s="673">
        <v>3</v>
      </c>
      <c r="CT67" s="673">
        <v>1</v>
      </c>
      <c r="CU67" s="673">
        <v>5</v>
      </c>
      <c r="CV67" s="673">
        <v>3</v>
      </c>
      <c r="CW67" s="685">
        <v>1.05</v>
      </c>
      <c r="CX67" s="686">
        <v>1.2798586482969265</v>
      </c>
      <c r="CY67" s="724">
        <v>1.2859877072397368</v>
      </c>
      <c r="CZ67" s="687" t="s">
        <v>1145</v>
      </c>
      <c r="DA67" s="688">
        <v>1.1000000000000001</v>
      </c>
      <c r="DB67" s="688">
        <v>1.1000000000000001</v>
      </c>
      <c r="DC67" s="688">
        <v>1.1000000000000001</v>
      </c>
      <c r="DD67" s="688">
        <v>1.02</v>
      </c>
      <c r="DE67" s="688">
        <v>1</v>
      </c>
      <c r="DF67" s="688">
        <v>1.2</v>
      </c>
      <c r="DI67" s="725"/>
      <c r="DJ67" s="725"/>
    </row>
    <row r="68" spans="1:114" s="689" customFormat="1" ht="24">
      <c r="A68" s="693">
        <v>6319</v>
      </c>
      <c r="B68" s="721"/>
      <c r="C68" s="672" t="s">
        <v>525</v>
      </c>
      <c r="D68" s="673" t="s">
        <v>526</v>
      </c>
      <c r="E68" s="674" t="s">
        <v>402</v>
      </c>
      <c r="F68" s="675" t="s">
        <v>1287</v>
      </c>
      <c r="G68" s="676" t="s">
        <v>521</v>
      </c>
      <c r="H68" s="677" t="s">
        <v>402</v>
      </c>
      <c r="I68" s="678" t="s">
        <v>402</v>
      </c>
      <c r="J68" s="679">
        <v>0</v>
      </c>
      <c r="K68" s="676" t="s">
        <v>395</v>
      </c>
      <c r="L68" s="730">
        <v>5.1437499999999997E-2</v>
      </c>
      <c r="M68" s="681">
        <v>3</v>
      </c>
      <c r="N68" s="682">
        <v>1.2859877072397368</v>
      </c>
      <c r="O68" s="683" t="s">
        <v>1302</v>
      </c>
      <c r="P68" s="730">
        <v>5.1437499999999997E-2</v>
      </c>
      <c r="Q68" s="681">
        <v>3</v>
      </c>
      <c r="R68" s="682">
        <v>1.2859877072397368</v>
      </c>
      <c r="S68" s="683" t="s">
        <v>1302</v>
      </c>
      <c r="T68" s="730">
        <v>5.1437499999999997E-2</v>
      </c>
      <c r="U68" s="681">
        <v>3</v>
      </c>
      <c r="V68" s="682">
        <v>1.2859877072397368</v>
      </c>
      <c r="W68" s="683" t="s">
        <v>1302</v>
      </c>
      <c r="X68" s="730">
        <v>5.1437499999999997E-2</v>
      </c>
      <c r="Y68" s="681">
        <v>3</v>
      </c>
      <c r="Z68" s="682">
        <v>1.2859877072397368</v>
      </c>
      <c r="AA68" s="683" t="s">
        <v>1302</v>
      </c>
      <c r="AB68" s="730">
        <v>5.1437499999999997E-2</v>
      </c>
      <c r="AC68" s="681">
        <v>3</v>
      </c>
      <c r="AD68" s="682">
        <v>1.2859877072397368</v>
      </c>
      <c r="AE68" s="683" t="s">
        <v>1302</v>
      </c>
      <c r="AF68" s="730">
        <v>5.1437499999999997E-2</v>
      </c>
      <c r="AG68" s="681">
        <v>3</v>
      </c>
      <c r="AH68" s="682">
        <v>1.2859877072397368</v>
      </c>
      <c r="AI68" s="683" t="s">
        <v>1302</v>
      </c>
      <c r="AJ68" s="730">
        <v>5.1437499999999997E-2</v>
      </c>
      <c r="AK68" s="681">
        <v>3</v>
      </c>
      <c r="AL68" s="682">
        <v>1.2859877072397368</v>
      </c>
      <c r="AM68" s="683" t="s">
        <v>1302</v>
      </c>
      <c r="AN68" s="730">
        <v>5.1437499999999997E-2</v>
      </c>
      <c r="AO68" s="681">
        <v>3</v>
      </c>
      <c r="AP68" s="682">
        <v>1.2859877072397368</v>
      </c>
      <c r="AQ68" s="683" t="s">
        <v>1302</v>
      </c>
      <c r="AR68" s="730">
        <v>5.1437499999999997E-2</v>
      </c>
      <c r="AS68" s="681">
        <v>3</v>
      </c>
      <c r="AT68" s="682">
        <v>1.2859877072397368</v>
      </c>
      <c r="AU68" s="683" t="s">
        <v>1302</v>
      </c>
      <c r="AV68" s="730">
        <v>5.1437499999999997E-2</v>
      </c>
      <c r="AW68" s="681">
        <v>3</v>
      </c>
      <c r="AX68" s="682">
        <v>1.2859877072397368</v>
      </c>
      <c r="AY68" s="683" t="s">
        <v>1302</v>
      </c>
      <c r="AZ68" s="730">
        <v>5.1437499999999997E-2</v>
      </c>
      <c r="BA68" s="681">
        <v>3</v>
      </c>
      <c r="BB68" s="682">
        <v>1.2859877072397368</v>
      </c>
      <c r="BC68" s="683" t="s">
        <v>1302</v>
      </c>
      <c r="BD68" s="730">
        <v>5.1437499999999997E-2</v>
      </c>
      <c r="BE68" s="681">
        <v>3</v>
      </c>
      <c r="BF68" s="682">
        <v>1.2859877072397368</v>
      </c>
      <c r="BG68" s="683" t="s">
        <v>1302</v>
      </c>
      <c r="BH68" s="730">
        <v>5.1437499999999997E-2</v>
      </c>
      <c r="BI68" s="681">
        <v>3</v>
      </c>
      <c r="BJ68" s="682">
        <v>1.2859877072397368</v>
      </c>
      <c r="BK68" s="683" t="s">
        <v>1302</v>
      </c>
      <c r="BL68" s="730">
        <v>5.1437499999999997E-2</v>
      </c>
      <c r="BM68" s="681">
        <v>3</v>
      </c>
      <c r="BN68" s="682">
        <v>1.2859877072397368</v>
      </c>
      <c r="BO68" s="683" t="s">
        <v>1302</v>
      </c>
      <c r="BP68" s="730">
        <v>5.1437499999999997E-2</v>
      </c>
      <c r="BQ68" s="681">
        <v>3</v>
      </c>
      <c r="BR68" s="682">
        <v>1.2859877072397368</v>
      </c>
      <c r="BS68" s="683" t="s">
        <v>1302</v>
      </c>
      <c r="BT68" s="730">
        <v>5.1437499999999997E-2</v>
      </c>
      <c r="BU68" s="681">
        <v>3</v>
      </c>
      <c r="BV68" s="682">
        <v>1.2859877072397368</v>
      </c>
      <c r="BW68" s="683" t="s">
        <v>1302</v>
      </c>
      <c r="BX68" s="684"/>
      <c r="BY68" s="680">
        <v>5.1437499999999997E-2</v>
      </c>
      <c r="BZ68" s="681">
        <v>3</v>
      </c>
      <c r="CA68" s="682">
        <v>1.2859877072397368</v>
      </c>
      <c r="CB68" s="683" t="s">
        <v>1302</v>
      </c>
      <c r="CC68" s="680">
        <v>5.1437499999999997E-2</v>
      </c>
      <c r="CD68" s="681">
        <v>1</v>
      </c>
      <c r="CE68" s="682">
        <v>1.2859877072397368</v>
      </c>
      <c r="CF68" s="684" t="s">
        <v>1302</v>
      </c>
      <c r="CG68" s="712"/>
      <c r="CH68" s="712"/>
      <c r="CI68" s="716"/>
      <c r="CJ68" s="716"/>
      <c r="CK68" s="712"/>
      <c r="CL68" s="716"/>
      <c r="CM68" s="722"/>
      <c r="CN68" s="720">
        <v>5.1437499999999997E-2</v>
      </c>
      <c r="CO68" s="723" t="s">
        <v>1124</v>
      </c>
      <c r="CP68" s="674">
        <v>3</v>
      </c>
      <c r="CQ68" s="673">
        <v>4</v>
      </c>
      <c r="CR68" s="673">
        <v>3</v>
      </c>
      <c r="CS68" s="673">
        <v>3</v>
      </c>
      <c r="CT68" s="673">
        <v>1</v>
      </c>
      <c r="CU68" s="673">
        <v>5</v>
      </c>
      <c r="CV68" s="673">
        <v>3</v>
      </c>
      <c r="CW68" s="685">
        <v>1.05</v>
      </c>
      <c r="CX68" s="686">
        <v>1.2798586482969265</v>
      </c>
      <c r="CY68" s="724">
        <v>1.2859877072397368</v>
      </c>
      <c r="CZ68" s="687" t="s">
        <v>1145</v>
      </c>
      <c r="DA68" s="688">
        <v>1.1000000000000001</v>
      </c>
      <c r="DB68" s="688">
        <v>1.1000000000000001</v>
      </c>
      <c r="DC68" s="688">
        <v>1.1000000000000001</v>
      </c>
      <c r="DD68" s="688">
        <v>1.02</v>
      </c>
      <c r="DE68" s="688">
        <v>1</v>
      </c>
      <c r="DF68" s="688">
        <v>1.2</v>
      </c>
      <c r="DI68" s="725"/>
      <c r="DJ68" s="725"/>
    </row>
    <row r="69" spans="1:114" s="689" customFormat="1" ht="24">
      <c r="A69" s="693">
        <v>1278</v>
      </c>
      <c r="B69" s="721"/>
      <c r="C69" s="672" t="s">
        <v>525</v>
      </c>
      <c r="D69" s="673" t="s">
        <v>526</v>
      </c>
      <c r="E69" s="674" t="s">
        <v>402</v>
      </c>
      <c r="F69" s="675" t="s">
        <v>1315</v>
      </c>
      <c r="G69" s="676" t="s">
        <v>521</v>
      </c>
      <c r="H69" s="677" t="s">
        <v>402</v>
      </c>
      <c r="I69" s="678" t="s">
        <v>402</v>
      </c>
      <c r="J69" s="679">
        <v>0</v>
      </c>
      <c r="K69" s="676" t="s">
        <v>395</v>
      </c>
      <c r="L69" s="730">
        <v>1.1562499999999998E-2</v>
      </c>
      <c r="M69" s="681">
        <v>5</v>
      </c>
      <c r="N69" s="682">
        <v>1.2859877072397368</v>
      </c>
      <c r="O69" s="683" t="s">
        <v>1302</v>
      </c>
      <c r="P69" s="730">
        <v>1.1562499999999998E-2</v>
      </c>
      <c r="Q69" s="681">
        <v>5</v>
      </c>
      <c r="R69" s="682">
        <v>1.2859877072397368</v>
      </c>
      <c r="S69" s="683" t="s">
        <v>1302</v>
      </c>
      <c r="T69" s="730">
        <v>1.1562499999999998E-2</v>
      </c>
      <c r="U69" s="681">
        <v>5</v>
      </c>
      <c r="V69" s="682">
        <v>1.2859877072397368</v>
      </c>
      <c r="W69" s="683" t="s">
        <v>1302</v>
      </c>
      <c r="X69" s="730">
        <v>1.1562499999999998E-2</v>
      </c>
      <c r="Y69" s="681">
        <v>5</v>
      </c>
      <c r="Z69" s="682">
        <v>1.2859877072397368</v>
      </c>
      <c r="AA69" s="683" t="s">
        <v>1302</v>
      </c>
      <c r="AB69" s="730">
        <v>1.1562499999999998E-2</v>
      </c>
      <c r="AC69" s="681">
        <v>5</v>
      </c>
      <c r="AD69" s="682">
        <v>1.2859877072397368</v>
      </c>
      <c r="AE69" s="683" t="s">
        <v>1302</v>
      </c>
      <c r="AF69" s="730">
        <v>1.1562499999999998E-2</v>
      </c>
      <c r="AG69" s="681">
        <v>5</v>
      </c>
      <c r="AH69" s="682">
        <v>1.2859877072397368</v>
      </c>
      <c r="AI69" s="683" t="s">
        <v>1302</v>
      </c>
      <c r="AJ69" s="730">
        <v>1.1562499999999998E-2</v>
      </c>
      <c r="AK69" s="681">
        <v>5</v>
      </c>
      <c r="AL69" s="682">
        <v>1.2859877072397368</v>
      </c>
      <c r="AM69" s="683" t="s">
        <v>1302</v>
      </c>
      <c r="AN69" s="730">
        <v>1.1562499999999998E-2</v>
      </c>
      <c r="AO69" s="681">
        <v>5</v>
      </c>
      <c r="AP69" s="682">
        <v>1.2859877072397368</v>
      </c>
      <c r="AQ69" s="683" t="s">
        <v>1302</v>
      </c>
      <c r="AR69" s="730">
        <v>1.1562499999999998E-2</v>
      </c>
      <c r="AS69" s="681">
        <v>5</v>
      </c>
      <c r="AT69" s="682">
        <v>1.2859877072397368</v>
      </c>
      <c r="AU69" s="683" t="s">
        <v>1302</v>
      </c>
      <c r="AV69" s="730">
        <v>1.1562499999999998E-2</v>
      </c>
      <c r="AW69" s="681">
        <v>5</v>
      </c>
      <c r="AX69" s="682">
        <v>1.2859877072397368</v>
      </c>
      <c r="AY69" s="683" t="s">
        <v>1302</v>
      </c>
      <c r="AZ69" s="730">
        <v>1.1562499999999998E-2</v>
      </c>
      <c r="BA69" s="681">
        <v>5</v>
      </c>
      <c r="BB69" s="682">
        <v>1.2859877072397368</v>
      </c>
      <c r="BC69" s="683" t="s">
        <v>1302</v>
      </c>
      <c r="BD69" s="730">
        <v>1.1562499999999998E-2</v>
      </c>
      <c r="BE69" s="681">
        <v>5</v>
      </c>
      <c r="BF69" s="682">
        <v>1.2859877072397368</v>
      </c>
      <c r="BG69" s="683" t="s">
        <v>1302</v>
      </c>
      <c r="BH69" s="730">
        <v>1.1562499999999998E-2</v>
      </c>
      <c r="BI69" s="681">
        <v>5</v>
      </c>
      <c r="BJ69" s="682">
        <v>1.2859877072397368</v>
      </c>
      <c r="BK69" s="683" t="s">
        <v>1302</v>
      </c>
      <c r="BL69" s="730">
        <v>1.1562499999999998E-2</v>
      </c>
      <c r="BM69" s="681">
        <v>5</v>
      </c>
      <c r="BN69" s="682">
        <v>1.2859877072397368</v>
      </c>
      <c r="BO69" s="683" t="s">
        <v>1302</v>
      </c>
      <c r="BP69" s="730">
        <v>1.1562499999999998E-2</v>
      </c>
      <c r="BQ69" s="681">
        <v>5</v>
      </c>
      <c r="BR69" s="682">
        <v>1.2859877072397368</v>
      </c>
      <c r="BS69" s="683" t="s">
        <v>1302</v>
      </c>
      <c r="BT69" s="730">
        <v>1.1562499999999998E-2</v>
      </c>
      <c r="BU69" s="681">
        <v>5</v>
      </c>
      <c r="BV69" s="682">
        <v>1.2859877072397368</v>
      </c>
      <c r="BW69" s="683" t="s">
        <v>1302</v>
      </c>
      <c r="BX69" s="684"/>
      <c r="BY69" s="680">
        <v>1.1562499999999998E-2</v>
      </c>
      <c r="BZ69" s="681">
        <v>5</v>
      </c>
      <c r="CA69" s="682">
        <v>1.2859877072397368</v>
      </c>
      <c r="CB69" s="683" t="s">
        <v>1302</v>
      </c>
      <c r="CC69" s="680">
        <v>1.1562499999999998E-2</v>
      </c>
      <c r="CD69" s="681">
        <v>1</v>
      </c>
      <c r="CE69" s="682">
        <v>1.2859877072397368</v>
      </c>
      <c r="CF69" s="684" t="s">
        <v>1302</v>
      </c>
      <c r="CG69" s="712"/>
      <c r="CH69" s="712"/>
      <c r="CI69" s="716"/>
      <c r="CJ69" s="716"/>
      <c r="CK69" s="712"/>
      <c r="CL69" s="716"/>
      <c r="CM69" s="722"/>
      <c r="CN69" s="720">
        <v>1.1562499999999998E-2</v>
      </c>
      <c r="CO69" s="723" t="s">
        <v>1124</v>
      </c>
      <c r="CP69" s="674">
        <v>3</v>
      </c>
      <c r="CQ69" s="673">
        <v>4</v>
      </c>
      <c r="CR69" s="673">
        <v>3</v>
      </c>
      <c r="CS69" s="673">
        <v>3</v>
      </c>
      <c r="CT69" s="673">
        <v>1</v>
      </c>
      <c r="CU69" s="673">
        <v>5</v>
      </c>
      <c r="CV69" s="673">
        <v>3</v>
      </c>
      <c r="CW69" s="685">
        <v>1.05</v>
      </c>
      <c r="CX69" s="686">
        <v>1.2798586482969265</v>
      </c>
      <c r="CY69" s="724">
        <v>1.2859877072397368</v>
      </c>
      <c r="CZ69" s="687" t="s">
        <v>1145</v>
      </c>
      <c r="DA69" s="688">
        <v>1.1000000000000001</v>
      </c>
      <c r="DB69" s="688">
        <v>1.1000000000000001</v>
      </c>
      <c r="DC69" s="688">
        <v>1.1000000000000001</v>
      </c>
      <c r="DD69" s="688">
        <v>1.02</v>
      </c>
      <c r="DE69" s="688">
        <v>1</v>
      </c>
      <c r="DF69" s="688">
        <v>1.2</v>
      </c>
      <c r="DI69" s="725"/>
      <c r="DJ69" s="725"/>
    </row>
    <row r="70" spans="1:114" ht="12.75">
      <c r="A70" s="157">
        <v>2987</v>
      </c>
      <c r="B70" s="37" t="s">
        <v>152</v>
      </c>
      <c r="C70" s="151" t="s">
        <v>525</v>
      </c>
      <c r="D70" s="152" t="s">
        <v>526</v>
      </c>
      <c r="E70" s="153" t="s">
        <v>402</v>
      </c>
      <c r="F70" s="144" t="s">
        <v>59</v>
      </c>
      <c r="G70" s="125" t="s">
        <v>521</v>
      </c>
      <c r="H70" s="154" t="s">
        <v>402</v>
      </c>
      <c r="I70" s="123" t="s">
        <v>402</v>
      </c>
      <c r="J70" s="124">
        <v>0</v>
      </c>
      <c r="K70" s="125" t="s">
        <v>397</v>
      </c>
      <c r="L70" s="728">
        <v>5.8488770599310085</v>
      </c>
      <c r="M70" s="29">
        <v>1</v>
      </c>
      <c r="N70" s="1">
        <v>2.0949941301068096</v>
      </c>
      <c r="O70" s="139" t="s">
        <v>1316</v>
      </c>
      <c r="P70" s="728">
        <v>5.8488770599310076</v>
      </c>
      <c r="Q70" s="29">
        <v>1</v>
      </c>
      <c r="R70" s="1">
        <v>2.0949941301068096</v>
      </c>
      <c r="S70" s="139" t="s">
        <v>1316</v>
      </c>
      <c r="T70" s="728">
        <v>5.6363770599310081</v>
      </c>
      <c r="U70" s="29">
        <v>1</v>
      </c>
      <c r="V70" s="1">
        <v>2.0949941301068096</v>
      </c>
      <c r="W70" s="139" t="s">
        <v>1316</v>
      </c>
      <c r="X70" s="728">
        <v>5.6363770599310072</v>
      </c>
      <c r="Y70" s="29">
        <v>1</v>
      </c>
      <c r="Z70" s="1">
        <v>2.0949941301068096</v>
      </c>
      <c r="AA70" s="139" t="s">
        <v>1316</v>
      </c>
      <c r="AB70" s="728">
        <v>5.8488770599310085</v>
      </c>
      <c r="AC70" s="29">
        <v>1</v>
      </c>
      <c r="AD70" s="1">
        <v>2.0949941301068096</v>
      </c>
      <c r="AE70" s="139" t="s">
        <v>1316</v>
      </c>
      <c r="AF70" s="728">
        <v>5.8488770599310085</v>
      </c>
      <c r="AG70" s="29">
        <v>1</v>
      </c>
      <c r="AH70" s="1">
        <v>2.0949941301068096</v>
      </c>
      <c r="AI70" s="139" t="s">
        <v>1316</v>
      </c>
      <c r="AJ70" s="728">
        <v>5.6363770599310081</v>
      </c>
      <c r="AK70" s="29">
        <v>1</v>
      </c>
      <c r="AL70" s="1">
        <v>2.0949941301068096</v>
      </c>
      <c r="AM70" s="139" t="s">
        <v>1316</v>
      </c>
      <c r="AN70" s="728">
        <v>5.6363770599310081</v>
      </c>
      <c r="AO70" s="29">
        <v>1</v>
      </c>
      <c r="AP70" s="1">
        <v>2.0949941301068096</v>
      </c>
      <c r="AQ70" s="139" t="s">
        <v>1316</v>
      </c>
      <c r="AR70" s="728">
        <v>5.8488770599310076</v>
      </c>
      <c r="AS70" s="29">
        <v>1</v>
      </c>
      <c r="AT70" s="1">
        <v>2.0949941301068096</v>
      </c>
      <c r="AU70" s="139" t="s">
        <v>1316</v>
      </c>
      <c r="AV70" s="728">
        <v>5.8488770599310085</v>
      </c>
      <c r="AW70" s="29">
        <v>1</v>
      </c>
      <c r="AX70" s="1">
        <v>2.0949941301068096</v>
      </c>
      <c r="AY70" s="139" t="s">
        <v>1316</v>
      </c>
      <c r="AZ70" s="728">
        <v>5.6363770599310072</v>
      </c>
      <c r="BA70" s="29">
        <v>1</v>
      </c>
      <c r="BB70" s="1">
        <v>2.0949941301068096</v>
      </c>
      <c r="BC70" s="139" t="s">
        <v>1316</v>
      </c>
      <c r="BD70" s="728">
        <v>5.6363770599310081</v>
      </c>
      <c r="BE70" s="29">
        <v>1</v>
      </c>
      <c r="BF70" s="1">
        <v>2.0949941301068096</v>
      </c>
      <c r="BG70" s="139" t="s">
        <v>1316</v>
      </c>
      <c r="BH70" s="728">
        <v>5.8488770599310076</v>
      </c>
      <c r="BI70" s="29">
        <v>1</v>
      </c>
      <c r="BJ70" s="1">
        <v>2.0949941301068096</v>
      </c>
      <c r="BK70" s="139" t="s">
        <v>1316</v>
      </c>
      <c r="BL70" s="728">
        <v>5.8488770599310076</v>
      </c>
      <c r="BM70" s="29">
        <v>1</v>
      </c>
      <c r="BN70" s="1">
        <v>2.0949941301068096</v>
      </c>
      <c r="BO70" s="139" t="s">
        <v>1316</v>
      </c>
      <c r="BP70" s="728">
        <v>5.6363770599310072</v>
      </c>
      <c r="BQ70" s="29">
        <v>1</v>
      </c>
      <c r="BR70" s="1">
        <v>2.0949941301068096</v>
      </c>
      <c r="BS70" s="139" t="s">
        <v>1316</v>
      </c>
      <c r="BT70" s="728">
        <v>5.6363770599310072</v>
      </c>
      <c r="BU70" s="29">
        <v>1</v>
      </c>
      <c r="BV70" s="1">
        <v>2.0949941301068096</v>
      </c>
      <c r="BW70" s="139" t="s">
        <v>1316</v>
      </c>
      <c r="BX70" s="31"/>
      <c r="BY70" s="728">
        <v>5.6363770599310072</v>
      </c>
      <c r="BZ70" s="29">
        <v>1</v>
      </c>
      <c r="CA70" s="1">
        <v>2.0949941301068096</v>
      </c>
      <c r="CB70" s="139" t="s">
        <v>1316</v>
      </c>
      <c r="CC70" s="728">
        <v>5.8488770599310076</v>
      </c>
      <c r="CD70" s="29">
        <v>1</v>
      </c>
      <c r="CE70" s="1">
        <v>2.0949941301068096</v>
      </c>
      <c r="CF70" s="31" t="s">
        <v>1316</v>
      </c>
      <c r="CG70" s="253"/>
      <c r="CH70" s="253"/>
      <c r="CI70" s="182">
        <v>0</v>
      </c>
      <c r="CJ70" s="182"/>
      <c r="CK70" s="253"/>
      <c r="CL70" s="182"/>
      <c r="CM70" s="259">
        <v>2.7294539766666666</v>
      </c>
      <c r="CN70" s="694">
        <v>1.6062499999999997</v>
      </c>
      <c r="CO70" s="115" t="s">
        <v>708</v>
      </c>
      <c r="CP70" s="10">
        <v>4</v>
      </c>
      <c r="CQ70" s="50">
        <v>5</v>
      </c>
      <c r="CR70" s="50" t="s">
        <v>271</v>
      </c>
      <c r="CS70" s="50" t="s">
        <v>271</v>
      </c>
      <c r="CT70" s="50" t="s">
        <v>271</v>
      </c>
      <c r="CU70" s="50" t="s">
        <v>271</v>
      </c>
      <c r="CV70" s="50">
        <v>5</v>
      </c>
      <c r="CW70" s="51">
        <v>2</v>
      </c>
      <c r="CX70" s="87">
        <v>1.2941338353151037</v>
      </c>
      <c r="CY70" s="88">
        <v>2.0949941301068096</v>
      </c>
      <c r="CZ70" s="89" t="s">
        <v>61</v>
      </c>
      <c r="DA70" s="52">
        <v>1.2</v>
      </c>
      <c r="DB70" s="52">
        <v>1.2</v>
      </c>
      <c r="DC70" s="52">
        <v>1</v>
      </c>
      <c r="DD70" s="52">
        <v>1</v>
      </c>
      <c r="DE70" s="52">
        <v>1</v>
      </c>
      <c r="DF70" s="52">
        <v>1</v>
      </c>
    </row>
    <row r="71" spans="1:114" ht="12.75">
      <c r="A71" s="157">
        <v>1841</v>
      </c>
      <c r="B71" s="168" t="s">
        <v>525</v>
      </c>
      <c r="C71" s="151" t="s">
        <v>525</v>
      </c>
      <c r="D71" s="152" t="s">
        <v>526</v>
      </c>
      <c r="E71" s="153" t="s">
        <v>402</v>
      </c>
      <c r="F71" s="144" t="s">
        <v>62</v>
      </c>
      <c r="G71" s="125" t="s">
        <v>521</v>
      </c>
      <c r="H71" s="154" t="s">
        <v>402</v>
      </c>
      <c r="I71" s="123" t="s">
        <v>402</v>
      </c>
      <c r="J71" s="124">
        <v>0</v>
      </c>
      <c r="K71" s="125" t="s">
        <v>397</v>
      </c>
      <c r="L71" s="728">
        <v>75.472629160107459</v>
      </c>
      <c r="M71" s="29">
        <v>1</v>
      </c>
      <c r="N71" s="1">
        <v>2.0949941301068096</v>
      </c>
      <c r="O71" s="139" t="s">
        <v>1317</v>
      </c>
      <c r="P71" s="728">
        <v>75.472629160107459</v>
      </c>
      <c r="Q71" s="29">
        <v>1</v>
      </c>
      <c r="R71" s="1">
        <v>2.0949941301068096</v>
      </c>
      <c r="S71" s="139" t="s">
        <v>1317</v>
      </c>
      <c r="T71" s="728">
        <v>74.197629160107454</v>
      </c>
      <c r="U71" s="29">
        <v>1</v>
      </c>
      <c r="V71" s="1">
        <v>2.0949941301068096</v>
      </c>
      <c r="W71" s="139" t="s">
        <v>1317</v>
      </c>
      <c r="X71" s="728">
        <v>74.197629160107454</v>
      </c>
      <c r="Y71" s="29">
        <v>1</v>
      </c>
      <c r="Z71" s="1">
        <v>2.0949941301068096</v>
      </c>
      <c r="AA71" s="139" t="s">
        <v>1317</v>
      </c>
      <c r="AB71" s="728">
        <v>75.472629160107459</v>
      </c>
      <c r="AC71" s="29">
        <v>1</v>
      </c>
      <c r="AD71" s="1">
        <v>2.0949941301068096</v>
      </c>
      <c r="AE71" s="139" t="s">
        <v>1317</v>
      </c>
      <c r="AF71" s="728">
        <v>75.472629160107459</v>
      </c>
      <c r="AG71" s="29">
        <v>1</v>
      </c>
      <c r="AH71" s="1">
        <v>2.0949941301068096</v>
      </c>
      <c r="AI71" s="139" t="s">
        <v>1317</v>
      </c>
      <c r="AJ71" s="728">
        <v>74.197629160107454</v>
      </c>
      <c r="AK71" s="29">
        <v>1</v>
      </c>
      <c r="AL71" s="1">
        <v>2.0949941301068096</v>
      </c>
      <c r="AM71" s="139" t="s">
        <v>1317</v>
      </c>
      <c r="AN71" s="728">
        <v>74.197629160107454</v>
      </c>
      <c r="AO71" s="29">
        <v>1</v>
      </c>
      <c r="AP71" s="1">
        <v>2.0949941301068096</v>
      </c>
      <c r="AQ71" s="139" t="s">
        <v>1317</v>
      </c>
      <c r="AR71" s="728">
        <v>75.472629160107459</v>
      </c>
      <c r="AS71" s="29">
        <v>1</v>
      </c>
      <c r="AT71" s="1">
        <v>2.0949941301068096</v>
      </c>
      <c r="AU71" s="139" t="s">
        <v>1317</v>
      </c>
      <c r="AV71" s="728">
        <v>75.472629160107459</v>
      </c>
      <c r="AW71" s="29">
        <v>1</v>
      </c>
      <c r="AX71" s="1">
        <v>2.0949941301068096</v>
      </c>
      <c r="AY71" s="139" t="s">
        <v>1317</v>
      </c>
      <c r="AZ71" s="728">
        <v>74.197629160107454</v>
      </c>
      <c r="BA71" s="29">
        <v>1</v>
      </c>
      <c r="BB71" s="1">
        <v>2.0949941301068096</v>
      </c>
      <c r="BC71" s="139" t="s">
        <v>1317</v>
      </c>
      <c r="BD71" s="728">
        <v>74.197629160107454</v>
      </c>
      <c r="BE71" s="29">
        <v>1</v>
      </c>
      <c r="BF71" s="1">
        <v>2.0949941301068096</v>
      </c>
      <c r="BG71" s="139" t="s">
        <v>1317</v>
      </c>
      <c r="BH71" s="728">
        <v>75.472629160107459</v>
      </c>
      <c r="BI71" s="29">
        <v>1</v>
      </c>
      <c r="BJ71" s="1">
        <v>2.0949941301068096</v>
      </c>
      <c r="BK71" s="139" t="s">
        <v>1317</v>
      </c>
      <c r="BL71" s="728">
        <v>75.472629160107459</v>
      </c>
      <c r="BM71" s="29">
        <v>1</v>
      </c>
      <c r="BN71" s="1">
        <v>2.0949941301068096</v>
      </c>
      <c r="BO71" s="139" t="s">
        <v>1317</v>
      </c>
      <c r="BP71" s="728">
        <v>74.197629160107454</v>
      </c>
      <c r="BQ71" s="29">
        <v>1</v>
      </c>
      <c r="BR71" s="1">
        <v>2.0949941301068096</v>
      </c>
      <c r="BS71" s="139" t="s">
        <v>1317</v>
      </c>
      <c r="BT71" s="728">
        <v>74.197629160107454</v>
      </c>
      <c r="BU71" s="29">
        <v>1</v>
      </c>
      <c r="BV71" s="1">
        <v>2.0949941301068096</v>
      </c>
      <c r="BW71" s="139" t="s">
        <v>1317</v>
      </c>
      <c r="BX71" s="31"/>
      <c r="BY71" s="728">
        <v>74.197629160107454</v>
      </c>
      <c r="BZ71" s="29">
        <v>1</v>
      </c>
      <c r="CA71" s="1">
        <v>2.0949941301068096</v>
      </c>
      <c r="CB71" s="139" t="s">
        <v>1317</v>
      </c>
      <c r="CC71" s="728">
        <v>42.472629160107395</v>
      </c>
      <c r="CD71" s="29">
        <v>1</v>
      </c>
      <c r="CE71" s="1">
        <v>2.0949941301068096</v>
      </c>
      <c r="CF71" s="31" t="s">
        <v>1317</v>
      </c>
      <c r="CG71" s="253"/>
      <c r="CH71" s="253"/>
      <c r="CI71" s="182">
        <v>0</v>
      </c>
      <c r="CJ71" s="182"/>
      <c r="CK71" s="253"/>
      <c r="CL71" s="182"/>
      <c r="CM71" s="259">
        <v>12.927287222500002</v>
      </c>
      <c r="CN71" s="694">
        <v>9.4375</v>
      </c>
      <c r="CO71" s="115" t="s">
        <v>404</v>
      </c>
      <c r="CP71" s="10">
        <v>4</v>
      </c>
      <c r="CQ71" s="50">
        <v>5</v>
      </c>
      <c r="CR71" s="50" t="s">
        <v>271</v>
      </c>
      <c r="CS71" s="50" t="s">
        <v>271</v>
      </c>
      <c r="CT71" s="50" t="s">
        <v>271</v>
      </c>
      <c r="CU71" s="50" t="s">
        <v>271</v>
      </c>
      <c r="CV71" s="50">
        <v>5</v>
      </c>
      <c r="CW71" s="51">
        <v>2</v>
      </c>
      <c r="CX71" s="87">
        <v>1.2941338353151037</v>
      </c>
      <c r="CY71" s="88">
        <v>2.0949941301068096</v>
      </c>
      <c r="CZ71" s="89" t="s">
        <v>61</v>
      </c>
      <c r="DA71" s="52">
        <v>1.2</v>
      </c>
      <c r="DB71" s="52">
        <v>1.2</v>
      </c>
      <c r="DC71" s="52">
        <v>1</v>
      </c>
      <c r="DD71" s="52">
        <v>1</v>
      </c>
      <c r="DE71" s="52">
        <v>1</v>
      </c>
      <c r="DF71" s="52">
        <v>1</v>
      </c>
    </row>
    <row r="72" spans="1:114" ht="24">
      <c r="A72" s="157">
        <v>1436</v>
      </c>
      <c r="B72" s="37" t="s">
        <v>153</v>
      </c>
      <c r="C72" s="151" t="s">
        <v>525</v>
      </c>
      <c r="D72" s="152" t="s">
        <v>526</v>
      </c>
      <c r="E72" s="153" t="s">
        <v>402</v>
      </c>
      <c r="F72" s="144" t="s">
        <v>1318</v>
      </c>
      <c r="G72" s="125" t="s">
        <v>393</v>
      </c>
      <c r="H72" s="154" t="s">
        <v>402</v>
      </c>
      <c r="I72" s="123" t="s">
        <v>402</v>
      </c>
      <c r="J72" s="124">
        <v>0</v>
      </c>
      <c r="K72" s="125" t="s">
        <v>395</v>
      </c>
      <c r="L72" s="728">
        <v>0.03</v>
      </c>
      <c r="M72" s="29">
        <v>1</v>
      </c>
      <c r="N72" s="1">
        <v>1.1267298112245603</v>
      </c>
      <c r="O72" s="139" t="s">
        <v>1319</v>
      </c>
      <c r="P72" s="728">
        <v>0.03</v>
      </c>
      <c r="Q72" s="29">
        <v>1</v>
      </c>
      <c r="R72" s="1">
        <v>1.1267298112245603</v>
      </c>
      <c r="S72" s="139" t="s">
        <v>1319</v>
      </c>
      <c r="T72" s="728">
        <v>0.03</v>
      </c>
      <c r="U72" s="29">
        <v>1</v>
      </c>
      <c r="V72" s="1">
        <v>1.1267298112245603</v>
      </c>
      <c r="W72" s="139" t="s">
        <v>1319</v>
      </c>
      <c r="X72" s="728">
        <v>0.03</v>
      </c>
      <c r="Y72" s="29">
        <v>1</v>
      </c>
      <c r="Z72" s="1">
        <v>1.1267298112245603</v>
      </c>
      <c r="AA72" s="139" t="s">
        <v>1319</v>
      </c>
      <c r="AB72" s="728">
        <v>0.03</v>
      </c>
      <c r="AC72" s="29">
        <v>1</v>
      </c>
      <c r="AD72" s="1">
        <v>1.1267298112245603</v>
      </c>
      <c r="AE72" s="139" t="s">
        <v>1319</v>
      </c>
      <c r="AF72" s="728">
        <v>0.03</v>
      </c>
      <c r="AG72" s="29">
        <v>1</v>
      </c>
      <c r="AH72" s="1">
        <v>1.1267298112245603</v>
      </c>
      <c r="AI72" s="139" t="s">
        <v>1319</v>
      </c>
      <c r="AJ72" s="729">
        <v>0.03</v>
      </c>
      <c r="AK72" s="29">
        <v>1</v>
      </c>
      <c r="AL72" s="1">
        <v>1.1267298112245603</v>
      </c>
      <c r="AM72" s="139" t="s">
        <v>1319</v>
      </c>
      <c r="AN72" s="728">
        <v>0.03</v>
      </c>
      <c r="AO72" s="29">
        <v>1</v>
      </c>
      <c r="AP72" s="1">
        <v>1.1267298112245603</v>
      </c>
      <c r="AQ72" s="139" t="s">
        <v>1319</v>
      </c>
      <c r="AR72" s="728">
        <v>0.03</v>
      </c>
      <c r="AS72" s="29">
        <v>1</v>
      </c>
      <c r="AT72" s="1">
        <v>1.1267298112245603</v>
      </c>
      <c r="AU72" s="139" t="s">
        <v>1319</v>
      </c>
      <c r="AV72" s="728">
        <v>0.03</v>
      </c>
      <c r="AW72" s="29">
        <v>1</v>
      </c>
      <c r="AX72" s="1">
        <v>1.1267298112245603</v>
      </c>
      <c r="AY72" s="139" t="s">
        <v>1319</v>
      </c>
      <c r="AZ72" s="728">
        <v>0.03</v>
      </c>
      <c r="BA72" s="29">
        <v>1</v>
      </c>
      <c r="BB72" s="1">
        <v>1.1267298112245603</v>
      </c>
      <c r="BC72" s="139" t="s">
        <v>1319</v>
      </c>
      <c r="BD72" s="728">
        <v>0.03</v>
      </c>
      <c r="BE72" s="29">
        <v>1</v>
      </c>
      <c r="BF72" s="1">
        <v>1.1267298112245603</v>
      </c>
      <c r="BG72" s="139" t="s">
        <v>1319</v>
      </c>
      <c r="BH72" s="728">
        <v>0.03</v>
      </c>
      <c r="BI72" s="29">
        <v>1</v>
      </c>
      <c r="BJ72" s="1">
        <v>1.1267298112245603</v>
      </c>
      <c r="BK72" s="139" t="s">
        <v>1319</v>
      </c>
      <c r="BL72" s="728">
        <v>0.03</v>
      </c>
      <c r="BM72" s="29">
        <v>1</v>
      </c>
      <c r="BN72" s="1">
        <v>1.1267298112245603</v>
      </c>
      <c r="BO72" s="139" t="s">
        <v>1319</v>
      </c>
      <c r="BP72" s="728">
        <v>0.03</v>
      </c>
      <c r="BQ72" s="29">
        <v>1</v>
      </c>
      <c r="BR72" s="1">
        <v>1.1267298112245603</v>
      </c>
      <c r="BS72" s="139" t="s">
        <v>1319</v>
      </c>
      <c r="BT72" s="728">
        <v>0.03</v>
      </c>
      <c r="BU72" s="29">
        <v>1</v>
      </c>
      <c r="BV72" s="1">
        <v>1.1267298112245603</v>
      </c>
      <c r="BW72" s="139" t="s">
        <v>1319</v>
      </c>
      <c r="BX72" s="31"/>
      <c r="BY72" s="155">
        <v>0.03</v>
      </c>
      <c r="BZ72" s="29">
        <v>1</v>
      </c>
      <c r="CA72" s="1">
        <v>1.1267298112245603</v>
      </c>
      <c r="CB72" s="139" t="s">
        <v>1319</v>
      </c>
      <c r="CC72" s="155">
        <v>0.03</v>
      </c>
      <c r="CD72" s="29">
        <v>1</v>
      </c>
      <c r="CE72" s="1">
        <v>1.1267298112245603</v>
      </c>
      <c r="CF72" s="31" t="s">
        <v>1319</v>
      </c>
      <c r="CG72" s="253">
        <v>0.03</v>
      </c>
      <c r="CH72" s="253"/>
      <c r="CI72" s="182">
        <v>0.82168882878822025</v>
      </c>
      <c r="CJ72" s="182"/>
      <c r="CK72" s="253"/>
      <c r="CL72" s="182">
        <v>18000</v>
      </c>
      <c r="CM72" s="259">
        <v>1.3125</v>
      </c>
      <c r="CN72" s="694">
        <v>0.03</v>
      </c>
      <c r="CO72" s="115" t="s">
        <v>382</v>
      </c>
      <c r="CP72" s="10">
        <v>1</v>
      </c>
      <c r="CQ72" s="50">
        <v>4</v>
      </c>
      <c r="CR72" s="50">
        <v>1</v>
      </c>
      <c r="CS72" s="50">
        <v>3</v>
      </c>
      <c r="CT72" s="50">
        <v>1</v>
      </c>
      <c r="CU72" s="50">
        <v>3</v>
      </c>
      <c r="CV72" s="50">
        <v>6</v>
      </c>
      <c r="CW72" s="51">
        <v>1.05</v>
      </c>
      <c r="CX72" s="87">
        <v>1.1150377561073679</v>
      </c>
      <c r="CY72" s="88">
        <v>1.1267298112245603</v>
      </c>
      <c r="CZ72" s="89" t="s">
        <v>1305</v>
      </c>
      <c r="DA72" s="52">
        <v>1</v>
      </c>
      <c r="DB72" s="52">
        <v>1.1000000000000001</v>
      </c>
      <c r="DC72" s="52">
        <v>1</v>
      </c>
      <c r="DD72" s="52">
        <v>1.02</v>
      </c>
      <c r="DE72" s="52">
        <v>1</v>
      </c>
      <c r="DF72" s="52">
        <v>1.05</v>
      </c>
      <c r="DG72" s="182">
        <v>10800</v>
      </c>
    </row>
    <row r="73" spans="1:114" ht="24">
      <c r="A73" s="156">
        <v>4933</v>
      </c>
      <c r="B73" s="168" t="s">
        <v>525</v>
      </c>
      <c r="C73" s="151" t="s">
        <v>525</v>
      </c>
      <c r="D73" s="152" t="s">
        <v>526</v>
      </c>
      <c r="E73" s="153" t="s">
        <v>402</v>
      </c>
      <c r="F73" s="144" t="s">
        <v>1320</v>
      </c>
      <c r="G73" s="125" t="s">
        <v>393</v>
      </c>
      <c r="H73" s="154" t="s">
        <v>402</v>
      </c>
      <c r="I73" s="123" t="s">
        <v>402</v>
      </c>
      <c r="J73" s="124">
        <v>0</v>
      </c>
      <c r="K73" s="125" t="s">
        <v>395</v>
      </c>
      <c r="L73" s="728">
        <v>0.11187499999999999</v>
      </c>
      <c r="M73" s="29">
        <v>1</v>
      </c>
      <c r="N73" s="1">
        <v>1.1267298112245603</v>
      </c>
      <c r="O73" s="139" t="s">
        <v>1321</v>
      </c>
      <c r="P73" s="728">
        <v>0.11187499999999999</v>
      </c>
      <c r="Q73" s="29">
        <v>1</v>
      </c>
      <c r="R73" s="1">
        <v>1.1267298112245603</v>
      </c>
      <c r="S73" s="139" t="s">
        <v>1321</v>
      </c>
      <c r="T73" s="728">
        <v>0.11187499999999999</v>
      </c>
      <c r="U73" s="29">
        <v>1</v>
      </c>
      <c r="V73" s="1">
        <v>1.1267298112245603</v>
      </c>
      <c r="W73" s="139" t="s">
        <v>1321</v>
      </c>
      <c r="X73" s="728">
        <v>0.11187499999999999</v>
      </c>
      <c r="Y73" s="29">
        <v>1</v>
      </c>
      <c r="Z73" s="1">
        <v>1.1267298112245603</v>
      </c>
      <c r="AA73" s="139" t="s">
        <v>1321</v>
      </c>
      <c r="AB73" s="728">
        <v>0.11187499999999999</v>
      </c>
      <c r="AC73" s="29">
        <v>1</v>
      </c>
      <c r="AD73" s="1">
        <v>1.1267298112245603</v>
      </c>
      <c r="AE73" s="139" t="s">
        <v>1321</v>
      </c>
      <c r="AF73" s="728">
        <v>0.11187499999999999</v>
      </c>
      <c r="AG73" s="29">
        <v>1</v>
      </c>
      <c r="AH73" s="1">
        <v>1.1267298112245603</v>
      </c>
      <c r="AI73" s="139" t="s">
        <v>1321</v>
      </c>
      <c r="AJ73" s="729">
        <v>0.11187499999999999</v>
      </c>
      <c r="AK73" s="29">
        <v>1</v>
      </c>
      <c r="AL73" s="1">
        <v>1.1267298112245603</v>
      </c>
      <c r="AM73" s="139" t="s">
        <v>1321</v>
      </c>
      <c r="AN73" s="728">
        <v>0.11187499999999999</v>
      </c>
      <c r="AO73" s="29">
        <v>1</v>
      </c>
      <c r="AP73" s="1">
        <v>1.1267298112245603</v>
      </c>
      <c r="AQ73" s="139" t="s">
        <v>1321</v>
      </c>
      <c r="AR73" s="728">
        <v>0.11187499999999999</v>
      </c>
      <c r="AS73" s="29">
        <v>1</v>
      </c>
      <c r="AT73" s="1">
        <v>1.1267298112245603</v>
      </c>
      <c r="AU73" s="139" t="s">
        <v>1321</v>
      </c>
      <c r="AV73" s="728">
        <v>0.11187499999999999</v>
      </c>
      <c r="AW73" s="29">
        <v>1</v>
      </c>
      <c r="AX73" s="1">
        <v>1.1267298112245603</v>
      </c>
      <c r="AY73" s="139" t="s">
        <v>1321</v>
      </c>
      <c r="AZ73" s="728">
        <v>0.11187499999999999</v>
      </c>
      <c r="BA73" s="29">
        <v>1</v>
      </c>
      <c r="BB73" s="1">
        <v>1.1267298112245603</v>
      </c>
      <c r="BC73" s="139" t="s">
        <v>1321</v>
      </c>
      <c r="BD73" s="728">
        <v>0.11187499999999999</v>
      </c>
      <c r="BE73" s="29">
        <v>1</v>
      </c>
      <c r="BF73" s="1">
        <v>1.1267298112245603</v>
      </c>
      <c r="BG73" s="139" t="s">
        <v>1321</v>
      </c>
      <c r="BH73" s="728">
        <v>0.11187499999999999</v>
      </c>
      <c r="BI73" s="29">
        <v>1</v>
      </c>
      <c r="BJ73" s="1">
        <v>1.1267298112245603</v>
      </c>
      <c r="BK73" s="139" t="s">
        <v>1321</v>
      </c>
      <c r="BL73" s="728">
        <v>0.11187499999999999</v>
      </c>
      <c r="BM73" s="29">
        <v>1</v>
      </c>
      <c r="BN73" s="1">
        <v>1.1267298112245603</v>
      </c>
      <c r="BO73" s="139" t="s">
        <v>1321</v>
      </c>
      <c r="BP73" s="728">
        <v>0.11187499999999999</v>
      </c>
      <c r="BQ73" s="29">
        <v>1</v>
      </c>
      <c r="BR73" s="1">
        <v>1.1267298112245603</v>
      </c>
      <c r="BS73" s="139" t="s">
        <v>1321</v>
      </c>
      <c r="BT73" s="728">
        <v>0.11187499999999999</v>
      </c>
      <c r="BU73" s="29">
        <v>1</v>
      </c>
      <c r="BV73" s="1">
        <v>1.1267298112245603</v>
      </c>
      <c r="BW73" s="139" t="s">
        <v>1321</v>
      </c>
      <c r="BX73" s="31"/>
      <c r="BY73" s="155">
        <v>0.11187499999999999</v>
      </c>
      <c r="BZ73" s="29">
        <v>1</v>
      </c>
      <c r="CA73" s="1">
        <v>1.1267298112245603</v>
      </c>
      <c r="CB73" s="139" t="s">
        <v>1321</v>
      </c>
      <c r="CC73" s="155">
        <v>0.11187499999999999</v>
      </c>
      <c r="CD73" s="29">
        <v>1</v>
      </c>
      <c r="CE73" s="1">
        <v>1.1267298112245603</v>
      </c>
      <c r="CF73" s="31" t="s">
        <v>1321</v>
      </c>
      <c r="CG73" s="253"/>
      <c r="CH73" s="253"/>
      <c r="CI73" s="182">
        <v>0</v>
      </c>
      <c r="CJ73" s="182"/>
      <c r="CK73" s="253"/>
      <c r="CL73" s="182"/>
      <c r="CM73" s="259">
        <v>7.1583750000000002E-2</v>
      </c>
      <c r="CN73" s="694">
        <v>4.2937499999999998E-3</v>
      </c>
      <c r="CO73" s="115" t="s">
        <v>381</v>
      </c>
      <c r="CP73" s="272">
        <v>1</v>
      </c>
      <c r="CQ73" s="272">
        <v>4</v>
      </c>
      <c r="CR73" s="272">
        <v>1</v>
      </c>
      <c r="CS73" s="272">
        <v>3</v>
      </c>
      <c r="CT73" s="272">
        <v>1</v>
      </c>
      <c r="CU73" s="272">
        <v>3</v>
      </c>
      <c r="CV73" s="50">
        <v>6</v>
      </c>
      <c r="CW73" s="51">
        <v>1.05</v>
      </c>
      <c r="CX73" s="87">
        <v>1.1150377561073679</v>
      </c>
      <c r="CY73" s="88">
        <v>1.1267298112245603</v>
      </c>
      <c r="CZ73" s="89" t="s">
        <v>1305</v>
      </c>
      <c r="DA73" s="52">
        <v>1</v>
      </c>
      <c r="DB73" s="52">
        <v>1.1000000000000001</v>
      </c>
      <c r="DC73" s="52">
        <v>1</v>
      </c>
      <c r="DD73" s="52">
        <v>1.02</v>
      </c>
      <c r="DE73" s="52">
        <v>1</v>
      </c>
      <c r="DF73" s="52">
        <v>1.05</v>
      </c>
    </row>
    <row r="74" spans="1:114" ht="24">
      <c r="A74" s="156">
        <v>1409</v>
      </c>
      <c r="B74" s="168" t="s">
        <v>525</v>
      </c>
      <c r="C74" s="151" t="s">
        <v>525</v>
      </c>
      <c r="D74" s="152" t="s">
        <v>526</v>
      </c>
      <c r="E74" s="153" t="s">
        <v>402</v>
      </c>
      <c r="F74" s="144" t="s">
        <v>1184</v>
      </c>
      <c r="G74" s="125" t="s">
        <v>393</v>
      </c>
      <c r="H74" s="154" t="s">
        <v>402</v>
      </c>
      <c r="I74" s="123" t="s">
        <v>402</v>
      </c>
      <c r="J74" s="124">
        <v>0</v>
      </c>
      <c r="K74" s="125" t="s">
        <v>395</v>
      </c>
      <c r="L74" s="728">
        <v>1.6375</v>
      </c>
      <c r="M74" s="29">
        <v>1</v>
      </c>
      <c r="N74" s="1">
        <v>1.1267298112245603</v>
      </c>
      <c r="O74" s="139" t="s">
        <v>1321</v>
      </c>
      <c r="P74" s="728">
        <v>1.6375</v>
      </c>
      <c r="Q74" s="29">
        <v>1</v>
      </c>
      <c r="R74" s="1">
        <v>1.1267298112245603</v>
      </c>
      <c r="S74" s="139" t="s">
        <v>1321</v>
      </c>
      <c r="T74" s="728">
        <v>1.6375</v>
      </c>
      <c r="U74" s="29">
        <v>1</v>
      </c>
      <c r="V74" s="1">
        <v>1.1267298112245603</v>
      </c>
      <c r="W74" s="139" t="s">
        <v>1321</v>
      </c>
      <c r="X74" s="728">
        <v>1.6375</v>
      </c>
      <c r="Y74" s="29">
        <v>1</v>
      </c>
      <c r="Z74" s="1">
        <v>1.1267298112245603</v>
      </c>
      <c r="AA74" s="139" t="s">
        <v>1321</v>
      </c>
      <c r="AB74" s="728">
        <v>1.6375</v>
      </c>
      <c r="AC74" s="29">
        <v>1</v>
      </c>
      <c r="AD74" s="1">
        <v>1.1267298112245603</v>
      </c>
      <c r="AE74" s="139" t="s">
        <v>1321</v>
      </c>
      <c r="AF74" s="728">
        <v>1.6375</v>
      </c>
      <c r="AG74" s="29">
        <v>1</v>
      </c>
      <c r="AH74" s="1">
        <v>1.1267298112245603</v>
      </c>
      <c r="AI74" s="139" t="s">
        <v>1321</v>
      </c>
      <c r="AJ74" s="729">
        <v>1.6375</v>
      </c>
      <c r="AK74" s="29">
        <v>1</v>
      </c>
      <c r="AL74" s="1">
        <v>1.1267298112245603</v>
      </c>
      <c r="AM74" s="139" t="s">
        <v>1321</v>
      </c>
      <c r="AN74" s="728">
        <v>1.6375</v>
      </c>
      <c r="AO74" s="29">
        <v>1</v>
      </c>
      <c r="AP74" s="1">
        <v>1.1267298112245603</v>
      </c>
      <c r="AQ74" s="139" t="s">
        <v>1321</v>
      </c>
      <c r="AR74" s="728">
        <v>1.6375</v>
      </c>
      <c r="AS74" s="29">
        <v>1</v>
      </c>
      <c r="AT74" s="1">
        <v>1.1267298112245603</v>
      </c>
      <c r="AU74" s="139" t="s">
        <v>1321</v>
      </c>
      <c r="AV74" s="728">
        <v>1.6375</v>
      </c>
      <c r="AW74" s="29">
        <v>1</v>
      </c>
      <c r="AX74" s="1">
        <v>1.1267298112245603</v>
      </c>
      <c r="AY74" s="139" t="s">
        <v>1321</v>
      </c>
      <c r="AZ74" s="728">
        <v>1.6375</v>
      </c>
      <c r="BA74" s="29">
        <v>1</v>
      </c>
      <c r="BB74" s="1">
        <v>1.1267298112245603</v>
      </c>
      <c r="BC74" s="139" t="s">
        <v>1321</v>
      </c>
      <c r="BD74" s="728">
        <v>1.6375</v>
      </c>
      <c r="BE74" s="29">
        <v>1</v>
      </c>
      <c r="BF74" s="1">
        <v>1.1267298112245603</v>
      </c>
      <c r="BG74" s="139" t="s">
        <v>1321</v>
      </c>
      <c r="BH74" s="728">
        <v>1.6375</v>
      </c>
      <c r="BI74" s="29">
        <v>1</v>
      </c>
      <c r="BJ74" s="1">
        <v>1.1267298112245603</v>
      </c>
      <c r="BK74" s="139" t="s">
        <v>1321</v>
      </c>
      <c r="BL74" s="728">
        <v>1.6375</v>
      </c>
      <c r="BM74" s="29">
        <v>1</v>
      </c>
      <c r="BN74" s="1">
        <v>1.1267298112245603</v>
      </c>
      <c r="BO74" s="139" t="s">
        <v>1321</v>
      </c>
      <c r="BP74" s="728">
        <v>1.6375</v>
      </c>
      <c r="BQ74" s="29">
        <v>1</v>
      </c>
      <c r="BR74" s="1">
        <v>1.1267298112245603</v>
      </c>
      <c r="BS74" s="139" t="s">
        <v>1321</v>
      </c>
      <c r="BT74" s="728">
        <v>1.6375</v>
      </c>
      <c r="BU74" s="29">
        <v>1</v>
      </c>
      <c r="BV74" s="1">
        <v>1.1267298112245603</v>
      </c>
      <c r="BW74" s="139" t="s">
        <v>1321</v>
      </c>
      <c r="BX74" s="31"/>
      <c r="BY74" s="155">
        <v>1.6375</v>
      </c>
      <c r="BZ74" s="29">
        <v>1</v>
      </c>
      <c r="CA74" s="1">
        <v>1.1267298112245603</v>
      </c>
      <c r="CB74" s="139" t="s">
        <v>1321</v>
      </c>
      <c r="CC74" s="155">
        <v>1.6375</v>
      </c>
      <c r="CD74" s="29">
        <v>1</v>
      </c>
      <c r="CE74" s="1">
        <v>1.1267298112245603</v>
      </c>
      <c r="CF74" s="31" t="s">
        <v>1321</v>
      </c>
      <c r="CG74" s="253">
        <v>7.5125835774922989E-2</v>
      </c>
      <c r="CH74" s="253"/>
      <c r="CI74" s="182">
        <v>0</v>
      </c>
      <c r="CJ74" s="182"/>
      <c r="CK74" s="253"/>
      <c r="CL74" s="182"/>
      <c r="CM74" s="259">
        <v>2.1604274999999999</v>
      </c>
      <c r="CN74" s="694">
        <v>2.8062500000000001E-2</v>
      </c>
      <c r="CO74" s="115" t="s">
        <v>381</v>
      </c>
      <c r="CP74" s="272">
        <v>1</v>
      </c>
      <c r="CQ74" s="272">
        <v>4</v>
      </c>
      <c r="CR74" s="272">
        <v>1</v>
      </c>
      <c r="CS74" s="272">
        <v>3</v>
      </c>
      <c r="CT74" s="272">
        <v>1</v>
      </c>
      <c r="CU74" s="272">
        <v>3</v>
      </c>
      <c r="CV74" s="50">
        <v>6</v>
      </c>
      <c r="CW74" s="51">
        <v>1.05</v>
      </c>
      <c r="CX74" s="87">
        <v>1.1150377561073679</v>
      </c>
      <c r="CY74" s="88">
        <v>1.1267298112245603</v>
      </c>
      <c r="CZ74" s="89" t="s">
        <v>1305</v>
      </c>
      <c r="DA74" s="52">
        <v>1</v>
      </c>
      <c r="DB74" s="52">
        <v>1.1000000000000001</v>
      </c>
      <c r="DC74" s="52">
        <v>1</v>
      </c>
      <c r="DD74" s="52">
        <v>1.02</v>
      </c>
      <c r="DE74" s="52">
        <v>1</v>
      </c>
      <c r="DF74" s="52">
        <v>1.05</v>
      </c>
    </row>
    <row r="75" spans="1:114" ht="24">
      <c r="A75" s="157">
        <v>1762</v>
      </c>
      <c r="B75" s="168" t="s">
        <v>525</v>
      </c>
      <c r="C75" s="151" t="s">
        <v>525</v>
      </c>
      <c r="D75" s="152" t="s">
        <v>526</v>
      </c>
      <c r="E75" s="153" t="s">
        <v>402</v>
      </c>
      <c r="F75" s="144" t="s">
        <v>1322</v>
      </c>
      <c r="G75" s="125" t="s">
        <v>393</v>
      </c>
      <c r="H75" s="154" t="s">
        <v>402</v>
      </c>
      <c r="I75" s="123" t="s">
        <v>402</v>
      </c>
      <c r="J75" s="124">
        <v>0</v>
      </c>
      <c r="K75" s="125" t="s">
        <v>395</v>
      </c>
      <c r="L75" s="728">
        <v>1.6062499999999998E-3</v>
      </c>
      <c r="M75" s="29">
        <v>1</v>
      </c>
      <c r="N75" s="1">
        <v>1.1267298112245603</v>
      </c>
      <c r="O75" s="139" t="s">
        <v>1304</v>
      </c>
      <c r="P75" s="728">
        <v>1.6062499999999998E-3</v>
      </c>
      <c r="Q75" s="29">
        <v>1</v>
      </c>
      <c r="R75" s="1">
        <v>1.1267298112245603</v>
      </c>
      <c r="S75" s="139" t="s">
        <v>1304</v>
      </c>
      <c r="T75" s="728">
        <v>1.6062499999999998E-3</v>
      </c>
      <c r="U75" s="29">
        <v>1</v>
      </c>
      <c r="V75" s="1">
        <v>1.1267298112245603</v>
      </c>
      <c r="W75" s="139" t="s">
        <v>1304</v>
      </c>
      <c r="X75" s="728">
        <v>1.6062499999999998E-3</v>
      </c>
      <c r="Y75" s="29">
        <v>1</v>
      </c>
      <c r="Z75" s="1">
        <v>1.1267298112245603</v>
      </c>
      <c r="AA75" s="139" t="s">
        <v>1304</v>
      </c>
      <c r="AB75" s="728">
        <v>1.6062499999999998E-3</v>
      </c>
      <c r="AC75" s="29">
        <v>1</v>
      </c>
      <c r="AD75" s="1">
        <v>1.1267298112245603</v>
      </c>
      <c r="AE75" s="139" t="s">
        <v>1304</v>
      </c>
      <c r="AF75" s="728">
        <v>1.6062499999999998E-3</v>
      </c>
      <c r="AG75" s="29">
        <v>1</v>
      </c>
      <c r="AH75" s="1">
        <v>1.1267298112245603</v>
      </c>
      <c r="AI75" s="139" t="s">
        <v>1304</v>
      </c>
      <c r="AJ75" s="729">
        <v>1.6062499999999998E-3</v>
      </c>
      <c r="AK75" s="29">
        <v>1</v>
      </c>
      <c r="AL75" s="1">
        <v>1.1267298112245603</v>
      </c>
      <c r="AM75" s="139" t="s">
        <v>1304</v>
      </c>
      <c r="AN75" s="728">
        <v>1.6062499999999998E-3</v>
      </c>
      <c r="AO75" s="29">
        <v>1</v>
      </c>
      <c r="AP75" s="1">
        <v>1.1267298112245603</v>
      </c>
      <c r="AQ75" s="139" t="s">
        <v>1304</v>
      </c>
      <c r="AR75" s="728">
        <v>1.6062499999999998E-3</v>
      </c>
      <c r="AS75" s="29">
        <v>1</v>
      </c>
      <c r="AT75" s="1">
        <v>1.1267298112245603</v>
      </c>
      <c r="AU75" s="139" t="s">
        <v>1304</v>
      </c>
      <c r="AV75" s="728">
        <v>1.6062499999999998E-3</v>
      </c>
      <c r="AW75" s="29">
        <v>1</v>
      </c>
      <c r="AX75" s="1">
        <v>1.1267298112245603</v>
      </c>
      <c r="AY75" s="139" t="s">
        <v>1304</v>
      </c>
      <c r="AZ75" s="728">
        <v>1.6062499999999998E-3</v>
      </c>
      <c r="BA75" s="29">
        <v>1</v>
      </c>
      <c r="BB75" s="1">
        <v>1.1267298112245603</v>
      </c>
      <c r="BC75" s="139" t="s">
        <v>1304</v>
      </c>
      <c r="BD75" s="728">
        <v>1.6062499999999998E-3</v>
      </c>
      <c r="BE75" s="29">
        <v>1</v>
      </c>
      <c r="BF75" s="1">
        <v>1.1267298112245603</v>
      </c>
      <c r="BG75" s="139" t="s">
        <v>1304</v>
      </c>
      <c r="BH75" s="728">
        <v>1.6062499999999998E-3</v>
      </c>
      <c r="BI75" s="29">
        <v>1</v>
      </c>
      <c r="BJ75" s="1">
        <v>1.1267298112245603</v>
      </c>
      <c r="BK75" s="139" t="s">
        <v>1304</v>
      </c>
      <c r="BL75" s="728">
        <v>1.6062499999999998E-3</v>
      </c>
      <c r="BM75" s="29">
        <v>1</v>
      </c>
      <c r="BN75" s="1">
        <v>1.1267298112245603</v>
      </c>
      <c r="BO75" s="139" t="s">
        <v>1304</v>
      </c>
      <c r="BP75" s="728">
        <v>1.6062499999999998E-3</v>
      </c>
      <c r="BQ75" s="29">
        <v>1</v>
      </c>
      <c r="BR75" s="1">
        <v>1.1267298112245603</v>
      </c>
      <c r="BS75" s="139" t="s">
        <v>1304</v>
      </c>
      <c r="BT75" s="728">
        <v>1.6062499999999998E-3</v>
      </c>
      <c r="BU75" s="29">
        <v>1</v>
      </c>
      <c r="BV75" s="1">
        <v>1.1267298112245603</v>
      </c>
      <c r="BW75" s="139" t="s">
        <v>1304</v>
      </c>
      <c r="BX75" s="31"/>
      <c r="BY75" s="155">
        <v>1.6062499999999998E-3</v>
      </c>
      <c r="BZ75" s="29">
        <v>1</v>
      </c>
      <c r="CA75" s="1">
        <v>1.1267298112245603</v>
      </c>
      <c r="CB75" s="139" t="s">
        <v>1304</v>
      </c>
      <c r="CC75" s="155">
        <v>1.6062499999999998E-3</v>
      </c>
      <c r="CD75" s="29">
        <v>1</v>
      </c>
      <c r="CE75" s="1">
        <v>1.1267298112245603</v>
      </c>
      <c r="CF75" s="31" t="s">
        <v>1304</v>
      </c>
      <c r="CG75" s="253"/>
      <c r="CH75" s="253"/>
      <c r="CI75" s="182">
        <v>5.8431205602717884E-3</v>
      </c>
      <c r="CJ75" s="182"/>
      <c r="CK75" s="253"/>
      <c r="CL75" s="182">
        <v>128</v>
      </c>
      <c r="CM75" s="259"/>
      <c r="CN75" s="694">
        <v>1.6062499999999998E-3</v>
      </c>
      <c r="CO75" s="115" t="s">
        <v>1124</v>
      </c>
      <c r="CP75" s="272">
        <v>1</v>
      </c>
      <c r="CQ75" s="272">
        <v>4</v>
      </c>
      <c r="CR75" s="272">
        <v>1</v>
      </c>
      <c r="CS75" s="272">
        <v>3</v>
      </c>
      <c r="CT75" s="272">
        <v>1</v>
      </c>
      <c r="CU75" s="272">
        <v>3</v>
      </c>
      <c r="CV75" s="50">
        <v>6</v>
      </c>
      <c r="CW75" s="51">
        <v>1.05</v>
      </c>
      <c r="CX75" s="87">
        <v>1.1150377561073679</v>
      </c>
      <c r="CY75" s="88">
        <v>1.1267298112245603</v>
      </c>
      <c r="CZ75" s="89" t="s">
        <v>1305</v>
      </c>
      <c r="DA75" s="52">
        <v>1</v>
      </c>
      <c r="DB75" s="52">
        <v>1.1000000000000001</v>
      </c>
      <c r="DC75" s="52">
        <v>1</v>
      </c>
      <c r="DD75" s="52">
        <v>1.02</v>
      </c>
      <c r="DE75" s="52">
        <v>1</v>
      </c>
      <c r="DF75" s="52">
        <v>1.05</v>
      </c>
      <c r="DG75" s="182">
        <v>128</v>
      </c>
    </row>
    <row r="76" spans="1:114" ht="24">
      <c r="A76" s="2">
        <v>1750</v>
      </c>
      <c r="B76" s="168" t="s">
        <v>525</v>
      </c>
      <c r="C76" s="151" t="s">
        <v>525</v>
      </c>
      <c r="D76" s="152" t="s">
        <v>526</v>
      </c>
      <c r="E76" s="153" t="s">
        <v>402</v>
      </c>
      <c r="F76" s="144" t="s">
        <v>113</v>
      </c>
      <c r="G76" s="125" t="s">
        <v>393</v>
      </c>
      <c r="H76" s="154" t="s">
        <v>402</v>
      </c>
      <c r="I76" s="123" t="s">
        <v>402</v>
      </c>
      <c r="J76" s="124">
        <v>0</v>
      </c>
      <c r="K76" s="125" t="s">
        <v>409</v>
      </c>
      <c r="L76" s="728">
        <v>5.0312500000000001E-3</v>
      </c>
      <c r="M76" s="29">
        <v>1</v>
      </c>
      <c r="N76" s="1">
        <v>1.1267298112245603</v>
      </c>
      <c r="O76" s="139" t="s">
        <v>1323</v>
      </c>
      <c r="P76" s="728">
        <v>5.0312500000000001E-3</v>
      </c>
      <c r="Q76" s="29">
        <v>1</v>
      </c>
      <c r="R76" s="1">
        <v>1.1267298112245603</v>
      </c>
      <c r="S76" s="139" t="s">
        <v>1323</v>
      </c>
      <c r="T76" s="728">
        <v>5.0312500000000001E-3</v>
      </c>
      <c r="U76" s="29">
        <v>1</v>
      </c>
      <c r="V76" s="1">
        <v>1.1267298112245603</v>
      </c>
      <c r="W76" s="139" t="s">
        <v>1323</v>
      </c>
      <c r="X76" s="728">
        <v>5.0312500000000001E-3</v>
      </c>
      <c r="Y76" s="29">
        <v>1</v>
      </c>
      <c r="Z76" s="1">
        <v>1.1267298112245603</v>
      </c>
      <c r="AA76" s="139" t="s">
        <v>1323</v>
      </c>
      <c r="AB76" s="728">
        <v>5.0312500000000001E-3</v>
      </c>
      <c r="AC76" s="29">
        <v>1</v>
      </c>
      <c r="AD76" s="1">
        <v>1.1267298112245603</v>
      </c>
      <c r="AE76" s="139" t="s">
        <v>1323</v>
      </c>
      <c r="AF76" s="728">
        <v>5.0312500000000001E-3</v>
      </c>
      <c r="AG76" s="29">
        <v>1</v>
      </c>
      <c r="AH76" s="1">
        <v>1.1267298112245603</v>
      </c>
      <c r="AI76" s="139" t="s">
        <v>1323</v>
      </c>
      <c r="AJ76" s="729">
        <v>5.0312500000000001E-3</v>
      </c>
      <c r="AK76" s="29">
        <v>1</v>
      </c>
      <c r="AL76" s="1">
        <v>1.1267298112245603</v>
      </c>
      <c r="AM76" s="139" t="s">
        <v>1323</v>
      </c>
      <c r="AN76" s="728">
        <v>5.0312500000000001E-3</v>
      </c>
      <c r="AO76" s="29">
        <v>1</v>
      </c>
      <c r="AP76" s="1">
        <v>1.1267298112245603</v>
      </c>
      <c r="AQ76" s="139" t="s">
        <v>1323</v>
      </c>
      <c r="AR76" s="728">
        <v>5.0312500000000001E-3</v>
      </c>
      <c r="AS76" s="29">
        <v>1</v>
      </c>
      <c r="AT76" s="1">
        <v>1.1267298112245603</v>
      </c>
      <c r="AU76" s="139" t="s">
        <v>1323</v>
      </c>
      <c r="AV76" s="728">
        <v>5.0312500000000001E-3</v>
      </c>
      <c r="AW76" s="29">
        <v>1</v>
      </c>
      <c r="AX76" s="1">
        <v>1.1267298112245603</v>
      </c>
      <c r="AY76" s="139" t="s">
        <v>1323</v>
      </c>
      <c r="AZ76" s="728">
        <v>5.0312500000000001E-3</v>
      </c>
      <c r="BA76" s="29">
        <v>1</v>
      </c>
      <c r="BB76" s="1">
        <v>1.1267298112245603</v>
      </c>
      <c r="BC76" s="139" t="s">
        <v>1323</v>
      </c>
      <c r="BD76" s="728">
        <v>5.0312500000000001E-3</v>
      </c>
      <c r="BE76" s="29">
        <v>1</v>
      </c>
      <c r="BF76" s="1">
        <v>1.1267298112245603</v>
      </c>
      <c r="BG76" s="139" t="s">
        <v>1323</v>
      </c>
      <c r="BH76" s="728">
        <v>5.0312500000000001E-3</v>
      </c>
      <c r="BI76" s="29">
        <v>1</v>
      </c>
      <c r="BJ76" s="1">
        <v>1.1267298112245603</v>
      </c>
      <c r="BK76" s="139" t="s">
        <v>1323</v>
      </c>
      <c r="BL76" s="728">
        <v>5.0312500000000001E-3</v>
      </c>
      <c r="BM76" s="29">
        <v>1</v>
      </c>
      <c r="BN76" s="1">
        <v>1.1267298112245603</v>
      </c>
      <c r="BO76" s="139" t="s">
        <v>1323</v>
      </c>
      <c r="BP76" s="728">
        <v>5.0312500000000001E-3</v>
      </c>
      <c r="BQ76" s="29">
        <v>1</v>
      </c>
      <c r="BR76" s="1">
        <v>1.1267298112245603</v>
      </c>
      <c r="BS76" s="139" t="s">
        <v>1323</v>
      </c>
      <c r="BT76" s="728">
        <v>5.0312500000000001E-3</v>
      </c>
      <c r="BU76" s="29">
        <v>1</v>
      </c>
      <c r="BV76" s="1">
        <v>1.1267298112245603</v>
      </c>
      <c r="BW76" s="139" t="s">
        <v>1323</v>
      </c>
      <c r="BX76" s="31"/>
      <c r="BY76" s="155">
        <v>5.0312500000000001E-3</v>
      </c>
      <c r="BZ76" s="29">
        <v>1</v>
      </c>
      <c r="CA76" s="1">
        <v>1.1267298112245603</v>
      </c>
      <c r="CB76" s="139" t="s">
        <v>1323</v>
      </c>
      <c r="CC76" s="155">
        <v>5.0312500000000001E-3</v>
      </c>
      <c r="CD76" s="29">
        <v>1</v>
      </c>
      <c r="CE76" s="1">
        <v>1.1267298112245603</v>
      </c>
      <c r="CF76" s="31" t="s">
        <v>1323</v>
      </c>
      <c r="CG76" s="253"/>
      <c r="CH76" s="253"/>
      <c r="CI76" s="182">
        <v>0</v>
      </c>
      <c r="CJ76" s="182"/>
      <c r="CK76" s="253"/>
      <c r="CL76" s="182"/>
      <c r="CM76" s="259">
        <v>3.5437499999999997E-2</v>
      </c>
      <c r="CN76" s="694">
        <v>2.1312499999999998E-2</v>
      </c>
      <c r="CO76" s="115" t="s">
        <v>307</v>
      </c>
      <c r="CP76" s="272">
        <v>1</v>
      </c>
      <c r="CQ76" s="272">
        <v>4</v>
      </c>
      <c r="CR76" s="272">
        <v>1</v>
      </c>
      <c r="CS76" s="272">
        <v>3</v>
      </c>
      <c r="CT76" s="272">
        <v>1</v>
      </c>
      <c r="CU76" s="272">
        <v>3</v>
      </c>
      <c r="CV76" s="50">
        <v>6</v>
      </c>
      <c r="CW76" s="51">
        <v>1.05</v>
      </c>
      <c r="CX76" s="87">
        <v>1.1150377561073679</v>
      </c>
      <c r="CY76" s="88">
        <v>1.1267298112245603</v>
      </c>
      <c r="CZ76" s="89" t="s">
        <v>1305</v>
      </c>
      <c r="DA76" s="52">
        <v>1</v>
      </c>
      <c r="DB76" s="52">
        <v>1.1000000000000001</v>
      </c>
      <c r="DC76" s="52">
        <v>1</v>
      </c>
      <c r="DD76" s="52">
        <v>1.02</v>
      </c>
      <c r="DE76" s="52">
        <v>1</v>
      </c>
      <c r="DF76" s="52">
        <v>1.05</v>
      </c>
    </row>
    <row r="77" spans="1:114" ht="12.75">
      <c r="A77" s="214">
        <v>490</v>
      </c>
      <c r="B77" s="296" t="s">
        <v>692</v>
      </c>
      <c r="C77" s="169" t="s">
        <v>525</v>
      </c>
      <c r="D77" s="50" t="s">
        <v>402</v>
      </c>
      <c r="E77" s="10" t="s">
        <v>527</v>
      </c>
      <c r="F77" s="144" t="s">
        <v>324</v>
      </c>
      <c r="G77" s="125" t="s">
        <v>402</v>
      </c>
      <c r="H77" s="154" t="s">
        <v>325</v>
      </c>
      <c r="I77" s="123" t="s">
        <v>685</v>
      </c>
      <c r="J77" s="124" t="s">
        <v>402</v>
      </c>
      <c r="K77" s="125" t="s">
        <v>677</v>
      </c>
      <c r="L77" s="728">
        <v>13.432499999999999</v>
      </c>
      <c r="M77" s="29">
        <v>1</v>
      </c>
      <c r="N77" s="1">
        <v>1.2859877072397368</v>
      </c>
      <c r="O77" s="139" t="s">
        <v>1324</v>
      </c>
      <c r="P77" s="728">
        <v>13.432499999999999</v>
      </c>
      <c r="Q77" s="29">
        <v>1</v>
      </c>
      <c r="R77" s="1">
        <v>1.2859877072397368</v>
      </c>
      <c r="S77" s="139" t="s">
        <v>1324</v>
      </c>
      <c r="T77" s="728">
        <v>13.4375</v>
      </c>
      <c r="U77" s="29">
        <v>1</v>
      </c>
      <c r="V77" s="1">
        <v>1.2859877072397368</v>
      </c>
      <c r="W77" s="139" t="s">
        <v>1324</v>
      </c>
      <c r="X77" s="728">
        <v>13.432499999999999</v>
      </c>
      <c r="Y77" s="29">
        <v>1</v>
      </c>
      <c r="Z77" s="1">
        <v>1.2859877072397368</v>
      </c>
      <c r="AA77" s="139" t="s">
        <v>1324</v>
      </c>
      <c r="AB77" s="728">
        <v>13.432499999999999</v>
      </c>
      <c r="AC77" s="29">
        <v>1</v>
      </c>
      <c r="AD77" s="1">
        <v>1.2859877072397368</v>
      </c>
      <c r="AE77" s="139" t="s">
        <v>1324</v>
      </c>
      <c r="AF77" s="728">
        <v>13.432499999999999</v>
      </c>
      <c r="AG77" s="29">
        <v>1</v>
      </c>
      <c r="AH77" s="1">
        <v>1.2859877072397368</v>
      </c>
      <c r="AI77" s="139" t="s">
        <v>1324</v>
      </c>
      <c r="AJ77" s="729">
        <v>13.432499999999999</v>
      </c>
      <c r="AK77" s="29">
        <v>1</v>
      </c>
      <c r="AL77" s="1">
        <v>1.2859877072397368</v>
      </c>
      <c r="AM77" s="139" t="s">
        <v>1324</v>
      </c>
      <c r="AN77" s="728">
        <v>13.432499999999999</v>
      </c>
      <c r="AO77" s="29">
        <v>1</v>
      </c>
      <c r="AP77" s="1">
        <v>1.2859877072397368</v>
      </c>
      <c r="AQ77" s="139" t="s">
        <v>1324</v>
      </c>
      <c r="AR77" s="728">
        <v>13.432499999999999</v>
      </c>
      <c r="AS77" s="29">
        <v>1</v>
      </c>
      <c r="AT77" s="1">
        <v>1.2859877072397368</v>
      </c>
      <c r="AU77" s="139" t="s">
        <v>1324</v>
      </c>
      <c r="AV77" s="728">
        <v>13.432499999999999</v>
      </c>
      <c r="AW77" s="29">
        <v>1</v>
      </c>
      <c r="AX77" s="1">
        <v>1.2859877072397368</v>
      </c>
      <c r="AY77" s="139" t="s">
        <v>1324</v>
      </c>
      <c r="AZ77" s="728">
        <v>13.4375</v>
      </c>
      <c r="BA77" s="29">
        <v>1</v>
      </c>
      <c r="BB77" s="1">
        <v>1.2859877072397368</v>
      </c>
      <c r="BC77" s="139" t="s">
        <v>1324</v>
      </c>
      <c r="BD77" s="728">
        <v>13.432499999999999</v>
      </c>
      <c r="BE77" s="29">
        <v>1</v>
      </c>
      <c r="BF77" s="1">
        <v>1.2859877072397368</v>
      </c>
      <c r="BG77" s="139" t="s">
        <v>1324</v>
      </c>
      <c r="BH77" s="728">
        <v>13.432499999999999</v>
      </c>
      <c r="BI77" s="29">
        <v>1</v>
      </c>
      <c r="BJ77" s="1">
        <v>1.2859877072397368</v>
      </c>
      <c r="BK77" s="139" t="s">
        <v>1324</v>
      </c>
      <c r="BL77" s="728">
        <v>13.432499999999999</v>
      </c>
      <c r="BM77" s="29">
        <v>1</v>
      </c>
      <c r="BN77" s="1">
        <v>1.2859877072397368</v>
      </c>
      <c r="BO77" s="139" t="s">
        <v>1324</v>
      </c>
      <c r="BP77" s="728">
        <v>13.4375</v>
      </c>
      <c r="BQ77" s="29">
        <v>1</v>
      </c>
      <c r="BR77" s="1">
        <v>1.2859877072397368</v>
      </c>
      <c r="BS77" s="139" t="s">
        <v>1324</v>
      </c>
      <c r="BT77" s="728">
        <v>13.432499999999999</v>
      </c>
      <c r="BU77" s="29">
        <v>1</v>
      </c>
      <c r="BV77" s="1">
        <v>1.2859877072397368</v>
      </c>
      <c r="BW77" s="139" t="s">
        <v>1324</v>
      </c>
      <c r="BX77" s="31"/>
      <c r="BY77" s="155">
        <v>13.432499999999999</v>
      </c>
      <c r="BZ77" s="29">
        <v>1</v>
      </c>
      <c r="CA77" s="1">
        <v>1.2859877072397368</v>
      </c>
      <c r="CB77" s="139" t="s">
        <v>1324</v>
      </c>
      <c r="CC77" s="155">
        <v>13.432499999999999</v>
      </c>
      <c r="CD77" s="29">
        <v>1</v>
      </c>
      <c r="CE77" s="1">
        <v>1.2859877072397368</v>
      </c>
      <c r="CF77" s="31" t="s">
        <v>1324</v>
      </c>
      <c r="CG77" s="253"/>
      <c r="CH77" s="253"/>
      <c r="CI77" s="182">
        <v>0</v>
      </c>
      <c r="CJ77" s="182"/>
      <c r="CK77" s="253"/>
      <c r="CL77" s="182"/>
      <c r="CM77" s="259">
        <v>37.799999999999997</v>
      </c>
      <c r="CN77" s="694">
        <v>13.4375</v>
      </c>
      <c r="CO77" s="191" t="s">
        <v>308</v>
      </c>
      <c r="CP77" s="10">
        <v>3</v>
      </c>
      <c r="CQ77" s="50">
        <v>4</v>
      </c>
      <c r="CR77" s="50">
        <v>3</v>
      </c>
      <c r="CS77" s="50">
        <v>3</v>
      </c>
      <c r="CT77" s="50">
        <v>1</v>
      </c>
      <c r="CU77" s="50">
        <v>5</v>
      </c>
      <c r="CV77" s="50">
        <v>13</v>
      </c>
      <c r="CW77" s="51">
        <v>1.05</v>
      </c>
      <c r="CX77" s="87">
        <v>1.2798586482969265</v>
      </c>
      <c r="CY77" s="88">
        <v>1.2859877072397368</v>
      </c>
      <c r="CZ77" s="89" t="s">
        <v>1145</v>
      </c>
      <c r="DA77" s="52">
        <v>1.1000000000000001</v>
      </c>
      <c r="DB77" s="52">
        <v>1.1000000000000001</v>
      </c>
      <c r="DC77" s="52">
        <v>1.1000000000000001</v>
      </c>
      <c r="DD77" s="52">
        <v>1.02</v>
      </c>
      <c r="DE77" s="52">
        <v>1</v>
      </c>
      <c r="DF77" s="52">
        <v>1.2</v>
      </c>
    </row>
    <row r="78" spans="1:114" s="689" customFormat="1" ht="24">
      <c r="A78" s="693">
        <v>832</v>
      </c>
      <c r="B78" s="721"/>
      <c r="C78" s="672" t="s">
        <v>525</v>
      </c>
      <c r="D78" s="673" t="s">
        <v>402</v>
      </c>
      <c r="E78" s="674" t="s">
        <v>527</v>
      </c>
      <c r="F78" s="675" t="s">
        <v>997</v>
      </c>
      <c r="G78" s="676" t="s">
        <v>402</v>
      </c>
      <c r="H78" s="677" t="s">
        <v>325</v>
      </c>
      <c r="I78" s="678" t="s">
        <v>685</v>
      </c>
      <c r="J78" s="679" t="s">
        <v>402</v>
      </c>
      <c r="K78" s="676" t="s">
        <v>395</v>
      </c>
      <c r="L78" s="730">
        <v>8.0625000000000002E-3</v>
      </c>
      <c r="M78" s="681">
        <v>14</v>
      </c>
      <c r="N78" s="682">
        <v>1.6074425446378071</v>
      </c>
      <c r="O78" s="683" t="s">
        <v>1302</v>
      </c>
      <c r="P78" s="730">
        <v>8.0625000000000002E-3</v>
      </c>
      <c r="Q78" s="681">
        <v>14</v>
      </c>
      <c r="R78" s="682">
        <v>1.6074425446378071</v>
      </c>
      <c r="S78" s="683" t="s">
        <v>1302</v>
      </c>
      <c r="T78" s="730">
        <v>8.0625000000000002E-3</v>
      </c>
      <c r="U78" s="681">
        <v>14</v>
      </c>
      <c r="V78" s="682">
        <v>1.6074425446378071</v>
      </c>
      <c r="W78" s="683" t="s">
        <v>1302</v>
      </c>
      <c r="X78" s="730">
        <v>8.0625000000000002E-3</v>
      </c>
      <c r="Y78" s="681">
        <v>14</v>
      </c>
      <c r="Z78" s="682">
        <v>1.6074425446378071</v>
      </c>
      <c r="AA78" s="683" t="s">
        <v>1302</v>
      </c>
      <c r="AB78" s="730">
        <v>8.0625000000000002E-3</v>
      </c>
      <c r="AC78" s="681">
        <v>14</v>
      </c>
      <c r="AD78" s="682">
        <v>1.6074425446378071</v>
      </c>
      <c r="AE78" s="683" t="s">
        <v>1302</v>
      </c>
      <c r="AF78" s="730">
        <v>8.0625000000000002E-3</v>
      </c>
      <c r="AG78" s="681">
        <v>14</v>
      </c>
      <c r="AH78" s="682">
        <v>1.6074425446378071</v>
      </c>
      <c r="AI78" s="683" t="s">
        <v>1302</v>
      </c>
      <c r="AJ78" s="730">
        <v>8.0625000000000002E-3</v>
      </c>
      <c r="AK78" s="681">
        <v>14</v>
      </c>
      <c r="AL78" s="682">
        <v>1.6074425446378071</v>
      </c>
      <c r="AM78" s="683" t="s">
        <v>1302</v>
      </c>
      <c r="AN78" s="730">
        <v>8.0625000000000002E-3</v>
      </c>
      <c r="AO78" s="681">
        <v>14</v>
      </c>
      <c r="AP78" s="682">
        <v>1.6074425446378071</v>
      </c>
      <c r="AQ78" s="683" t="s">
        <v>1302</v>
      </c>
      <c r="AR78" s="730">
        <v>8.0625000000000002E-3</v>
      </c>
      <c r="AS78" s="681">
        <v>14</v>
      </c>
      <c r="AT78" s="682">
        <v>1.6074425446378071</v>
      </c>
      <c r="AU78" s="683" t="s">
        <v>1302</v>
      </c>
      <c r="AV78" s="730">
        <v>8.0625000000000002E-3</v>
      </c>
      <c r="AW78" s="681">
        <v>14</v>
      </c>
      <c r="AX78" s="682">
        <v>1.6074425446378071</v>
      </c>
      <c r="AY78" s="683" t="s">
        <v>1302</v>
      </c>
      <c r="AZ78" s="730">
        <v>8.0625000000000002E-3</v>
      </c>
      <c r="BA78" s="681">
        <v>14</v>
      </c>
      <c r="BB78" s="682">
        <v>1.6074425446378071</v>
      </c>
      <c r="BC78" s="683" t="s">
        <v>1302</v>
      </c>
      <c r="BD78" s="730">
        <v>8.0625000000000002E-3</v>
      </c>
      <c r="BE78" s="681">
        <v>14</v>
      </c>
      <c r="BF78" s="682">
        <v>1.6074425446378071</v>
      </c>
      <c r="BG78" s="683" t="s">
        <v>1302</v>
      </c>
      <c r="BH78" s="730">
        <v>8.0625000000000002E-3</v>
      </c>
      <c r="BI78" s="681">
        <v>14</v>
      </c>
      <c r="BJ78" s="682">
        <v>1.6074425446378071</v>
      </c>
      <c r="BK78" s="683" t="s">
        <v>1302</v>
      </c>
      <c r="BL78" s="730">
        <v>8.0625000000000002E-3</v>
      </c>
      <c r="BM78" s="681">
        <v>14</v>
      </c>
      <c r="BN78" s="682">
        <v>1.6074425446378071</v>
      </c>
      <c r="BO78" s="683" t="s">
        <v>1302</v>
      </c>
      <c r="BP78" s="730">
        <v>8.0625000000000002E-3</v>
      </c>
      <c r="BQ78" s="681">
        <v>14</v>
      </c>
      <c r="BR78" s="682">
        <v>1.6074425446378071</v>
      </c>
      <c r="BS78" s="683" t="s">
        <v>1302</v>
      </c>
      <c r="BT78" s="730">
        <v>8.0625000000000002E-3</v>
      </c>
      <c r="BU78" s="681">
        <v>14</v>
      </c>
      <c r="BV78" s="682">
        <v>1.6074425446378071</v>
      </c>
      <c r="BW78" s="683" t="s">
        <v>1302</v>
      </c>
      <c r="BX78" s="684"/>
      <c r="BY78" s="680">
        <v>8.0625000000000002E-3</v>
      </c>
      <c r="BZ78" s="681">
        <v>14</v>
      </c>
      <c r="CA78" s="682">
        <v>1.6074425446378071</v>
      </c>
      <c r="CB78" s="683" t="s">
        <v>1302</v>
      </c>
      <c r="CC78" s="680">
        <v>8.0625000000000002E-3</v>
      </c>
      <c r="CD78" s="681">
        <v>1</v>
      </c>
      <c r="CE78" s="682">
        <v>1.6074425446378071</v>
      </c>
      <c r="CF78" s="684" t="s">
        <v>1302</v>
      </c>
      <c r="CG78" s="712"/>
      <c r="CH78" s="712"/>
      <c r="CI78" s="716"/>
      <c r="CJ78" s="716"/>
      <c r="CK78" s="712"/>
      <c r="CL78" s="716"/>
      <c r="CM78" s="722"/>
      <c r="CN78" s="720">
        <v>8.0625000000000002E-3</v>
      </c>
      <c r="CO78" s="723" t="s">
        <v>1124</v>
      </c>
      <c r="CP78" s="674">
        <v>3</v>
      </c>
      <c r="CQ78" s="673">
        <v>4</v>
      </c>
      <c r="CR78" s="673">
        <v>3</v>
      </c>
      <c r="CS78" s="673">
        <v>3</v>
      </c>
      <c r="CT78" s="673">
        <v>1</v>
      </c>
      <c r="CU78" s="673">
        <v>5</v>
      </c>
      <c r="CV78" s="673">
        <v>16</v>
      </c>
      <c r="CW78" s="685">
        <v>1.5</v>
      </c>
      <c r="CX78" s="686">
        <v>1.2798586482969265</v>
      </c>
      <c r="CY78" s="724">
        <v>1.6074425446378071</v>
      </c>
      <c r="CZ78" s="687" t="s">
        <v>1145</v>
      </c>
      <c r="DA78" s="688">
        <v>1.1000000000000001</v>
      </c>
      <c r="DB78" s="688">
        <v>1.1000000000000001</v>
      </c>
      <c r="DC78" s="688">
        <v>1.1000000000000001</v>
      </c>
      <c r="DD78" s="688">
        <v>1.02</v>
      </c>
      <c r="DE78" s="688">
        <v>1</v>
      </c>
      <c r="DF78" s="688">
        <v>1.2</v>
      </c>
      <c r="DI78" s="725"/>
      <c r="DJ78" s="725"/>
    </row>
    <row r="79" spans="1:114" s="689" customFormat="1" ht="24">
      <c r="A79" s="693">
        <v>196</v>
      </c>
      <c r="B79" s="721"/>
      <c r="C79" s="672" t="s">
        <v>525</v>
      </c>
      <c r="D79" s="673" t="s">
        <v>402</v>
      </c>
      <c r="E79" s="674" t="s">
        <v>527</v>
      </c>
      <c r="F79" s="675" t="s">
        <v>977</v>
      </c>
      <c r="G79" s="676" t="s">
        <v>402</v>
      </c>
      <c r="H79" s="677" t="s">
        <v>325</v>
      </c>
      <c r="I79" s="678" t="s">
        <v>685</v>
      </c>
      <c r="J79" s="679" t="s">
        <v>402</v>
      </c>
      <c r="K79" s="676" t="s">
        <v>395</v>
      </c>
      <c r="L79" s="730">
        <v>2.1812499999999999E-2</v>
      </c>
      <c r="M79" s="681">
        <v>15</v>
      </c>
      <c r="N79" s="682">
        <v>1.2859877072397368</v>
      </c>
      <c r="O79" s="683" t="s">
        <v>1302</v>
      </c>
      <c r="P79" s="730">
        <v>2.1812499999999999E-2</v>
      </c>
      <c r="Q79" s="681">
        <v>15</v>
      </c>
      <c r="R79" s="682">
        <v>1.2859877072397368</v>
      </c>
      <c r="S79" s="683" t="s">
        <v>1302</v>
      </c>
      <c r="T79" s="730">
        <v>2.1812499999999999E-2</v>
      </c>
      <c r="U79" s="681">
        <v>15</v>
      </c>
      <c r="V79" s="682">
        <v>1.2859877072397368</v>
      </c>
      <c r="W79" s="683" t="s">
        <v>1302</v>
      </c>
      <c r="X79" s="730">
        <v>2.1812499999999999E-2</v>
      </c>
      <c r="Y79" s="681">
        <v>15</v>
      </c>
      <c r="Z79" s="682">
        <v>1.2859877072397368</v>
      </c>
      <c r="AA79" s="683" t="s">
        <v>1302</v>
      </c>
      <c r="AB79" s="730">
        <v>2.1812499999999999E-2</v>
      </c>
      <c r="AC79" s="681">
        <v>15</v>
      </c>
      <c r="AD79" s="682">
        <v>1.2859877072397368</v>
      </c>
      <c r="AE79" s="683" t="s">
        <v>1302</v>
      </c>
      <c r="AF79" s="730">
        <v>2.1812499999999999E-2</v>
      </c>
      <c r="AG79" s="681">
        <v>15</v>
      </c>
      <c r="AH79" s="682">
        <v>1.2859877072397368</v>
      </c>
      <c r="AI79" s="683" t="s">
        <v>1302</v>
      </c>
      <c r="AJ79" s="730">
        <v>2.1812499999999999E-2</v>
      </c>
      <c r="AK79" s="681">
        <v>15</v>
      </c>
      <c r="AL79" s="682">
        <v>1.2859877072397368</v>
      </c>
      <c r="AM79" s="683" t="s">
        <v>1302</v>
      </c>
      <c r="AN79" s="730">
        <v>2.1812499999999999E-2</v>
      </c>
      <c r="AO79" s="681">
        <v>15</v>
      </c>
      <c r="AP79" s="682">
        <v>1.2859877072397368</v>
      </c>
      <c r="AQ79" s="683" t="s">
        <v>1302</v>
      </c>
      <c r="AR79" s="730">
        <v>2.1812499999999999E-2</v>
      </c>
      <c r="AS79" s="681">
        <v>15</v>
      </c>
      <c r="AT79" s="682">
        <v>1.2859877072397368</v>
      </c>
      <c r="AU79" s="683" t="s">
        <v>1302</v>
      </c>
      <c r="AV79" s="730">
        <v>2.1812499999999999E-2</v>
      </c>
      <c r="AW79" s="681">
        <v>15</v>
      </c>
      <c r="AX79" s="682">
        <v>1.2859877072397368</v>
      </c>
      <c r="AY79" s="683" t="s">
        <v>1302</v>
      </c>
      <c r="AZ79" s="730">
        <v>2.1812499999999999E-2</v>
      </c>
      <c r="BA79" s="681">
        <v>15</v>
      </c>
      <c r="BB79" s="682">
        <v>1.2859877072397368</v>
      </c>
      <c r="BC79" s="683" t="s">
        <v>1302</v>
      </c>
      <c r="BD79" s="730">
        <v>2.1812499999999999E-2</v>
      </c>
      <c r="BE79" s="681">
        <v>15</v>
      </c>
      <c r="BF79" s="682">
        <v>1.2859877072397368</v>
      </c>
      <c r="BG79" s="683" t="s">
        <v>1302</v>
      </c>
      <c r="BH79" s="730">
        <v>2.1812499999999999E-2</v>
      </c>
      <c r="BI79" s="681">
        <v>15</v>
      </c>
      <c r="BJ79" s="682">
        <v>1.2859877072397368</v>
      </c>
      <c r="BK79" s="683" t="s">
        <v>1302</v>
      </c>
      <c r="BL79" s="730">
        <v>2.1812499999999999E-2</v>
      </c>
      <c r="BM79" s="681">
        <v>15</v>
      </c>
      <c r="BN79" s="682">
        <v>1.2859877072397368</v>
      </c>
      <c r="BO79" s="683" t="s">
        <v>1302</v>
      </c>
      <c r="BP79" s="730">
        <v>2.1812499999999999E-2</v>
      </c>
      <c r="BQ79" s="681">
        <v>15</v>
      </c>
      <c r="BR79" s="682">
        <v>1.2859877072397368</v>
      </c>
      <c r="BS79" s="683" t="s">
        <v>1302</v>
      </c>
      <c r="BT79" s="730">
        <v>2.1812499999999999E-2</v>
      </c>
      <c r="BU79" s="681">
        <v>15</v>
      </c>
      <c r="BV79" s="682">
        <v>1.2859877072397368</v>
      </c>
      <c r="BW79" s="683" t="s">
        <v>1302</v>
      </c>
      <c r="BX79" s="684"/>
      <c r="BY79" s="680">
        <v>2.1812499999999999E-2</v>
      </c>
      <c r="BZ79" s="681">
        <v>15</v>
      </c>
      <c r="CA79" s="682">
        <v>1.2859877072397368</v>
      </c>
      <c r="CB79" s="683" t="s">
        <v>1302</v>
      </c>
      <c r="CC79" s="680">
        <v>2.1812499999999999E-2</v>
      </c>
      <c r="CD79" s="681">
        <v>1</v>
      </c>
      <c r="CE79" s="682">
        <v>1.2859877072397368</v>
      </c>
      <c r="CF79" s="684" t="s">
        <v>1302</v>
      </c>
      <c r="CG79" s="712"/>
      <c r="CH79" s="712"/>
      <c r="CI79" s="716"/>
      <c r="CJ79" s="716"/>
      <c r="CK79" s="712"/>
      <c r="CL79" s="716"/>
      <c r="CM79" s="722"/>
      <c r="CN79" s="720">
        <v>2.1812499999999999E-2</v>
      </c>
      <c r="CO79" s="723" t="s">
        <v>1124</v>
      </c>
      <c r="CP79" s="674">
        <v>3</v>
      </c>
      <c r="CQ79" s="673">
        <v>4</v>
      </c>
      <c r="CR79" s="673">
        <v>3</v>
      </c>
      <c r="CS79" s="673">
        <v>3</v>
      </c>
      <c r="CT79" s="673">
        <v>1</v>
      </c>
      <c r="CU79" s="673">
        <v>5</v>
      </c>
      <c r="CV79" s="673">
        <v>14</v>
      </c>
      <c r="CW79" s="685">
        <v>1.05</v>
      </c>
      <c r="CX79" s="686">
        <v>1.2798586482969265</v>
      </c>
      <c r="CY79" s="724">
        <v>1.2859877072397368</v>
      </c>
      <c r="CZ79" s="687" t="s">
        <v>1145</v>
      </c>
      <c r="DA79" s="688">
        <v>1.1000000000000001</v>
      </c>
      <c r="DB79" s="688">
        <v>1.1000000000000001</v>
      </c>
      <c r="DC79" s="688">
        <v>1.1000000000000001</v>
      </c>
      <c r="DD79" s="688">
        <v>1.02</v>
      </c>
      <c r="DE79" s="688">
        <v>1</v>
      </c>
      <c r="DF79" s="688">
        <v>1.2</v>
      </c>
      <c r="DI79" s="725"/>
      <c r="DJ79" s="725"/>
    </row>
    <row r="80" spans="1:114" s="747" customFormat="1" ht="12.75">
      <c r="A80" s="731"/>
      <c r="B80" s="732"/>
      <c r="C80" s="733"/>
      <c r="D80" s="734"/>
      <c r="E80" s="735"/>
      <c r="F80" s="736"/>
      <c r="G80" s="737"/>
      <c r="H80" s="738"/>
      <c r="I80" s="739"/>
      <c r="J80" s="740"/>
      <c r="K80" s="737"/>
      <c r="L80" s="741"/>
      <c r="M80" s="681"/>
      <c r="N80" s="682"/>
      <c r="O80" s="683"/>
      <c r="P80" s="741"/>
      <c r="Q80" s="681"/>
      <c r="R80" s="682"/>
      <c r="S80" s="683"/>
      <c r="T80" s="741"/>
      <c r="U80" s="681"/>
      <c r="V80" s="682"/>
      <c r="W80" s="683"/>
      <c r="X80" s="741"/>
      <c r="Y80" s="681"/>
      <c r="Z80" s="682"/>
      <c r="AA80" s="683"/>
      <c r="AB80" s="741"/>
      <c r="AC80" s="681"/>
      <c r="AD80" s="682"/>
      <c r="AE80" s="683"/>
      <c r="AF80" s="741"/>
      <c r="AG80" s="681"/>
      <c r="AH80" s="682"/>
      <c r="AI80" s="683"/>
      <c r="AJ80" s="741"/>
      <c r="AK80" s="681"/>
      <c r="AL80" s="682"/>
      <c r="AM80" s="683"/>
      <c r="AN80" s="741"/>
      <c r="AO80" s="681"/>
      <c r="AP80" s="682"/>
      <c r="AQ80" s="683"/>
      <c r="AR80" s="741"/>
      <c r="AS80" s="681"/>
      <c r="AT80" s="682"/>
      <c r="AU80" s="683"/>
      <c r="AV80" s="741"/>
      <c r="AW80" s="681"/>
      <c r="AX80" s="682"/>
      <c r="AY80" s="683"/>
      <c r="AZ80" s="741"/>
      <c r="BA80" s="681"/>
      <c r="BB80" s="682"/>
      <c r="BC80" s="683"/>
      <c r="BD80" s="741"/>
      <c r="BE80" s="681"/>
      <c r="BF80" s="682"/>
      <c r="BG80" s="683"/>
      <c r="BH80" s="741"/>
      <c r="BI80" s="681"/>
      <c r="BJ80" s="682"/>
      <c r="BK80" s="683"/>
      <c r="BL80" s="741"/>
      <c r="BM80" s="681"/>
      <c r="BN80" s="682"/>
      <c r="BO80" s="683"/>
      <c r="BP80" s="741"/>
      <c r="BQ80" s="681"/>
      <c r="BR80" s="682"/>
      <c r="BS80" s="683"/>
      <c r="BT80" s="741"/>
      <c r="BU80" s="681"/>
      <c r="BV80" s="682"/>
      <c r="BW80" s="683"/>
      <c r="BX80" s="684"/>
      <c r="BY80" s="712"/>
      <c r="BZ80" s="681"/>
      <c r="CA80" s="682"/>
      <c r="CB80" s="683"/>
      <c r="CC80" s="712"/>
      <c r="CD80" s="681"/>
      <c r="CE80" s="682"/>
      <c r="CF80" s="684"/>
      <c r="CG80" s="712"/>
      <c r="CH80" s="712"/>
      <c r="CI80" s="742"/>
      <c r="CJ80" s="742"/>
      <c r="CK80" s="712"/>
      <c r="CL80" s="742"/>
      <c r="CM80" s="743"/>
      <c r="CN80" s="720"/>
      <c r="CO80" s="744"/>
      <c r="CP80" s="735"/>
      <c r="CQ80" s="734"/>
      <c r="CR80" s="734"/>
      <c r="CS80" s="734"/>
      <c r="CT80" s="734"/>
      <c r="CU80" s="734"/>
      <c r="CV80" s="734"/>
      <c r="CW80" s="734"/>
      <c r="CX80" s="687"/>
      <c r="CY80" s="745"/>
      <c r="CZ80" s="687"/>
      <c r="DA80" s="746"/>
      <c r="DB80" s="746"/>
      <c r="DC80" s="746"/>
      <c r="DD80" s="746"/>
      <c r="DE80" s="746"/>
      <c r="DF80" s="746"/>
      <c r="DI80" s="748"/>
      <c r="DJ80" s="748"/>
    </row>
    <row r="81" spans="1:114" s="747" customFormat="1" ht="12.75">
      <c r="A81" s="731" t="s">
        <v>1684</v>
      </c>
      <c r="B81" s="732"/>
      <c r="C81" s="733"/>
      <c r="D81" s="734"/>
      <c r="E81" s="735"/>
      <c r="F81" s="736"/>
      <c r="G81" s="737"/>
      <c r="H81" s="738"/>
      <c r="I81" s="739"/>
      <c r="J81" s="740"/>
      <c r="K81" s="737"/>
      <c r="L81" s="741"/>
      <c r="M81" s="681"/>
      <c r="N81" s="682"/>
      <c r="O81" s="683"/>
      <c r="P81" s="741"/>
      <c r="Q81" s="681"/>
      <c r="R81" s="682"/>
      <c r="S81" s="683"/>
      <c r="T81" s="741"/>
      <c r="U81" s="681"/>
      <c r="V81" s="682"/>
      <c r="W81" s="683"/>
      <c r="X81" s="741"/>
      <c r="Y81" s="681"/>
      <c r="Z81" s="682"/>
      <c r="AA81" s="683"/>
      <c r="AB81" s="741"/>
      <c r="AC81" s="681"/>
      <c r="AD81" s="682"/>
      <c r="AE81" s="683"/>
      <c r="AF81" s="741"/>
      <c r="AG81" s="681"/>
      <c r="AH81" s="682"/>
      <c r="AI81" s="683"/>
      <c r="AJ81" s="741"/>
      <c r="AK81" s="681"/>
      <c r="AL81" s="682"/>
      <c r="AM81" s="683"/>
      <c r="AN81" s="741"/>
      <c r="AO81" s="681"/>
      <c r="AP81" s="682"/>
      <c r="AQ81" s="683"/>
      <c r="AR81" s="741"/>
      <c r="AS81" s="681"/>
      <c r="AT81" s="682"/>
      <c r="AU81" s="683"/>
      <c r="AV81" s="741"/>
      <c r="AW81" s="681"/>
      <c r="AX81" s="682"/>
      <c r="AY81" s="683"/>
      <c r="AZ81" s="741"/>
      <c r="BA81" s="681"/>
      <c r="BB81" s="682"/>
      <c r="BC81" s="683"/>
      <c r="BD81" s="741"/>
      <c r="BE81" s="681"/>
      <c r="BF81" s="682"/>
      <c r="BG81" s="683"/>
      <c r="BH81" s="741"/>
      <c r="BI81" s="681"/>
      <c r="BJ81" s="682"/>
      <c r="BK81" s="683"/>
      <c r="BL81" s="741"/>
      <c r="BM81" s="681"/>
      <c r="BN81" s="682"/>
      <c r="BO81" s="683"/>
      <c r="BP81" s="741"/>
      <c r="BQ81" s="681"/>
      <c r="BR81" s="682"/>
      <c r="BS81" s="683"/>
      <c r="BT81" s="741"/>
      <c r="BU81" s="681"/>
      <c r="BV81" s="682"/>
      <c r="BW81" s="683"/>
      <c r="BX81" s="684"/>
      <c r="BY81" s="712"/>
      <c r="BZ81" s="681"/>
      <c r="CA81" s="682"/>
      <c r="CB81" s="683"/>
      <c r="CC81" s="712"/>
      <c r="CD81" s="681"/>
      <c r="CE81" s="682"/>
      <c r="CF81" s="684"/>
      <c r="CG81" s="712"/>
      <c r="CH81" s="712"/>
      <c r="CI81" s="742"/>
      <c r="CJ81" s="742"/>
      <c r="CK81" s="712"/>
      <c r="CL81" s="742"/>
      <c r="CM81" s="743"/>
      <c r="CN81" s="720"/>
      <c r="CO81" s="744"/>
      <c r="CP81" s="735"/>
      <c r="CQ81" s="734"/>
      <c r="CR81" s="734"/>
      <c r="CS81" s="734"/>
      <c r="CT81" s="734"/>
      <c r="CU81" s="734"/>
      <c r="CV81" s="734"/>
      <c r="CW81" s="734"/>
      <c r="CX81" s="687"/>
      <c r="CY81" s="745"/>
      <c r="CZ81" s="687"/>
      <c r="DA81" s="746"/>
      <c r="DB81" s="746"/>
      <c r="DC81" s="746"/>
      <c r="DD81" s="746"/>
      <c r="DE81" s="746"/>
      <c r="DF81" s="746"/>
      <c r="DI81" s="748"/>
      <c r="DJ81" s="748"/>
    </row>
    <row r="82" spans="1:114">
      <c r="L82" s="608"/>
      <c r="M82" s="140"/>
      <c r="N82" s="140"/>
      <c r="O82" s="140"/>
      <c r="P82" s="608"/>
      <c r="Q82" s="140"/>
      <c r="R82" s="140"/>
      <c r="S82" s="140"/>
      <c r="T82" s="608"/>
      <c r="U82" s="140"/>
      <c r="V82" s="140"/>
      <c r="W82" s="140"/>
      <c r="X82" s="608"/>
      <c r="Y82" s="140"/>
      <c r="Z82" s="140"/>
      <c r="AA82" s="140"/>
      <c r="AB82" s="608"/>
      <c r="AC82" s="140"/>
      <c r="AD82" s="140"/>
      <c r="AE82" s="140"/>
      <c r="AF82" s="608"/>
      <c r="AG82" s="140"/>
      <c r="AH82" s="140"/>
      <c r="AI82" s="140"/>
      <c r="AJ82" s="608"/>
      <c r="AK82" s="140"/>
      <c r="AL82" s="140"/>
      <c r="AM82" s="140"/>
      <c r="AN82" s="608"/>
      <c r="AO82" s="140"/>
      <c r="AP82" s="140"/>
      <c r="AQ82" s="140"/>
      <c r="AR82" s="608"/>
      <c r="AS82" s="140"/>
      <c r="AT82" s="140"/>
      <c r="AU82" s="140"/>
      <c r="AV82" s="608"/>
      <c r="AW82" s="140"/>
      <c r="AX82" s="140"/>
      <c r="AY82" s="140"/>
      <c r="AZ82" s="608"/>
      <c r="BA82" s="140"/>
      <c r="BB82" s="140"/>
      <c r="BC82" s="140"/>
      <c r="BD82" s="608"/>
      <c r="BE82" s="140"/>
      <c r="BF82" s="140"/>
      <c r="BG82" s="140"/>
      <c r="BH82" s="608"/>
      <c r="BI82" s="140"/>
      <c r="BJ82" s="140"/>
      <c r="BK82" s="140"/>
      <c r="BL82" s="608"/>
      <c r="BM82" s="140"/>
      <c r="BN82" s="140"/>
      <c r="BO82" s="140"/>
      <c r="BP82" s="608"/>
      <c r="BQ82" s="140"/>
      <c r="BR82" s="140"/>
      <c r="BS82" s="140"/>
      <c r="BT82" s="608"/>
      <c r="BU82" s="140"/>
      <c r="BV82" s="140"/>
      <c r="BW82" s="140"/>
    </row>
    <row r="83" spans="1:114" s="689" customFormat="1" ht="24">
      <c r="A83" s="693">
        <v>1824</v>
      </c>
      <c r="B83" s="721"/>
      <c r="C83" s="672" t="s">
        <v>525</v>
      </c>
      <c r="D83" s="673" t="s">
        <v>526</v>
      </c>
      <c r="E83" s="674" t="s">
        <v>402</v>
      </c>
      <c r="F83" s="675" t="s">
        <v>85</v>
      </c>
      <c r="G83" s="676" t="s">
        <v>86</v>
      </c>
      <c r="H83" s="677" t="s">
        <v>402</v>
      </c>
      <c r="I83" s="678" t="s">
        <v>402</v>
      </c>
      <c r="J83" s="679">
        <v>0</v>
      </c>
      <c r="K83" s="676" t="s">
        <v>397</v>
      </c>
      <c r="L83" s="730">
        <v>0</v>
      </c>
      <c r="M83" s="681">
        <v>12</v>
      </c>
      <c r="N83" s="682">
        <v>2.0870613512835354</v>
      </c>
      <c r="O83" s="683" t="s">
        <v>1302</v>
      </c>
      <c r="P83" s="730">
        <v>0</v>
      </c>
      <c r="Q83" s="681">
        <v>12</v>
      </c>
      <c r="R83" s="682">
        <v>2.0870613512835354</v>
      </c>
      <c r="S83" s="683" t="s">
        <v>1302</v>
      </c>
      <c r="T83" s="730">
        <v>0</v>
      </c>
      <c r="U83" s="681">
        <v>12</v>
      </c>
      <c r="V83" s="682">
        <v>2.0870613512835354</v>
      </c>
      <c r="W83" s="683" t="s">
        <v>1302</v>
      </c>
      <c r="X83" s="730">
        <v>0</v>
      </c>
      <c r="Y83" s="681">
        <v>12</v>
      </c>
      <c r="Z83" s="682">
        <v>2.0870613512835354</v>
      </c>
      <c r="AA83" s="683" t="s">
        <v>1302</v>
      </c>
      <c r="AB83" s="730">
        <v>0</v>
      </c>
      <c r="AC83" s="681">
        <v>12</v>
      </c>
      <c r="AD83" s="682">
        <v>2.0870613512835354</v>
      </c>
      <c r="AE83" s="683" t="s">
        <v>1302</v>
      </c>
      <c r="AF83" s="730">
        <v>0</v>
      </c>
      <c r="AG83" s="681">
        <v>12</v>
      </c>
      <c r="AH83" s="682">
        <v>2.0870613512835354</v>
      </c>
      <c r="AI83" s="683" t="s">
        <v>1302</v>
      </c>
      <c r="AJ83" s="730">
        <v>0</v>
      </c>
      <c r="AK83" s="681">
        <v>12</v>
      </c>
      <c r="AL83" s="682">
        <v>2.0870613512835354</v>
      </c>
      <c r="AM83" s="683" t="s">
        <v>1302</v>
      </c>
      <c r="AN83" s="730">
        <v>0</v>
      </c>
      <c r="AO83" s="681">
        <v>12</v>
      </c>
      <c r="AP83" s="682">
        <v>2.0870613512835354</v>
      </c>
      <c r="AQ83" s="683" t="s">
        <v>1302</v>
      </c>
      <c r="AR83" s="730">
        <v>0</v>
      </c>
      <c r="AS83" s="681">
        <v>12</v>
      </c>
      <c r="AT83" s="682">
        <v>2.0870613512835354</v>
      </c>
      <c r="AU83" s="683" t="s">
        <v>1302</v>
      </c>
      <c r="AV83" s="730">
        <v>0</v>
      </c>
      <c r="AW83" s="681">
        <v>12</v>
      </c>
      <c r="AX83" s="682">
        <v>2.0870613512835354</v>
      </c>
      <c r="AY83" s="683" t="s">
        <v>1302</v>
      </c>
      <c r="AZ83" s="730">
        <v>0</v>
      </c>
      <c r="BA83" s="681">
        <v>12</v>
      </c>
      <c r="BB83" s="682">
        <v>2.0870613512835354</v>
      </c>
      <c r="BC83" s="683" t="s">
        <v>1302</v>
      </c>
      <c r="BD83" s="730">
        <v>0</v>
      </c>
      <c r="BE83" s="681">
        <v>12</v>
      </c>
      <c r="BF83" s="682">
        <v>2.0870613512835354</v>
      </c>
      <c r="BG83" s="683" t="s">
        <v>1302</v>
      </c>
      <c r="BH83" s="730">
        <v>0</v>
      </c>
      <c r="BI83" s="681">
        <v>12</v>
      </c>
      <c r="BJ83" s="682">
        <v>2.0870613512835354</v>
      </c>
      <c r="BK83" s="683" t="s">
        <v>1302</v>
      </c>
      <c r="BL83" s="730">
        <v>0</v>
      </c>
      <c r="BM83" s="681">
        <v>12</v>
      </c>
      <c r="BN83" s="682">
        <v>2.0870613512835354</v>
      </c>
      <c r="BO83" s="683" t="s">
        <v>1302</v>
      </c>
      <c r="BP83" s="730">
        <v>0</v>
      </c>
      <c r="BQ83" s="681">
        <v>12</v>
      </c>
      <c r="BR83" s="682">
        <v>2.0870613512835354</v>
      </c>
      <c r="BS83" s="683" t="s">
        <v>1302</v>
      </c>
      <c r="BT83" s="730">
        <v>0</v>
      </c>
      <c r="BU83" s="681">
        <v>12</v>
      </c>
      <c r="BV83" s="682">
        <v>2.0870613512835354</v>
      </c>
      <c r="BW83" s="683" t="s">
        <v>1302</v>
      </c>
      <c r="BX83" s="684"/>
      <c r="BY83" s="680">
        <v>0</v>
      </c>
      <c r="BZ83" s="681">
        <v>12</v>
      </c>
      <c r="CA83" s="682">
        <v>2.0870613512835354</v>
      </c>
      <c r="CB83" s="683" t="s">
        <v>1302</v>
      </c>
      <c r="CC83" s="680">
        <v>0</v>
      </c>
      <c r="CD83" s="681">
        <v>1</v>
      </c>
      <c r="CE83" s="682">
        <v>2.0870613512835354</v>
      </c>
      <c r="CF83" s="684" t="s">
        <v>1302</v>
      </c>
      <c r="CG83" s="712"/>
      <c r="CH83" s="712"/>
      <c r="CI83" s="716"/>
      <c r="CJ83" s="716"/>
      <c r="CK83" s="712"/>
      <c r="CL83" s="716"/>
      <c r="CM83" s="722"/>
      <c r="CN83" s="720">
        <v>0</v>
      </c>
      <c r="CO83" s="723" t="s">
        <v>1124</v>
      </c>
      <c r="CP83" s="674">
        <v>3</v>
      </c>
      <c r="CQ83" s="673">
        <v>4</v>
      </c>
      <c r="CR83" s="673">
        <v>3</v>
      </c>
      <c r="CS83" s="673">
        <v>3</v>
      </c>
      <c r="CT83" s="673">
        <v>1</v>
      </c>
      <c r="CU83" s="673">
        <v>5</v>
      </c>
      <c r="CV83" s="673">
        <v>5</v>
      </c>
      <c r="CW83" s="685">
        <v>2</v>
      </c>
      <c r="CX83" s="686">
        <v>1.2798586482969265</v>
      </c>
      <c r="CY83" s="724">
        <v>2.0870613512835354</v>
      </c>
      <c r="CZ83" s="687" t="s">
        <v>1145</v>
      </c>
      <c r="DA83" s="688">
        <v>1.1000000000000001</v>
      </c>
      <c r="DB83" s="688">
        <v>1.1000000000000001</v>
      </c>
      <c r="DC83" s="688">
        <v>1.1000000000000001</v>
      </c>
      <c r="DD83" s="688">
        <v>1.02</v>
      </c>
      <c r="DE83" s="688">
        <v>1</v>
      </c>
      <c r="DF83" s="688">
        <v>1.2</v>
      </c>
      <c r="DI83" s="725"/>
      <c r="DJ83" s="725"/>
    </row>
    <row r="84" spans="1:114" s="689" customFormat="1" ht="24">
      <c r="A84" s="693">
        <v>1837</v>
      </c>
      <c r="B84" s="721"/>
      <c r="C84" s="672" t="s">
        <v>525</v>
      </c>
      <c r="D84" s="673" t="s">
        <v>526</v>
      </c>
      <c r="E84" s="674" t="s">
        <v>402</v>
      </c>
      <c r="F84" s="675" t="s">
        <v>1325</v>
      </c>
      <c r="G84" s="676" t="s">
        <v>521</v>
      </c>
      <c r="H84" s="677" t="s">
        <v>402</v>
      </c>
      <c r="I84" s="678" t="s">
        <v>402</v>
      </c>
      <c r="J84" s="679">
        <v>0</v>
      </c>
      <c r="K84" s="676" t="s">
        <v>397</v>
      </c>
      <c r="L84" s="730">
        <v>0</v>
      </c>
      <c r="M84" s="681">
        <v>13</v>
      </c>
      <c r="N84" s="682">
        <v>2.0870613512835354</v>
      </c>
      <c r="O84" s="683" t="s">
        <v>1302</v>
      </c>
      <c r="P84" s="730">
        <v>0</v>
      </c>
      <c r="Q84" s="681">
        <v>13</v>
      </c>
      <c r="R84" s="682">
        <v>2.0870613512835354</v>
      </c>
      <c r="S84" s="683" t="s">
        <v>1302</v>
      </c>
      <c r="T84" s="730">
        <v>0</v>
      </c>
      <c r="U84" s="681">
        <v>13</v>
      </c>
      <c r="V84" s="682">
        <v>2.0870613512835354</v>
      </c>
      <c r="W84" s="683" t="s">
        <v>1302</v>
      </c>
      <c r="X84" s="730">
        <v>0</v>
      </c>
      <c r="Y84" s="681">
        <v>13</v>
      </c>
      <c r="Z84" s="682">
        <v>2.0870613512835354</v>
      </c>
      <c r="AA84" s="683" t="s">
        <v>1302</v>
      </c>
      <c r="AB84" s="730">
        <v>0</v>
      </c>
      <c r="AC84" s="681">
        <v>13</v>
      </c>
      <c r="AD84" s="682">
        <v>2.0870613512835354</v>
      </c>
      <c r="AE84" s="683" t="s">
        <v>1302</v>
      </c>
      <c r="AF84" s="730">
        <v>0</v>
      </c>
      <c r="AG84" s="681">
        <v>13</v>
      </c>
      <c r="AH84" s="682">
        <v>2.0870613512835354</v>
      </c>
      <c r="AI84" s="683" t="s">
        <v>1302</v>
      </c>
      <c r="AJ84" s="730">
        <v>0</v>
      </c>
      <c r="AK84" s="681">
        <v>13</v>
      </c>
      <c r="AL84" s="682">
        <v>2.0870613512835354</v>
      </c>
      <c r="AM84" s="683" t="s">
        <v>1302</v>
      </c>
      <c r="AN84" s="730">
        <v>0</v>
      </c>
      <c r="AO84" s="681">
        <v>13</v>
      </c>
      <c r="AP84" s="682">
        <v>2.0870613512835354</v>
      </c>
      <c r="AQ84" s="683" t="s">
        <v>1302</v>
      </c>
      <c r="AR84" s="730">
        <v>0</v>
      </c>
      <c r="AS84" s="681">
        <v>13</v>
      </c>
      <c r="AT84" s="682">
        <v>2.0870613512835354</v>
      </c>
      <c r="AU84" s="683" t="s">
        <v>1302</v>
      </c>
      <c r="AV84" s="730">
        <v>0</v>
      </c>
      <c r="AW84" s="681">
        <v>13</v>
      </c>
      <c r="AX84" s="682">
        <v>2.0870613512835354</v>
      </c>
      <c r="AY84" s="683" t="s">
        <v>1302</v>
      </c>
      <c r="AZ84" s="730">
        <v>0</v>
      </c>
      <c r="BA84" s="681">
        <v>13</v>
      </c>
      <c r="BB84" s="682">
        <v>2.0870613512835354</v>
      </c>
      <c r="BC84" s="683" t="s">
        <v>1302</v>
      </c>
      <c r="BD84" s="730">
        <v>0</v>
      </c>
      <c r="BE84" s="681">
        <v>13</v>
      </c>
      <c r="BF84" s="682">
        <v>2.0870613512835354</v>
      </c>
      <c r="BG84" s="683" t="s">
        <v>1302</v>
      </c>
      <c r="BH84" s="730">
        <v>0</v>
      </c>
      <c r="BI84" s="681">
        <v>13</v>
      </c>
      <c r="BJ84" s="682">
        <v>2.0870613512835354</v>
      </c>
      <c r="BK84" s="683" t="s">
        <v>1302</v>
      </c>
      <c r="BL84" s="730">
        <v>0</v>
      </c>
      <c r="BM84" s="681">
        <v>13</v>
      </c>
      <c r="BN84" s="682">
        <v>2.0870613512835354</v>
      </c>
      <c r="BO84" s="683" t="s">
        <v>1302</v>
      </c>
      <c r="BP84" s="730">
        <v>0</v>
      </c>
      <c r="BQ84" s="681">
        <v>13</v>
      </c>
      <c r="BR84" s="682">
        <v>2.0870613512835354</v>
      </c>
      <c r="BS84" s="683" t="s">
        <v>1302</v>
      </c>
      <c r="BT84" s="730">
        <v>0</v>
      </c>
      <c r="BU84" s="681">
        <v>13</v>
      </c>
      <c r="BV84" s="682">
        <v>2.0870613512835354</v>
      </c>
      <c r="BW84" s="683" t="s">
        <v>1302</v>
      </c>
      <c r="BX84" s="684"/>
      <c r="BY84" s="680">
        <v>0</v>
      </c>
      <c r="BZ84" s="681">
        <v>13</v>
      </c>
      <c r="CA84" s="682">
        <v>2.0870613512835354</v>
      </c>
      <c r="CB84" s="683" t="s">
        <v>1302</v>
      </c>
      <c r="CC84" s="680">
        <v>0</v>
      </c>
      <c r="CD84" s="681">
        <v>1</v>
      </c>
      <c r="CE84" s="682">
        <v>2.0870613512835354</v>
      </c>
      <c r="CF84" s="684" t="s">
        <v>1302</v>
      </c>
      <c r="CG84" s="712"/>
      <c r="CH84" s="712"/>
      <c r="CI84" s="716"/>
      <c r="CJ84" s="716"/>
      <c r="CK84" s="712"/>
      <c r="CL84" s="716"/>
      <c r="CM84" s="722"/>
      <c r="CN84" s="720">
        <v>0</v>
      </c>
      <c r="CO84" s="723" t="s">
        <v>1124</v>
      </c>
      <c r="CP84" s="674">
        <v>3</v>
      </c>
      <c r="CQ84" s="673">
        <v>4</v>
      </c>
      <c r="CR84" s="673">
        <v>3</v>
      </c>
      <c r="CS84" s="673">
        <v>3</v>
      </c>
      <c r="CT84" s="673">
        <v>1</v>
      </c>
      <c r="CU84" s="673">
        <v>5</v>
      </c>
      <c r="CV84" s="673">
        <v>5</v>
      </c>
      <c r="CW84" s="685">
        <v>2</v>
      </c>
      <c r="CX84" s="686">
        <v>1.2798586482969265</v>
      </c>
      <c r="CY84" s="724">
        <v>2.0870613512835354</v>
      </c>
      <c r="CZ84" s="687" t="s">
        <v>1145</v>
      </c>
      <c r="DA84" s="688">
        <v>1.1000000000000001</v>
      </c>
      <c r="DB84" s="688">
        <v>1.1000000000000001</v>
      </c>
      <c r="DC84" s="688">
        <v>1.1000000000000001</v>
      </c>
      <c r="DD84" s="688">
        <v>1.02</v>
      </c>
      <c r="DE84" s="688">
        <v>1</v>
      </c>
      <c r="DF84" s="688">
        <v>1.2</v>
      </c>
      <c r="DI84" s="725"/>
      <c r="DJ84" s="725"/>
    </row>
    <row r="85" spans="1:114">
      <c r="L85" s="608"/>
      <c r="M85" s="140"/>
      <c r="N85" s="140"/>
      <c r="O85" s="140"/>
      <c r="P85" s="608"/>
      <c r="Q85" s="140"/>
      <c r="R85" s="140"/>
      <c r="S85" s="140"/>
      <c r="T85" s="608"/>
      <c r="U85" s="140"/>
      <c r="V85" s="140"/>
      <c r="W85" s="140"/>
      <c r="X85" s="608"/>
      <c r="Y85" s="140"/>
      <c r="Z85" s="140"/>
      <c r="AA85" s="140"/>
      <c r="AB85" s="608"/>
      <c r="AC85" s="140"/>
      <c r="AD85" s="140"/>
      <c r="AE85" s="140"/>
      <c r="AF85" s="608"/>
      <c r="AG85" s="140"/>
      <c r="AH85" s="140"/>
      <c r="AI85" s="140"/>
      <c r="AJ85" s="608"/>
      <c r="AK85" s="140"/>
      <c r="AL85" s="140"/>
      <c r="AM85" s="140"/>
      <c r="AN85" s="608"/>
      <c r="AO85" s="140"/>
      <c r="AP85" s="140"/>
      <c r="AQ85" s="140"/>
      <c r="AR85" s="608"/>
      <c r="AS85" s="140"/>
      <c r="AT85" s="140"/>
      <c r="AU85" s="140"/>
      <c r="AV85" s="608"/>
      <c r="AW85" s="140"/>
      <c r="AX85" s="140"/>
      <c r="AY85" s="140"/>
      <c r="AZ85" s="608"/>
      <c r="BA85" s="140"/>
      <c r="BB85" s="140"/>
      <c r="BC85" s="140"/>
      <c r="BD85" s="608"/>
      <c r="BE85" s="140"/>
      <c r="BF85" s="140"/>
      <c r="BG85" s="140"/>
      <c r="BH85" s="608"/>
      <c r="BI85" s="140"/>
      <c r="BJ85" s="140"/>
      <c r="BK85" s="140"/>
      <c r="BL85" s="608"/>
      <c r="BM85" s="140"/>
      <c r="BN85" s="140"/>
      <c r="BO85" s="140"/>
      <c r="BP85" s="608"/>
      <c r="BQ85" s="140"/>
      <c r="BR85" s="140"/>
      <c r="BS85" s="140"/>
      <c r="BT85" s="608"/>
      <c r="BU85" s="140"/>
      <c r="BV85" s="140"/>
      <c r="BW85" s="140"/>
    </row>
    <row r="86" spans="1:114">
      <c r="L86" s="608"/>
      <c r="M86" s="140"/>
      <c r="N86" s="140"/>
      <c r="O86" s="140"/>
      <c r="P86" s="608"/>
      <c r="Q86" s="140"/>
      <c r="R86" s="140"/>
      <c r="S86" s="140"/>
      <c r="T86" s="608"/>
      <c r="U86" s="140"/>
      <c r="V86" s="140"/>
      <c r="W86" s="140"/>
      <c r="X86" s="608"/>
      <c r="Y86" s="140"/>
      <c r="Z86" s="140"/>
      <c r="AA86" s="140"/>
      <c r="AB86" s="608"/>
      <c r="AC86" s="140"/>
      <c r="AD86" s="140"/>
      <c r="AE86" s="140"/>
      <c r="AF86" s="608"/>
      <c r="AG86" s="140"/>
      <c r="AH86" s="140"/>
      <c r="AI86" s="140"/>
      <c r="AJ86" s="608"/>
      <c r="AK86" s="140"/>
      <c r="AL86" s="140"/>
      <c r="AM86" s="140"/>
      <c r="AN86" s="608"/>
      <c r="AO86" s="140"/>
      <c r="AP86" s="140"/>
      <c r="AQ86" s="140"/>
      <c r="AR86" s="608"/>
      <c r="AS86" s="140"/>
      <c r="AT86" s="140"/>
      <c r="AU86" s="140"/>
      <c r="AV86" s="608"/>
      <c r="AW86" s="140"/>
      <c r="AX86" s="140"/>
      <c r="AY86" s="140"/>
      <c r="AZ86" s="608"/>
      <c r="BA86" s="140"/>
      <c r="BB86" s="140"/>
      <c r="BC86" s="140"/>
      <c r="BD86" s="608"/>
      <c r="BE86" s="140"/>
      <c r="BF86" s="140"/>
      <c r="BG86" s="140"/>
      <c r="BH86" s="608"/>
      <c r="BI86" s="140"/>
      <c r="BJ86" s="140"/>
      <c r="BK86" s="140"/>
      <c r="BL86" s="608"/>
      <c r="BM86" s="140"/>
      <c r="BN86" s="140"/>
      <c r="BO86" s="140"/>
      <c r="BP86" s="608"/>
      <c r="BQ86" s="140"/>
      <c r="BR86" s="140"/>
      <c r="BS86" s="140"/>
      <c r="BT86" s="608"/>
      <c r="BU86" s="140"/>
      <c r="BV86" s="140"/>
      <c r="BW86" s="140"/>
    </row>
  </sheetData>
  <phoneticPr fontId="0" type="noConversion"/>
  <conditionalFormatting sqref="CP19:CU25 CP7:CU8 CP29:CU37 CP44:CU59 CP63:CU69 CP73:CU81 CP83:CU84">
    <cfRule type="cellIs" dxfId="189" priority="31" stopIfTrue="1" operator="notBetween">
      <formula>1</formula>
      <formula>5</formula>
    </cfRule>
  </conditionalFormatting>
  <conditionalFormatting sqref="DA19:DF25 DA7:DF8 DA29:DF37 DA58:DF58 DA44:DF56 DA64:DF72 DA77:DF81 DA83:DF84">
    <cfRule type="cellIs" dxfId="188" priority="32" stopIfTrue="1" operator="equal">
      <formula>0</formula>
    </cfRule>
  </conditionalFormatting>
  <conditionalFormatting sqref="CP26:CU26">
    <cfRule type="cellIs" dxfId="187" priority="29" stopIfTrue="1" operator="notBetween">
      <formula>1</formula>
      <formula>5</formula>
    </cfRule>
  </conditionalFormatting>
  <conditionalFormatting sqref="DA26:DF26">
    <cfRule type="cellIs" dxfId="186" priority="30" stopIfTrue="1" operator="equal">
      <formula>0</formula>
    </cfRule>
  </conditionalFormatting>
  <conditionalFormatting sqref="CP38:CU38">
    <cfRule type="cellIs" dxfId="185" priority="27" stopIfTrue="1" operator="notBetween">
      <formula>1</formula>
      <formula>5</formula>
    </cfRule>
  </conditionalFormatting>
  <conditionalFormatting sqref="DA38:DF38">
    <cfRule type="cellIs" dxfId="184" priority="28" stopIfTrue="1" operator="equal">
      <formula>0</formula>
    </cfRule>
  </conditionalFormatting>
  <conditionalFormatting sqref="CP39:CU39">
    <cfRule type="cellIs" dxfId="183" priority="25" stopIfTrue="1" operator="notBetween">
      <formula>1</formula>
      <formula>5</formula>
    </cfRule>
  </conditionalFormatting>
  <conditionalFormatting sqref="DA39:DF39">
    <cfRule type="cellIs" dxfId="182" priority="26" stopIfTrue="1" operator="equal">
      <formula>0</formula>
    </cfRule>
  </conditionalFormatting>
  <conditionalFormatting sqref="CP9:CU10">
    <cfRule type="cellIs" dxfId="181" priority="23" stopIfTrue="1" operator="notBetween">
      <formula>1</formula>
      <formula>5</formula>
    </cfRule>
  </conditionalFormatting>
  <conditionalFormatting sqref="DA9:DF10">
    <cfRule type="cellIs" dxfId="180" priority="24" stopIfTrue="1" operator="equal">
      <formula>0</formula>
    </cfRule>
  </conditionalFormatting>
  <conditionalFormatting sqref="CP27:CU27">
    <cfRule type="cellIs" dxfId="179" priority="21" stopIfTrue="1" operator="notBetween">
      <formula>1</formula>
      <formula>5</formula>
    </cfRule>
  </conditionalFormatting>
  <conditionalFormatting sqref="DA27:DF27">
    <cfRule type="cellIs" dxfId="178" priority="22" stopIfTrue="1" operator="equal">
      <formula>0</formula>
    </cfRule>
  </conditionalFormatting>
  <conditionalFormatting sqref="CP28:CU28">
    <cfRule type="cellIs" dxfId="177" priority="19" stopIfTrue="1" operator="notBetween">
      <formula>1</formula>
      <formula>5</formula>
    </cfRule>
  </conditionalFormatting>
  <conditionalFormatting sqref="DA28:DF28">
    <cfRule type="cellIs" dxfId="176" priority="20" stopIfTrue="1" operator="equal">
      <formula>0</formula>
    </cfRule>
  </conditionalFormatting>
  <conditionalFormatting sqref="CP40:CU40">
    <cfRule type="cellIs" dxfId="175" priority="17" stopIfTrue="1" operator="notBetween">
      <formula>1</formula>
      <formula>5</formula>
    </cfRule>
  </conditionalFormatting>
  <conditionalFormatting sqref="DA40:DF40">
    <cfRule type="cellIs" dxfId="174" priority="18" stopIfTrue="1" operator="equal">
      <formula>0</formula>
    </cfRule>
  </conditionalFormatting>
  <conditionalFormatting sqref="CP41:CU41">
    <cfRule type="cellIs" dxfId="173" priority="15" stopIfTrue="1" operator="notBetween">
      <formula>1</formula>
      <formula>5</formula>
    </cfRule>
  </conditionalFormatting>
  <conditionalFormatting sqref="DA41:DF41">
    <cfRule type="cellIs" dxfId="172" priority="16" stopIfTrue="1" operator="equal">
      <formula>0</formula>
    </cfRule>
  </conditionalFormatting>
  <conditionalFormatting sqref="CP42:CU42">
    <cfRule type="cellIs" dxfId="171" priority="13" stopIfTrue="1" operator="notBetween">
      <formula>1</formula>
      <formula>5</formula>
    </cfRule>
  </conditionalFormatting>
  <conditionalFormatting sqref="DA42:DF42">
    <cfRule type="cellIs" dxfId="170" priority="14" stopIfTrue="1" operator="equal">
      <formula>0</formula>
    </cfRule>
  </conditionalFormatting>
  <conditionalFormatting sqref="CP43:CU43">
    <cfRule type="cellIs" dxfId="169" priority="11" stopIfTrue="1" operator="notBetween">
      <formula>1</formula>
      <formula>5</formula>
    </cfRule>
  </conditionalFormatting>
  <conditionalFormatting sqref="DA43:DF43">
    <cfRule type="cellIs" dxfId="168" priority="12" stopIfTrue="1" operator="equal">
      <formula>0</formula>
    </cfRule>
  </conditionalFormatting>
  <conditionalFormatting sqref="CP11:CU12">
    <cfRule type="cellIs" dxfId="167" priority="9" stopIfTrue="1" operator="notBetween">
      <formula>1</formula>
      <formula>5</formula>
    </cfRule>
  </conditionalFormatting>
  <conditionalFormatting sqref="DA11:DF12">
    <cfRule type="cellIs" dxfId="166" priority="10" stopIfTrue="1" operator="equal">
      <formula>0</formula>
    </cfRule>
  </conditionalFormatting>
  <conditionalFormatting sqref="CP13:CU14">
    <cfRule type="cellIs" dxfId="165" priority="7" stopIfTrue="1" operator="notBetween">
      <formula>1</formula>
      <formula>5</formula>
    </cfRule>
  </conditionalFormatting>
  <conditionalFormatting sqref="DA13:DF14">
    <cfRule type="cellIs" dxfId="164" priority="8" stopIfTrue="1" operator="equal">
      <formula>0</formula>
    </cfRule>
  </conditionalFormatting>
  <conditionalFormatting sqref="CP15:CU16">
    <cfRule type="cellIs" dxfId="163" priority="5" stopIfTrue="1" operator="notBetween">
      <formula>1</formula>
      <formula>5</formula>
    </cfRule>
  </conditionalFormatting>
  <conditionalFormatting sqref="DA15:DF16">
    <cfRule type="cellIs" dxfId="162" priority="6" stopIfTrue="1" operator="equal">
      <formula>0</formula>
    </cfRule>
  </conditionalFormatting>
  <conditionalFormatting sqref="CP17:CU18">
    <cfRule type="cellIs" dxfId="161" priority="3" stopIfTrue="1" operator="notBetween">
      <formula>1</formula>
      <formula>5</formula>
    </cfRule>
  </conditionalFormatting>
  <conditionalFormatting sqref="DA17:DF18">
    <cfRule type="cellIs" dxfId="160" priority="4" stopIfTrue="1" operator="equal">
      <formula>0</formula>
    </cfRule>
  </conditionalFormatting>
  <dataValidations xWindow="608" yWindow="187" count="2">
    <dataValidation allowBlank="1" showInputMessage="1" showErrorMessage="1" promptTitle="Do not change" prompt="This field is automatically updated from the names-list" sqref="CV83:CV84 CV25:CV77 CV78:CV81"/>
    <dataValidation allowBlank="1" showInputMessage="1" showErrorMessage="1" prompt="always 1" sqref="P7:P24 CC7:CC24 BY7:BY24 BL7:BL24 BT7:BT24 BH7:BH24 BP7:BP24 T7:T24 X7:X24 L7:L24 AF7:AF24 AB7:AB24 AN7:AN24 AJ7:AJ24 AV7:AV24 AR7:AR24 BD7:BD24 AZ7:AZ24"/>
  </dataValidations>
  <pageMargins left="0.57999999999999996" right="0.52" top="0.984251969" bottom="0.984251969" header="0.4921259845" footer="0.4921259845"/>
  <pageSetup paperSize="9" scale="52" orientation="portrait" r:id="rId1"/>
  <headerFooter alignWithMargins="0">
    <oddHeader>&amp;A</oddHeader>
    <oddFooter>&amp;L&amp;"Arial,Fett"&amp;F&amp;C&amp;D&amp;RSeite &amp;P</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4">
    <pageSetUpPr fitToPage="1"/>
  </sheetPr>
  <dimension ref="A1:AD29"/>
  <sheetViews>
    <sheetView zoomScale="75" workbookViewId="0">
      <pane xSplit="12" ySplit="6" topLeftCell="M7" activePane="bottomRight" state="frozen"/>
      <selection activeCell="J46" sqref="J46"/>
      <selection pane="topRight" activeCell="J46" sqref="J46"/>
      <selection pane="bottomLeft" activeCell="J46" sqref="J46"/>
      <selection pane="bottomRight" activeCell="J46" sqref="J46"/>
    </sheetView>
  </sheetViews>
  <sheetFormatPr defaultColWidth="11.42578125" defaultRowHeight="12" outlineLevelCol="1"/>
  <cols>
    <col min="1" max="1" width="11.5703125" style="7" customWidth="1" outlineLevel="1"/>
    <col min="2" max="2" width="9.7109375" style="158" customWidth="1"/>
    <col min="3" max="3" width="3.7109375" style="159" hidden="1" customWidth="1"/>
    <col min="4" max="4" width="3.140625" style="7" hidden="1" customWidth="1"/>
    <col min="5" max="5" width="2.7109375" style="7" hidden="1" customWidth="1"/>
    <col min="6" max="6" width="33.85546875" style="8" customWidth="1"/>
    <col min="7" max="7" width="6" style="7" customWidth="1"/>
    <col min="8" max="8" width="5.7109375" style="7" hidden="1" customWidth="1" outlineLevel="1"/>
    <col min="9" max="9" width="19.42578125" style="7" hidden="1" customWidth="1" outlineLevel="1"/>
    <col min="10" max="10" width="3.28515625" style="7" customWidth="1" collapsed="1"/>
    <col min="11" max="11" width="5.140625" style="7" customWidth="1"/>
    <col min="12" max="12" width="11.42578125" style="7"/>
    <col min="13" max="13" width="2.42578125" style="140" hidden="1" customWidth="1" outlineLevel="1"/>
    <col min="14" max="14" width="4.28515625" style="140" hidden="1" customWidth="1" outlineLevel="1"/>
    <col min="15" max="15" width="37.85546875" style="140" hidden="1" customWidth="1" outlineLevel="1"/>
    <col min="16" max="16" width="11.42578125" style="7" collapsed="1"/>
    <col min="17" max="17" width="2.42578125" style="140" hidden="1" customWidth="1" outlineLevel="1"/>
    <col min="18" max="18" width="4.28515625" style="140" hidden="1" customWidth="1" outlineLevel="1"/>
    <col min="19" max="19" width="37.85546875" style="140" hidden="1" customWidth="1" outlineLevel="1"/>
    <col min="20" max="20" width="11.42578125" style="7" collapsed="1"/>
    <col min="21" max="21" width="2.42578125" style="140" hidden="1" customWidth="1" outlineLevel="1"/>
    <col min="22" max="22" width="4.28515625" style="140" hidden="1" customWidth="1" outlineLevel="1"/>
    <col min="23" max="23" width="37.85546875" style="140" hidden="1" customWidth="1" outlineLevel="1"/>
    <col min="24" max="24" width="11.42578125" style="7" collapsed="1"/>
    <col min="25" max="25" width="2.42578125" style="140" customWidth="1" outlineLevel="1"/>
    <col min="26" max="26" width="4.28515625" style="140" customWidth="1" outlineLevel="1"/>
    <col min="27" max="27" width="37.85546875" style="140" customWidth="1" outlineLevel="1"/>
    <col min="28" max="28" width="11.42578125" style="7"/>
    <col min="31" max="16384" width="11.42578125" style="7"/>
  </cols>
  <sheetData>
    <row r="1" spans="1:30">
      <c r="A1" s="36"/>
      <c r="B1" s="34"/>
      <c r="C1" s="35"/>
      <c r="D1" s="36"/>
      <c r="E1" s="36"/>
      <c r="F1" s="37" t="s">
        <v>510</v>
      </c>
      <c r="G1" s="36"/>
      <c r="H1" s="36"/>
      <c r="I1" s="36"/>
      <c r="J1" s="36"/>
      <c r="K1" s="36"/>
      <c r="L1" s="122" t="s">
        <v>782</v>
      </c>
      <c r="M1" s="22"/>
      <c r="N1" s="22"/>
      <c r="O1" s="22"/>
      <c r="P1" s="122" t="s">
        <v>783</v>
      </c>
      <c r="Q1" s="22"/>
      <c r="R1" s="22"/>
      <c r="S1" s="22"/>
      <c r="T1" s="122" t="s">
        <v>784</v>
      </c>
      <c r="U1" s="22"/>
      <c r="V1" s="22"/>
      <c r="W1" s="22"/>
      <c r="X1" s="122" t="s">
        <v>785</v>
      </c>
      <c r="Y1" s="22"/>
      <c r="Z1" s="22"/>
      <c r="AA1" s="22"/>
    </row>
    <row r="2" spans="1:30">
      <c r="A2" s="36"/>
      <c r="B2" s="147"/>
      <c r="C2" s="35" t="s">
        <v>511</v>
      </c>
      <c r="D2" s="147">
        <v>3503</v>
      </c>
      <c r="E2" s="147">
        <v>3504</v>
      </c>
      <c r="F2" s="147">
        <v>3702</v>
      </c>
      <c r="G2" s="147">
        <v>3703</v>
      </c>
      <c r="H2" s="147">
        <v>3506</v>
      </c>
      <c r="I2" s="147">
        <v>3507</v>
      </c>
      <c r="J2" s="147">
        <v>3508</v>
      </c>
      <c r="K2" s="147">
        <v>3706</v>
      </c>
      <c r="L2" s="147">
        <v>3707</v>
      </c>
      <c r="M2" s="23">
        <v>3708</v>
      </c>
      <c r="N2" s="23">
        <v>3709</v>
      </c>
      <c r="O2" s="134">
        <v>3792</v>
      </c>
      <c r="P2" s="147">
        <v>3707</v>
      </c>
      <c r="Q2" s="23">
        <v>3708</v>
      </c>
      <c r="R2" s="23">
        <v>3709</v>
      </c>
      <c r="S2" s="134">
        <v>3792</v>
      </c>
      <c r="T2" s="147">
        <v>3707</v>
      </c>
      <c r="U2" s="23">
        <v>3708</v>
      </c>
      <c r="V2" s="23">
        <v>3709</v>
      </c>
      <c r="W2" s="134">
        <v>3792</v>
      </c>
      <c r="X2" s="147">
        <v>3707</v>
      </c>
      <c r="Y2" s="23">
        <v>3708</v>
      </c>
      <c r="Z2" s="23">
        <v>3709</v>
      </c>
      <c r="AA2" s="134">
        <v>3792</v>
      </c>
    </row>
    <row r="3" spans="1:30" ht="60" customHeight="1">
      <c r="A3" s="36" t="s">
        <v>398</v>
      </c>
      <c r="B3" s="166"/>
      <c r="C3" s="35">
        <v>401</v>
      </c>
      <c r="D3" s="167" t="s">
        <v>514</v>
      </c>
      <c r="E3" s="167" t="s">
        <v>515</v>
      </c>
      <c r="F3" s="132" t="s">
        <v>516</v>
      </c>
      <c r="G3" s="41" t="s">
        <v>517</v>
      </c>
      <c r="H3" s="41" t="s">
        <v>518</v>
      </c>
      <c r="I3" s="41" t="s">
        <v>519</v>
      </c>
      <c r="J3" s="41" t="s">
        <v>520</v>
      </c>
      <c r="K3" s="41" t="s">
        <v>394</v>
      </c>
      <c r="L3" s="177" t="s">
        <v>1326</v>
      </c>
      <c r="M3" s="25" t="s">
        <v>265</v>
      </c>
      <c r="N3" s="25" t="s">
        <v>266</v>
      </c>
      <c r="O3" s="136" t="s">
        <v>548</v>
      </c>
      <c r="P3" s="177" t="s">
        <v>1327</v>
      </c>
      <c r="Q3" s="25" t="s">
        <v>265</v>
      </c>
      <c r="R3" s="25" t="s">
        <v>266</v>
      </c>
      <c r="S3" s="136" t="s">
        <v>548</v>
      </c>
      <c r="T3" s="177" t="s">
        <v>1328</v>
      </c>
      <c r="U3" s="25" t="s">
        <v>265</v>
      </c>
      <c r="V3" s="25" t="s">
        <v>266</v>
      </c>
      <c r="W3" s="136" t="s">
        <v>548</v>
      </c>
      <c r="X3" s="177" t="s">
        <v>1329</v>
      </c>
      <c r="Y3" s="25" t="s">
        <v>265</v>
      </c>
      <c r="Z3" s="25" t="s">
        <v>266</v>
      </c>
      <c r="AA3" s="136" t="s">
        <v>548</v>
      </c>
    </row>
    <row r="4" spans="1:30" ht="12" customHeight="1">
      <c r="A4" s="36"/>
      <c r="B4" s="166"/>
      <c r="C4" s="35">
        <v>662</v>
      </c>
      <c r="D4" s="13"/>
      <c r="E4" s="13"/>
      <c r="F4" s="132" t="s">
        <v>517</v>
      </c>
      <c r="G4" s="132"/>
      <c r="H4" s="132"/>
      <c r="I4" s="132"/>
      <c r="J4" s="132"/>
      <c r="K4" s="132"/>
      <c r="L4" s="177" t="s">
        <v>521</v>
      </c>
      <c r="M4" s="27"/>
      <c r="N4" s="27"/>
      <c r="O4" s="201"/>
      <c r="P4" s="177" t="s">
        <v>521</v>
      </c>
      <c r="Q4" s="27"/>
      <c r="R4" s="27"/>
      <c r="S4" s="201"/>
      <c r="T4" s="177" t="s">
        <v>521</v>
      </c>
      <c r="U4" s="27"/>
      <c r="V4" s="27"/>
      <c r="W4" s="201"/>
      <c r="X4" s="177" t="s">
        <v>521</v>
      </c>
      <c r="Y4" s="27"/>
      <c r="Z4" s="27"/>
      <c r="AA4" s="201"/>
    </row>
    <row r="5" spans="1:30">
      <c r="A5" s="36"/>
      <c r="B5" s="166"/>
      <c r="C5" s="35">
        <v>493</v>
      </c>
      <c r="D5" s="13"/>
      <c r="E5" s="13"/>
      <c r="F5" s="132" t="s">
        <v>520</v>
      </c>
      <c r="G5" s="132"/>
      <c r="H5" s="132"/>
      <c r="I5" s="132"/>
      <c r="J5" s="132"/>
      <c r="K5" s="132"/>
      <c r="L5" s="177">
        <v>1</v>
      </c>
      <c r="M5" s="27"/>
      <c r="N5" s="27"/>
      <c r="O5" s="201"/>
      <c r="P5" s="177">
        <v>1</v>
      </c>
      <c r="Q5" s="27"/>
      <c r="R5" s="27"/>
      <c r="S5" s="201"/>
      <c r="T5" s="177">
        <v>1</v>
      </c>
      <c r="U5" s="27"/>
      <c r="V5" s="27"/>
      <c r="W5" s="201"/>
      <c r="X5" s="177">
        <v>1</v>
      </c>
      <c r="Y5" s="27"/>
      <c r="Z5" s="27"/>
      <c r="AA5" s="201"/>
    </row>
    <row r="6" spans="1:30">
      <c r="A6" s="36"/>
      <c r="B6" s="166"/>
      <c r="C6" s="35">
        <v>403</v>
      </c>
      <c r="D6" s="13"/>
      <c r="E6" s="13"/>
      <c r="F6" s="132" t="s">
        <v>394</v>
      </c>
      <c r="G6" s="352"/>
      <c r="H6" s="132"/>
      <c r="I6" s="132"/>
      <c r="J6" s="132"/>
      <c r="K6" s="132"/>
      <c r="L6" s="177" t="s">
        <v>396</v>
      </c>
      <c r="M6" s="27"/>
      <c r="N6" s="27"/>
      <c r="O6" s="201"/>
      <c r="P6" s="177" t="s">
        <v>396</v>
      </c>
      <c r="Q6" s="27"/>
      <c r="R6" s="27"/>
      <c r="S6" s="201"/>
      <c r="T6" s="177" t="s">
        <v>396</v>
      </c>
      <c r="U6" s="27"/>
      <c r="V6" s="27"/>
      <c r="W6" s="201"/>
      <c r="X6" s="177" t="s">
        <v>396</v>
      </c>
      <c r="Y6" s="27"/>
      <c r="Z6" s="27"/>
      <c r="AA6" s="201"/>
    </row>
    <row r="7" spans="1:30" s="666" customFormat="1" ht="24">
      <c r="A7" s="653" t="s">
        <v>782</v>
      </c>
      <c r="B7" s="654"/>
      <c r="C7" s="655"/>
      <c r="D7" s="656" t="s">
        <v>402</v>
      </c>
      <c r="E7" s="657">
        <v>0</v>
      </c>
      <c r="F7" s="658" t="s">
        <v>1326</v>
      </c>
      <c r="G7" s="659" t="s">
        <v>521</v>
      </c>
      <c r="H7" s="660" t="s">
        <v>402</v>
      </c>
      <c r="I7" s="660" t="s">
        <v>402</v>
      </c>
      <c r="J7" s="661">
        <v>1</v>
      </c>
      <c r="K7" s="659" t="s">
        <v>396</v>
      </c>
      <c r="L7" s="662">
        <v>1</v>
      </c>
      <c r="M7" s="663"/>
      <c r="N7" s="664"/>
      <c r="O7" s="665"/>
      <c r="P7" s="662">
        <v>0</v>
      </c>
      <c r="Q7" s="663"/>
      <c r="R7" s="664"/>
      <c r="S7" s="665"/>
      <c r="T7" s="662">
        <v>0</v>
      </c>
      <c r="U7" s="663"/>
      <c r="V7" s="664"/>
      <c r="W7" s="665"/>
      <c r="X7" s="662">
        <v>0</v>
      </c>
      <c r="Y7" s="663"/>
      <c r="Z7" s="664"/>
      <c r="AA7" s="665"/>
      <c r="AC7" s="667"/>
      <c r="AD7" s="667"/>
    </row>
    <row r="8" spans="1:30" s="666" customFormat="1" ht="24">
      <c r="A8" s="653" t="s">
        <v>783</v>
      </c>
      <c r="B8" s="654"/>
      <c r="C8" s="655"/>
      <c r="D8" s="656" t="s">
        <v>402</v>
      </c>
      <c r="E8" s="657">
        <v>0</v>
      </c>
      <c r="F8" s="658" t="s">
        <v>1327</v>
      </c>
      <c r="G8" s="659" t="s">
        <v>521</v>
      </c>
      <c r="H8" s="660" t="s">
        <v>402</v>
      </c>
      <c r="I8" s="660" t="s">
        <v>402</v>
      </c>
      <c r="J8" s="661">
        <v>1</v>
      </c>
      <c r="K8" s="659" t="s">
        <v>396</v>
      </c>
      <c r="L8" s="662">
        <v>0</v>
      </c>
      <c r="M8" s="663"/>
      <c r="N8" s="664"/>
      <c r="O8" s="665"/>
      <c r="P8" s="662">
        <v>1</v>
      </c>
      <c r="Q8" s="663"/>
      <c r="R8" s="664"/>
      <c r="S8" s="665"/>
      <c r="T8" s="662">
        <v>0</v>
      </c>
      <c r="U8" s="663"/>
      <c r="V8" s="664"/>
      <c r="W8" s="665"/>
      <c r="X8" s="662">
        <v>0</v>
      </c>
      <c r="Y8" s="663"/>
      <c r="Z8" s="664"/>
      <c r="AA8" s="665"/>
      <c r="AC8" s="667"/>
      <c r="AD8" s="667"/>
    </row>
    <row r="9" spans="1:30" s="666" customFormat="1" ht="24">
      <c r="A9" s="653" t="s">
        <v>784</v>
      </c>
      <c r="B9" s="654"/>
      <c r="C9" s="655"/>
      <c r="D9" s="656" t="s">
        <v>402</v>
      </c>
      <c r="E9" s="657">
        <v>0</v>
      </c>
      <c r="F9" s="658" t="s">
        <v>1328</v>
      </c>
      <c r="G9" s="659" t="s">
        <v>521</v>
      </c>
      <c r="H9" s="660" t="s">
        <v>402</v>
      </c>
      <c r="I9" s="660" t="s">
        <v>402</v>
      </c>
      <c r="J9" s="661">
        <v>1</v>
      </c>
      <c r="K9" s="659" t="s">
        <v>396</v>
      </c>
      <c r="L9" s="662">
        <v>0</v>
      </c>
      <c r="M9" s="663"/>
      <c r="N9" s="664"/>
      <c r="O9" s="665"/>
      <c r="P9" s="662">
        <v>0</v>
      </c>
      <c r="Q9" s="663"/>
      <c r="R9" s="664"/>
      <c r="S9" s="665"/>
      <c r="T9" s="662">
        <v>1</v>
      </c>
      <c r="U9" s="663"/>
      <c r="V9" s="664"/>
      <c r="W9" s="665"/>
      <c r="X9" s="662">
        <v>0</v>
      </c>
      <c r="Y9" s="663"/>
      <c r="Z9" s="664"/>
      <c r="AA9" s="665"/>
      <c r="AC9" s="667"/>
      <c r="AD9" s="667"/>
    </row>
    <row r="10" spans="1:30" s="666" customFormat="1" ht="24">
      <c r="A10" s="653" t="s">
        <v>785</v>
      </c>
      <c r="B10" s="654"/>
      <c r="C10" s="655"/>
      <c r="D10" s="656" t="s">
        <v>402</v>
      </c>
      <c r="E10" s="657">
        <v>0</v>
      </c>
      <c r="F10" s="658" t="s">
        <v>1329</v>
      </c>
      <c r="G10" s="659" t="s">
        <v>521</v>
      </c>
      <c r="H10" s="660" t="s">
        <v>402</v>
      </c>
      <c r="I10" s="660" t="s">
        <v>402</v>
      </c>
      <c r="J10" s="661">
        <v>1</v>
      </c>
      <c r="K10" s="659" t="s">
        <v>396</v>
      </c>
      <c r="L10" s="662">
        <v>0</v>
      </c>
      <c r="M10" s="663"/>
      <c r="N10" s="664"/>
      <c r="O10" s="665"/>
      <c r="P10" s="662">
        <v>0</v>
      </c>
      <c r="Q10" s="663"/>
      <c r="R10" s="664"/>
      <c r="S10" s="665"/>
      <c r="T10" s="662">
        <v>0</v>
      </c>
      <c r="U10" s="663"/>
      <c r="V10" s="664"/>
      <c r="W10" s="665"/>
      <c r="X10" s="662">
        <v>1</v>
      </c>
      <c r="Y10" s="663"/>
      <c r="Z10" s="664"/>
      <c r="AA10" s="665"/>
      <c r="AC10" s="667"/>
      <c r="AD10" s="667"/>
    </row>
    <row r="11" spans="1:30" ht="12.75">
      <c r="A11" s="38">
        <v>1624</v>
      </c>
      <c r="B11" s="37" t="s">
        <v>658</v>
      </c>
      <c r="C11" s="151" t="s">
        <v>525</v>
      </c>
      <c r="D11" s="152" t="s">
        <v>526</v>
      </c>
      <c r="E11" s="153" t="s">
        <v>402</v>
      </c>
      <c r="F11" s="144" t="s">
        <v>1123</v>
      </c>
      <c r="G11" s="125" t="s">
        <v>521</v>
      </c>
      <c r="H11" s="154" t="s">
        <v>402</v>
      </c>
      <c r="I11" s="123" t="s">
        <v>402</v>
      </c>
      <c r="J11" s="124">
        <v>1</v>
      </c>
      <c r="K11" s="125" t="s">
        <v>396</v>
      </c>
      <c r="L11" s="155">
        <v>0</v>
      </c>
      <c r="M11" s="29">
        <v>1</v>
      </c>
      <c r="N11" s="1">
        <v>3.2711933904312551</v>
      </c>
      <c r="O11" s="31" t="s">
        <v>1330</v>
      </c>
      <c r="P11" s="155">
        <v>0</v>
      </c>
      <c r="Q11" s="29">
        <v>1</v>
      </c>
      <c r="R11" s="1">
        <v>3.2711933904312551</v>
      </c>
      <c r="S11" s="31" t="s">
        <v>1330</v>
      </c>
      <c r="T11" s="155">
        <v>0.14536445556338198</v>
      </c>
      <c r="U11" s="29">
        <v>1</v>
      </c>
      <c r="V11" s="1">
        <v>3.2711933904312551</v>
      </c>
      <c r="W11" s="31" t="s">
        <v>1330</v>
      </c>
      <c r="X11" s="155">
        <v>0</v>
      </c>
      <c r="Y11" s="29">
        <v>1</v>
      </c>
      <c r="Z11" s="1">
        <v>3.2711933904312551</v>
      </c>
      <c r="AA11" s="31" t="s">
        <v>1330</v>
      </c>
    </row>
    <row r="12" spans="1:30" ht="12.75">
      <c r="A12" s="4">
        <v>1623</v>
      </c>
      <c r="B12" s="37"/>
      <c r="C12" s="151" t="s">
        <v>525</v>
      </c>
      <c r="D12" s="152" t="s">
        <v>526</v>
      </c>
      <c r="E12" s="153" t="s">
        <v>402</v>
      </c>
      <c r="F12" s="144" t="s">
        <v>1294</v>
      </c>
      <c r="G12" s="125" t="s">
        <v>521</v>
      </c>
      <c r="H12" s="154" t="s">
        <v>402</v>
      </c>
      <c r="I12" s="123" t="s">
        <v>402</v>
      </c>
      <c r="J12" s="124">
        <v>1</v>
      </c>
      <c r="K12" s="125" t="s">
        <v>396</v>
      </c>
      <c r="L12" s="155">
        <v>0</v>
      </c>
      <c r="M12" s="29">
        <v>1</v>
      </c>
      <c r="N12" s="1">
        <v>3.2711933904312551</v>
      </c>
      <c r="O12" s="31" t="s">
        <v>1330</v>
      </c>
      <c r="P12" s="155">
        <v>0</v>
      </c>
      <c r="Q12" s="29">
        <v>1</v>
      </c>
      <c r="R12" s="1">
        <v>3.2711933904312551</v>
      </c>
      <c r="S12" s="31" t="s">
        <v>1330</v>
      </c>
      <c r="T12" s="155">
        <v>0</v>
      </c>
      <c r="U12" s="29">
        <v>1</v>
      </c>
      <c r="V12" s="1">
        <v>3.2711933904312551</v>
      </c>
      <c r="W12" s="31" t="s">
        <v>1330</v>
      </c>
      <c r="X12" s="155">
        <v>0.14536445556338198</v>
      </c>
      <c r="Y12" s="29">
        <v>1</v>
      </c>
      <c r="Z12" s="1">
        <v>3.2711933904312551</v>
      </c>
      <c r="AA12" s="31" t="s">
        <v>1330</v>
      </c>
    </row>
    <row r="13" spans="1:30" ht="12.75">
      <c r="A13" s="38">
        <v>1522</v>
      </c>
      <c r="B13" s="37"/>
      <c r="C13" s="151" t="s">
        <v>525</v>
      </c>
      <c r="D13" s="152" t="s">
        <v>526</v>
      </c>
      <c r="E13" s="153" t="s">
        <v>402</v>
      </c>
      <c r="F13" s="144" t="s">
        <v>1296</v>
      </c>
      <c r="G13" s="125" t="s">
        <v>521</v>
      </c>
      <c r="H13" s="154" t="s">
        <v>402</v>
      </c>
      <c r="I13" s="123" t="s">
        <v>402</v>
      </c>
      <c r="J13" s="124">
        <v>1</v>
      </c>
      <c r="K13" s="125" t="s">
        <v>396</v>
      </c>
      <c r="L13" s="155">
        <v>0.14536445556338198</v>
      </c>
      <c r="M13" s="29">
        <v>1</v>
      </c>
      <c r="N13" s="1">
        <v>3.2711933904312551</v>
      </c>
      <c r="O13" s="31" t="s">
        <v>1330</v>
      </c>
      <c r="P13" s="155">
        <v>0</v>
      </c>
      <c r="Q13" s="29">
        <v>1</v>
      </c>
      <c r="R13" s="1">
        <v>3.2711933904312551</v>
      </c>
      <c r="S13" s="31" t="s">
        <v>1330</v>
      </c>
      <c r="T13" s="155">
        <v>0</v>
      </c>
      <c r="U13" s="29">
        <v>1</v>
      </c>
      <c r="V13" s="1">
        <v>3.2711933904312551</v>
      </c>
      <c r="W13" s="31" t="s">
        <v>1330</v>
      </c>
      <c r="X13" s="155">
        <v>0</v>
      </c>
      <c r="Y13" s="29">
        <v>1</v>
      </c>
      <c r="Z13" s="1">
        <v>3.2711933904312551</v>
      </c>
      <c r="AA13" s="31" t="s">
        <v>1330</v>
      </c>
    </row>
    <row r="14" spans="1:30" ht="12.75">
      <c r="A14" s="4">
        <v>1521</v>
      </c>
      <c r="B14" s="37"/>
      <c r="C14" s="151" t="s">
        <v>525</v>
      </c>
      <c r="D14" s="152" t="s">
        <v>526</v>
      </c>
      <c r="E14" s="153" t="s">
        <v>402</v>
      </c>
      <c r="F14" s="144" t="s">
        <v>1295</v>
      </c>
      <c r="G14" s="125" t="s">
        <v>521</v>
      </c>
      <c r="H14" s="154" t="s">
        <v>402</v>
      </c>
      <c r="I14" s="123" t="s">
        <v>402</v>
      </c>
      <c r="J14" s="124">
        <v>1</v>
      </c>
      <c r="K14" s="125" t="s">
        <v>396</v>
      </c>
      <c r="L14" s="155">
        <v>0</v>
      </c>
      <c r="M14" s="29">
        <v>1</v>
      </c>
      <c r="N14" s="1">
        <v>3.2711933904312551</v>
      </c>
      <c r="O14" s="31" t="s">
        <v>1330</v>
      </c>
      <c r="P14" s="155">
        <v>0.14536445556338198</v>
      </c>
      <c r="Q14" s="29">
        <v>1</v>
      </c>
      <c r="R14" s="1">
        <v>3.2711933904312551</v>
      </c>
      <c r="S14" s="31" t="s">
        <v>1330</v>
      </c>
      <c r="T14" s="155">
        <v>0</v>
      </c>
      <c r="U14" s="29">
        <v>1</v>
      </c>
      <c r="V14" s="1">
        <v>3.2711933904312551</v>
      </c>
      <c r="W14" s="31" t="s">
        <v>1330</v>
      </c>
      <c r="X14" s="155">
        <v>0</v>
      </c>
      <c r="Y14" s="29">
        <v>1</v>
      </c>
      <c r="Z14" s="1">
        <v>3.2711933904312551</v>
      </c>
      <c r="AA14" s="31" t="s">
        <v>1330</v>
      </c>
    </row>
    <row r="15" spans="1:30" ht="12.75">
      <c r="A15" s="478" t="s">
        <v>889</v>
      </c>
      <c r="B15" s="37"/>
      <c r="C15" s="151" t="s">
        <v>525</v>
      </c>
      <c r="D15" s="152" t="s">
        <v>526</v>
      </c>
      <c r="E15" s="153" t="s">
        <v>402</v>
      </c>
      <c r="F15" s="144" t="s">
        <v>1123</v>
      </c>
      <c r="G15" s="125" t="s">
        <v>465</v>
      </c>
      <c r="H15" s="154" t="s">
        <v>402</v>
      </c>
      <c r="I15" s="123" t="s">
        <v>402</v>
      </c>
      <c r="J15" s="124">
        <v>1</v>
      </c>
      <c r="K15" s="125" t="s">
        <v>396</v>
      </c>
      <c r="L15" s="155">
        <v>0</v>
      </c>
      <c r="M15" s="29">
        <v>1</v>
      </c>
      <c r="N15" s="1">
        <v>3.2711933904312551</v>
      </c>
      <c r="O15" s="31" t="s">
        <v>1331</v>
      </c>
      <c r="P15" s="155">
        <v>0</v>
      </c>
      <c r="Q15" s="29">
        <v>1</v>
      </c>
      <c r="R15" s="1">
        <v>3.2711933904312551</v>
      </c>
      <c r="S15" s="31" t="s">
        <v>1331</v>
      </c>
      <c r="T15" s="155">
        <v>0</v>
      </c>
      <c r="U15" s="29">
        <v>1</v>
      </c>
      <c r="V15" s="1">
        <v>3.2711933904312551</v>
      </c>
      <c r="W15" s="31" t="s">
        <v>1331</v>
      </c>
      <c r="X15" s="155">
        <v>0</v>
      </c>
      <c r="Y15" s="29">
        <v>1</v>
      </c>
      <c r="Z15" s="1">
        <v>3.2711933904312551</v>
      </c>
      <c r="AA15" s="31" t="s">
        <v>1331</v>
      </c>
    </row>
    <row r="16" spans="1:30" ht="12.75">
      <c r="A16" s="478" t="s">
        <v>890</v>
      </c>
      <c r="B16" s="37"/>
      <c r="C16" s="151" t="s">
        <v>525</v>
      </c>
      <c r="D16" s="152" t="s">
        <v>526</v>
      </c>
      <c r="E16" s="153" t="s">
        <v>402</v>
      </c>
      <c r="F16" s="144" t="s">
        <v>1294</v>
      </c>
      <c r="G16" s="125" t="s">
        <v>465</v>
      </c>
      <c r="H16" s="154" t="s">
        <v>402</v>
      </c>
      <c r="I16" s="123" t="s">
        <v>402</v>
      </c>
      <c r="J16" s="124">
        <v>1</v>
      </c>
      <c r="K16" s="125" t="s">
        <v>396</v>
      </c>
      <c r="L16" s="155">
        <v>0</v>
      </c>
      <c r="M16" s="29">
        <v>1</v>
      </c>
      <c r="N16" s="1">
        <v>3.2711933904312551</v>
      </c>
      <c r="O16" s="31" t="s">
        <v>1331</v>
      </c>
      <c r="P16" s="155">
        <v>0</v>
      </c>
      <c r="Q16" s="29">
        <v>1</v>
      </c>
      <c r="R16" s="1">
        <v>3.2711933904312551</v>
      </c>
      <c r="S16" s="31" t="s">
        <v>1331</v>
      </c>
      <c r="T16" s="155">
        <v>0</v>
      </c>
      <c r="U16" s="29">
        <v>1</v>
      </c>
      <c r="V16" s="1">
        <v>3.2711933904312551</v>
      </c>
      <c r="W16" s="31" t="s">
        <v>1331</v>
      </c>
      <c r="X16" s="155">
        <v>0</v>
      </c>
      <c r="Y16" s="29">
        <v>1</v>
      </c>
      <c r="Z16" s="1">
        <v>3.2711933904312551</v>
      </c>
      <c r="AA16" s="31" t="s">
        <v>1331</v>
      </c>
    </row>
    <row r="17" spans="1:27" ht="12.75">
      <c r="A17" s="485" t="s">
        <v>891</v>
      </c>
      <c r="B17" s="37"/>
      <c r="C17" s="151" t="s">
        <v>525</v>
      </c>
      <c r="D17" s="152" t="s">
        <v>526</v>
      </c>
      <c r="E17" s="153" t="s">
        <v>402</v>
      </c>
      <c r="F17" s="144" t="s">
        <v>1296</v>
      </c>
      <c r="G17" s="125" t="s">
        <v>465</v>
      </c>
      <c r="H17" s="154" t="s">
        <v>402</v>
      </c>
      <c r="I17" s="123" t="s">
        <v>402</v>
      </c>
      <c r="J17" s="124">
        <v>1</v>
      </c>
      <c r="K17" s="125" t="s">
        <v>396</v>
      </c>
      <c r="L17" s="155">
        <v>0</v>
      </c>
      <c r="M17" s="29">
        <v>1</v>
      </c>
      <c r="N17" s="1">
        <v>3.2711933904312551</v>
      </c>
      <c r="O17" s="31" t="s">
        <v>1331</v>
      </c>
      <c r="P17" s="155">
        <v>0</v>
      </c>
      <c r="Q17" s="29">
        <v>1</v>
      </c>
      <c r="R17" s="1">
        <v>3.2711933904312551</v>
      </c>
      <c r="S17" s="31" t="s">
        <v>1331</v>
      </c>
      <c r="T17" s="155">
        <v>0</v>
      </c>
      <c r="U17" s="29">
        <v>1</v>
      </c>
      <c r="V17" s="1">
        <v>3.2711933904312551</v>
      </c>
      <c r="W17" s="31" t="s">
        <v>1331</v>
      </c>
      <c r="X17" s="155">
        <v>0</v>
      </c>
      <c r="Y17" s="29">
        <v>1</v>
      </c>
      <c r="Z17" s="1">
        <v>3.2711933904312551</v>
      </c>
      <c r="AA17" s="31" t="s">
        <v>1331</v>
      </c>
    </row>
    <row r="18" spans="1:27" ht="12.75">
      <c r="A18" s="485" t="s">
        <v>892</v>
      </c>
      <c r="B18" s="37"/>
      <c r="C18" s="151" t="s">
        <v>525</v>
      </c>
      <c r="D18" s="152" t="s">
        <v>526</v>
      </c>
      <c r="E18" s="153" t="s">
        <v>402</v>
      </c>
      <c r="F18" s="144" t="s">
        <v>1295</v>
      </c>
      <c r="G18" s="125" t="s">
        <v>465</v>
      </c>
      <c r="H18" s="154" t="s">
        <v>402</v>
      </c>
      <c r="I18" s="123" t="s">
        <v>402</v>
      </c>
      <c r="J18" s="124">
        <v>1</v>
      </c>
      <c r="K18" s="125" t="s">
        <v>396</v>
      </c>
      <c r="L18" s="155">
        <v>0</v>
      </c>
      <c r="M18" s="29">
        <v>1</v>
      </c>
      <c r="N18" s="1">
        <v>3.2711933904312551</v>
      </c>
      <c r="O18" s="31" t="s">
        <v>1331</v>
      </c>
      <c r="P18" s="155">
        <v>0</v>
      </c>
      <c r="Q18" s="29">
        <v>1</v>
      </c>
      <c r="R18" s="1">
        <v>3.2711933904312551</v>
      </c>
      <c r="S18" s="31" t="s">
        <v>1331</v>
      </c>
      <c r="T18" s="155">
        <v>0</v>
      </c>
      <c r="U18" s="29">
        <v>1</v>
      </c>
      <c r="V18" s="1">
        <v>3.2711933904312551</v>
      </c>
      <c r="W18" s="31" t="s">
        <v>1331</v>
      </c>
      <c r="X18" s="155">
        <v>0</v>
      </c>
      <c r="Y18" s="29">
        <v>1</v>
      </c>
      <c r="Z18" s="1">
        <v>3.2711933904312551</v>
      </c>
      <c r="AA18" s="31" t="s">
        <v>1331</v>
      </c>
    </row>
    <row r="19" spans="1:27" ht="12.75">
      <c r="A19" s="478" t="s">
        <v>762</v>
      </c>
      <c r="B19" s="37"/>
      <c r="C19" s="151" t="s">
        <v>525</v>
      </c>
      <c r="D19" s="152" t="s">
        <v>526</v>
      </c>
      <c r="E19" s="153" t="s">
        <v>402</v>
      </c>
      <c r="F19" s="144" t="s">
        <v>1123</v>
      </c>
      <c r="G19" s="125" t="s">
        <v>1105</v>
      </c>
      <c r="H19" s="154" t="s">
        <v>402</v>
      </c>
      <c r="I19" s="123" t="s">
        <v>402</v>
      </c>
      <c r="J19" s="124">
        <v>1</v>
      </c>
      <c r="K19" s="125" t="s">
        <v>396</v>
      </c>
      <c r="L19" s="155">
        <v>0</v>
      </c>
      <c r="M19" s="29">
        <v>1</v>
      </c>
      <c r="N19" s="1">
        <v>3.2711933904312551</v>
      </c>
      <c r="O19" s="31" t="s">
        <v>1332</v>
      </c>
      <c r="P19" s="155">
        <v>0</v>
      </c>
      <c r="Q19" s="29">
        <v>1</v>
      </c>
      <c r="R19" s="1">
        <v>3.2711933904312551</v>
      </c>
      <c r="S19" s="31" t="s">
        <v>1332</v>
      </c>
      <c r="T19" s="155">
        <v>0.79584659104709621</v>
      </c>
      <c r="U19" s="29">
        <v>1</v>
      </c>
      <c r="V19" s="1">
        <v>3.2711933904312551</v>
      </c>
      <c r="W19" s="31" t="s">
        <v>1332</v>
      </c>
      <c r="X19" s="155">
        <v>0</v>
      </c>
      <c r="Y19" s="29">
        <v>1</v>
      </c>
      <c r="Z19" s="1">
        <v>3.2711933904312551</v>
      </c>
      <c r="AA19" s="31" t="s">
        <v>1332</v>
      </c>
    </row>
    <row r="20" spans="1:27" ht="12.75">
      <c r="A20" s="478" t="s">
        <v>763</v>
      </c>
      <c r="B20" s="37"/>
      <c r="C20" s="151" t="s">
        <v>525</v>
      </c>
      <c r="D20" s="152" t="s">
        <v>526</v>
      </c>
      <c r="E20" s="153" t="s">
        <v>402</v>
      </c>
      <c r="F20" s="144" t="s">
        <v>1294</v>
      </c>
      <c r="G20" s="125" t="s">
        <v>1105</v>
      </c>
      <c r="H20" s="154" t="s">
        <v>402</v>
      </c>
      <c r="I20" s="123" t="s">
        <v>402</v>
      </c>
      <c r="J20" s="124">
        <v>1</v>
      </c>
      <c r="K20" s="125" t="s">
        <v>396</v>
      </c>
      <c r="L20" s="155">
        <v>0</v>
      </c>
      <c r="M20" s="29">
        <v>1</v>
      </c>
      <c r="N20" s="1">
        <v>3.2711933904312551</v>
      </c>
      <c r="O20" s="31" t="s">
        <v>1332</v>
      </c>
      <c r="P20" s="155">
        <v>0</v>
      </c>
      <c r="Q20" s="29">
        <v>1</v>
      </c>
      <c r="R20" s="1">
        <v>3.2711933904312551</v>
      </c>
      <c r="S20" s="31" t="s">
        <v>1332</v>
      </c>
      <c r="T20" s="155">
        <v>0</v>
      </c>
      <c r="U20" s="29">
        <v>1</v>
      </c>
      <c r="V20" s="1">
        <v>3.2711933904312551</v>
      </c>
      <c r="W20" s="31" t="s">
        <v>1332</v>
      </c>
      <c r="X20" s="155">
        <v>0.79584659104709621</v>
      </c>
      <c r="Y20" s="29">
        <v>1</v>
      </c>
      <c r="Z20" s="1">
        <v>3.2711933904312551</v>
      </c>
      <c r="AA20" s="31" t="s">
        <v>1332</v>
      </c>
    </row>
    <row r="21" spans="1:27" ht="12.75">
      <c r="A21" s="485" t="s">
        <v>780</v>
      </c>
      <c r="B21" s="37"/>
      <c r="C21" s="151" t="s">
        <v>525</v>
      </c>
      <c r="D21" s="152" t="s">
        <v>526</v>
      </c>
      <c r="E21" s="153" t="s">
        <v>402</v>
      </c>
      <c r="F21" s="144" t="s">
        <v>1296</v>
      </c>
      <c r="G21" s="125" t="s">
        <v>1105</v>
      </c>
      <c r="H21" s="154" t="s">
        <v>402</v>
      </c>
      <c r="I21" s="123" t="s">
        <v>402</v>
      </c>
      <c r="J21" s="124">
        <v>1</v>
      </c>
      <c r="K21" s="125" t="s">
        <v>396</v>
      </c>
      <c r="L21" s="155">
        <v>0.79584659104709621</v>
      </c>
      <c r="M21" s="29">
        <v>1</v>
      </c>
      <c r="N21" s="1">
        <v>3.2711933904312551</v>
      </c>
      <c r="O21" s="31" t="s">
        <v>1332</v>
      </c>
      <c r="P21" s="155">
        <v>0</v>
      </c>
      <c r="Q21" s="29">
        <v>1</v>
      </c>
      <c r="R21" s="1">
        <v>3.2711933904312551</v>
      </c>
      <c r="S21" s="31" t="s">
        <v>1332</v>
      </c>
      <c r="T21" s="155">
        <v>0</v>
      </c>
      <c r="U21" s="29">
        <v>1</v>
      </c>
      <c r="V21" s="1">
        <v>3.2711933904312551</v>
      </c>
      <c r="W21" s="31" t="s">
        <v>1332</v>
      </c>
      <c r="X21" s="155">
        <v>0</v>
      </c>
      <c r="Y21" s="29">
        <v>1</v>
      </c>
      <c r="Z21" s="1">
        <v>3.2711933904312551</v>
      </c>
      <c r="AA21" s="31" t="s">
        <v>1332</v>
      </c>
    </row>
    <row r="22" spans="1:27" ht="12.75">
      <c r="A22" s="485" t="s">
        <v>781</v>
      </c>
      <c r="B22" s="37"/>
      <c r="C22" s="151" t="s">
        <v>525</v>
      </c>
      <c r="D22" s="152" t="s">
        <v>526</v>
      </c>
      <c r="E22" s="153" t="s">
        <v>402</v>
      </c>
      <c r="F22" s="144" t="s">
        <v>1295</v>
      </c>
      <c r="G22" s="125" t="s">
        <v>1105</v>
      </c>
      <c r="H22" s="154" t="s">
        <v>402</v>
      </c>
      <c r="I22" s="123" t="s">
        <v>402</v>
      </c>
      <c r="J22" s="124">
        <v>1</v>
      </c>
      <c r="K22" s="125" t="s">
        <v>396</v>
      </c>
      <c r="L22" s="155">
        <v>0</v>
      </c>
      <c r="M22" s="29">
        <v>1</v>
      </c>
      <c r="N22" s="1">
        <v>3.2711933904312551</v>
      </c>
      <c r="O22" s="31" t="s">
        <v>1332</v>
      </c>
      <c r="P22" s="155">
        <v>0.79584659104709621</v>
      </c>
      <c r="Q22" s="29">
        <v>1</v>
      </c>
      <c r="R22" s="1">
        <v>3.2711933904312551</v>
      </c>
      <c r="S22" s="31" t="s">
        <v>1332</v>
      </c>
      <c r="T22" s="155">
        <v>0</v>
      </c>
      <c r="U22" s="29">
        <v>1</v>
      </c>
      <c r="V22" s="1">
        <v>3.2711933904312551</v>
      </c>
      <c r="W22" s="31" t="s">
        <v>1332</v>
      </c>
      <c r="X22" s="155">
        <v>0</v>
      </c>
      <c r="Y22" s="29">
        <v>1</v>
      </c>
      <c r="Z22" s="1">
        <v>3.2711933904312551</v>
      </c>
      <c r="AA22" s="31" t="s">
        <v>1332</v>
      </c>
    </row>
    <row r="23" spans="1:27" ht="12.75">
      <c r="A23" s="478" t="s">
        <v>893</v>
      </c>
      <c r="B23" s="37"/>
      <c r="C23" s="151" t="s">
        <v>525</v>
      </c>
      <c r="D23" s="152" t="s">
        <v>526</v>
      </c>
      <c r="E23" s="153" t="s">
        <v>402</v>
      </c>
      <c r="F23" s="144" t="s">
        <v>1123</v>
      </c>
      <c r="G23" s="125" t="s">
        <v>956</v>
      </c>
      <c r="H23" s="154" t="s">
        <v>402</v>
      </c>
      <c r="I23" s="123" t="s">
        <v>402</v>
      </c>
      <c r="J23" s="124">
        <v>1</v>
      </c>
      <c r="K23" s="125" t="s">
        <v>396</v>
      </c>
      <c r="L23" s="155">
        <v>0</v>
      </c>
      <c r="M23" s="29">
        <v>1</v>
      </c>
      <c r="N23" s="1">
        <v>3.2711933904312551</v>
      </c>
      <c r="O23" s="31" t="s">
        <v>1333</v>
      </c>
      <c r="P23" s="155">
        <v>0</v>
      </c>
      <c r="Q23" s="29">
        <v>1</v>
      </c>
      <c r="R23" s="1">
        <v>3.2711933904312551</v>
      </c>
      <c r="S23" s="31" t="s">
        <v>1333</v>
      </c>
      <c r="T23" s="155">
        <v>5.8788953389521739E-2</v>
      </c>
      <c r="U23" s="29">
        <v>1</v>
      </c>
      <c r="V23" s="1">
        <v>3.2711933904312551</v>
      </c>
      <c r="W23" s="31" t="s">
        <v>1333</v>
      </c>
      <c r="X23" s="155">
        <v>0</v>
      </c>
      <c r="Y23" s="29">
        <v>1</v>
      </c>
      <c r="Z23" s="1">
        <v>3.2711933904312551</v>
      </c>
      <c r="AA23" s="31" t="s">
        <v>1333</v>
      </c>
    </row>
    <row r="24" spans="1:27" ht="12.75">
      <c r="A24" s="478" t="s">
        <v>894</v>
      </c>
      <c r="B24" s="37"/>
      <c r="C24" s="151" t="s">
        <v>525</v>
      </c>
      <c r="D24" s="152" t="s">
        <v>526</v>
      </c>
      <c r="E24" s="153" t="s">
        <v>402</v>
      </c>
      <c r="F24" s="144" t="s">
        <v>1294</v>
      </c>
      <c r="G24" s="125" t="s">
        <v>956</v>
      </c>
      <c r="H24" s="154" t="s">
        <v>402</v>
      </c>
      <c r="I24" s="123" t="s">
        <v>402</v>
      </c>
      <c r="J24" s="124">
        <v>1</v>
      </c>
      <c r="K24" s="125" t="s">
        <v>396</v>
      </c>
      <c r="L24" s="155">
        <v>0</v>
      </c>
      <c r="M24" s="29">
        <v>1</v>
      </c>
      <c r="N24" s="1">
        <v>3.2711933904312551</v>
      </c>
      <c r="O24" s="31" t="s">
        <v>1333</v>
      </c>
      <c r="P24" s="155">
        <v>0</v>
      </c>
      <c r="Q24" s="29">
        <v>1</v>
      </c>
      <c r="R24" s="1">
        <v>3.2711933904312551</v>
      </c>
      <c r="S24" s="31" t="s">
        <v>1333</v>
      </c>
      <c r="T24" s="155">
        <v>0</v>
      </c>
      <c r="U24" s="29">
        <v>1</v>
      </c>
      <c r="V24" s="1">
        <v>3.2711933904312551</v>
      </c>
      <c r="W24" s="31" t="s">
        <v>1333</v>
      </c>
      <c r="X24" s="155">
        <v>5.8788953389521739E-2</v>
      </c>
      <c r="Y24" s="29">
        <v>1</v>
      </c>
      <c r="Z24" s="1">
        <v>3.2711933904312551</v>
      </c>
      <c r="AA24" s="31" t="s">
        <v>1333</v>
      </c>
    </row>
    <row r="25" spans="1:27" ht="12.75">
      <c r="A25" s="485" t="s">
        <v>895</v>
      </c>
      <c r="B25" s="37"/>
      <c r="C25" s="151" t="s">
        <v>525</v>
      </c>
      <c r="D25" s="152" t="s">
        <v>526</v>
      </c>
      <c r="E25" s="153" t="s">
        <v>402</v>
      </c>
      <c r="F25" s="144" t="s">
        <v>1296</v>
      </c>
      <c r="G25" s="125" t="s">
        <v>956</v>
      </c>
      <c r="H25" s="154" t="s">
        <v>402</v>
      </c>
      <c r="I25" s="123" t="s">
        <v>402</v>
      </c>
      <c r="J25" s="124">
        <v>1</v>
      </c>
      <c r="K25" s="125" t="s">
        <v>396</v>
      </c>
      <c r="L25" s="155">
        <v>5.8788953389521739E-2</v>
      </c>
      <c r="M25" s="29">
        <v>1</v>
      </c>
      <c r="N25" s="1">
        <v>3.2711933904312551</v>
      </c>
      <c r="O25" s="31" t="s">
        <v>1333</v>
      </c>
      <c r="P25" s="155">
        <v>0</v>
      </c>
      <c r="Q25" s="29">
        <v>1</v>
      </c>
      <c r="R25" s="1">
        <v>3.2711933904312551</v>
      </c>
      <c r="S25" s="31" t="s">
        <v>1333</v>
      </c>
      <c r="T25" s="155">
        <v>0</v>
      </c>
      <c r="U25" s="29">
        <v>1</v>
      </c>
      <c r="V25" s="1">
        <v>3.2711933904312551</v>
      </c>
      <c r="W25" s="31" t="s">
        <v>1333</v>
      </c>
      <c r="X25" s="155">
        <v>0</v>
      </c>
      <c r="Y25" s="29">
        <v>1</v>
      </c>
      <c r="Z25" s="1">
        <v>3.2711933904312551</v>
      </c>
      <c r="AA25" s="31" t="s">
        <v>1333</v>
      </c>
    </row>
    <row r="26" spans="1:27" ht="12.75">
      <c r="A26" s="485" t="s">
        <v>896</v>
      </c>
      <c r="B26" s="37"/>
      <c r="C26" s="151" t="s">
        <v>525</v>
      </c>
      <c r="D26" s="152" t="s">
        <v>526</v>
      </c>
      <c r="E26" s="153" t="s">
        <v>402</v>
      </c>
      <c r="F26" s="144" t="s">
        <v>1295</v>
      </c>
      <c r="G26" s="125" t="s">
        <v>956</v>
      </c>
      <c r="H26" s="154" t="s">
        <v>402</v>
      </c>
      <c r="I26" s="123" t="s">
        <v>402</v>
      </c>
      <c r="J26" s="124">
        <v>1</v>
      </c>
      <c r="K26" s="125" t="s">
        <v>396</v>
      </c>
      <c r="L26" s="155">
        <v>0</v>
      </c>
      <c r="M26" s="29">
        <v>1</v>
      </c>
      <c r="N26" s="1">
        <v>3.2711933904312551</v>
      </c>
      <c r="O26" s="31" t="s">
        <v>1333</v>
      </c>
      <c r="P26" s="155">
        <v>5.8788953389521739E-2</v>
      </c>
      <c r="Q26" s="29">
        <v>1</v>
      </c>
      <c r="R26" s="1">
        <v>3.2711933904312551</v>
      </c>
      <c r="S26" s="31" t="s">
        <v>1333</v>
      </c>
      <c r="T26" s="155">
        <v>0</v>
      </c>
      <c r="U26" s="29">
        <v>1</v>
      </c>
      <c r="V26" s="1">
        <v>3.2711933904312551</v>
      </c>
      <c r="W26" s="31" t="s">
        <v>1333</v>
      </c>
      <c r="X26" s="155">
        <v>0</v>
      </c>
      <c r="Y26" s="29">
        <v>1</v>
      </c>
      <c r="Z26" s="1">
        <v>3.2711933904312551</v>
      </c>
      <c r="AA26" s="31" t="s">
        <v>1333</v>
      </c>
    </row>
    <row r="27" spans="1:27" ht="24">
      <c r="A27" s="2">
        <v>1824</v>
      </c>
      <c r="B27" s="37" t="s">
        <v>152</v>
      </c>
      <c r="C27" s="151" t="s">
        <v>525</v>
      </c>
      <c r="D27" s="152" t="s">
        <v>526</v>
      </c>
      <c r="E27" s="153" t="s">
        <v>402</v>
      </c>
      <c r="F27" s="144" t="s">
        <v>85</v>
      </c>
      <c r="G27" s="125" t="s">
        <v>86</v>
      </c>
      <c r="H27" s="154" t="s">
        <v>402</v>
      </c>
      <c r="I27" s="123" t="s">
        <v>402</v>
      </c>
      <c r="J27" s="124">
        <v>0</v>
      </c>
      <c r="K27" s="125" t="s">
        <v>397</v>
      </c>
      <c r="L27" s="415">
        <v>329.66315672084153</v>
      </c>
      <c r="M27" s="29">
        <v>1</v>
      </c>
      <c r="N27" s="1">
        <v>2.0949941301068096</v>
      </c>
      <c r="O27" s="31" t="s">
        <v>1334</v>
      </c>
      <c r="P27" s="415">
        <v>329.66315672084153</v>
      </c>
      <c r="Q27" s="29">
        <v>1</v>
      </c>
      <c r="R27" s="1">
        <v>2.0949941301068096</v>
      </c>
      <c r="S27" s="31" t="s">
        <v>1334</v>
      </c>
      <c r="T27" s="415">
        <v>365.4189723483463</v>
      </c>
      <c r="U27" s="29">
        <v>1</v>
      </c>
      <c r="V27" s="1">
        <v>2.0949941301068096</v>
      </c>
      <c r="W27" s="31" t="s">
        <v>1334</v>
      </c>
      <c r="X27" s="415">
        <v>365.4189723483463</v>
      </c>
      <c r="Y27" s="29">
        <v>1</v>
      </c>
      <c r="Z27" s="1">
        <v>2.0949941301068096</v>
      </c>
      <c r="AA27" s="31" t="s">
        <v>1334</v>
      </c>
    </row>
    <row r="28" spans="1:27" ht="12.75">
      <c r="A28" s="157">
        <v>1841</v>
      </c>
      <c r="B28" s="37"/>
      <c r="C28" s="151" t="s">
        <v>525</v>
      </c>
      <c r="D28" s="152" t="s">
        <v>526</v>
      </c>
      <c r="E28" s="153" t="s">
        <v>402</v>
      </c>
      <c r="F28" s="144" t="s">
        <v>62</v>
      </c>
      <c r="G28" s="125" t="s">
        <v>521</v>
      </c>
      <c r="H28" s="154" t="s">
        <v>402</v>
      </c>
      <c r="I28" s="123" t="s">
        <v>402</v>
      </c>
      <c r="J28" s="124">
        <v>0</v>
      </c>
      <c r="K28" s="125" t="s">
        <v>397</v>
      </c>
      <c r="L28" s="415">
        <v>3.9184350614724024</v>
      </c>
      <c r="M28" s="29">
        <v>1</v>
      </c>
      <c r="N28" s="1">
        <v>2.0949941301068096</v>
      </c>
      <c r="O28" s="31" t="s">
        <v>1071</v>
      </c>
      <c r="P28" s="415">
        <v>3.9184350614724024</v>
      </c>
      <c r="Q28" s="29">
        <v>1</v>
      </c>
      <c r="R28" s="1">
        <v>2.0949941301068096</v>
      </c>
      <c r="S28" s="31" t="s">
        <v>1071</v>
      </c>
      <c r="T28" s="415">
        <v>4.3434350614724027</v>
      </c>
      <c r="U28" s="29">
        <v>1</v>
      </c>
      <c r="V28" s="1">
        <v>2.0949941301068096</v>
      </c>
      <c r="W28" s="31" t="s">
        <v>1071</v>
      </c>
      <c r="X28" s="415">
        <v>4.3434350614724027</v>
      </c>
      <c r="Y28" s="29">
        <v>1</v>
      </c>
      <c r="Z28" s="1">
        <v>2.0949941301068096</v>
      </c>
      <c r="AA28" s="31" t="s">
        <v>1071</v>
      </c>
    </row>
    <row r="29" spans="1:27" ht="12.75">
      <c r="A29" s="416">
        <v>2987</v>
      </c>
      <c r="B29" s="37"/>
      <c r="C29" s="151" t="s">
        <v>525</v>
      </c>
      <c r="D29" s="152" t="s">
        <v>526</v>
      </c>
      <c r="E29" s="153" t="s">
        <v>402</v>
      </c>
      <c r="F29" s="144" t="s">
        <v>59</v>
      </c>
      <c r="G29" s="125" t="s">
        <v>521</v>
      </c>
      <c r="H29" s="154" t="s">
        <v>402</v>
      </c>
      <c r="I29" s="123" t="s">
        <v>402</v>
      </c>
      <c r="J29" s="124">
        <v>0</v>
      </c>
      <c r="K29" s="125" t="s">
        <v>397</v>
      </c>
      <c r="L29" s="415">
        <v>0.9796087653681006</v>
      </c>
      <c r="M29" s="29">
        <v>1</v>
      </c>
      <c r="N29" s="1">
        <v>2.0949941301068096</v>
      </c>
      <c r="O29" s="31" t="s">
        <v>60</v>
      </c>
      <c r="P29" s="415">
        <v>0.9796087653681006</v>
      </c>
      <c r="Q29" s="29">
        <v>1</v>
      </c>
      <c r="R29" s="1">
        <v>2.0949941301068096</v>
      </c>
      <c r="S29" s="31" t="s">
        <v>60</v>
      </c>
      <c r="T29" s="415">
        <v>1.0858587653681007</v>
      </c>
      <c r="U29" s="29">
        <v>1</v>
      </c>
      <c r="V29" s="1">
        <v>2.0949941301068096</v>
      </c>
      <c r="W29" s="31" t="s">
        <v>60</v>
      </c>
      <c r="X29" s="415">
        <v>1.0858587653681007</v>
      </c>
      <c r="Y29" s="29">
        <v>1</v>
      </c>
      <c r="Z29" s="1">
        <v>2.0949941301068096</v>
      </c>
      <c r="AA29" s="31" t="s">
        <v>60</v>
      </c>
    </row>
  </sheetData>
  <pageMargins left="0.78740157499999996" right="0.78740157499999996" top="0.984251969" bottom="0.984251969" header="0.4921259845" footer="0.4921259845"/>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pageSetUpPr fitToPage="1"/>
  </sheetPr>
  <dimension ref="A1:AD29"/>
  <sheetViews>
    <sheetView zoomScale="75" workbookViewId="0">
      <pane xSplit="12" ySplit="6" topLeftCell="M7" activePane="bottomRight" state="frozen"/>
      <selection activeCell="J46" sqref="J46"/>
      <selection pane="topRight" activeCell="J46" sqref="J46"/>
      <selection pane="bottomLeft" activeCell="J46" sqref="J46"/>
      <selection pane="bottomRight" activeCell="J46" sqref="J46"/>
    </sheetView>
  </sheetViews>
  <sheetFormatPr defaultColWidth="11.42578125" defaultRowHeight="12" outlineLevelCol="1"/>
  <cols>
    <col min="1" max="1" width="11.5703125" style="7" customWidth="1" outlineLevel="1"/>
    <col min="2" max="2" width="9.7109375" style="158" customWidth="1"/>
    <col min="3" max="3" width="3.7109375" style="159" hidden="1" customWidth="1"/>
    <col min="4" max="4" width="3.140625" style="7" hidden="1" customWidth="1"/>
    <col min="5" max="5" width="2.7109375" style="7" hidden="1" customWidth="1"/>
    <col min="6" max="6" width="33.85546875" style="8" customWidth="1"/>
    <col min="7" max="7" width="6" style="7" customWidth="1"/>
    <col min="8" max="8" width="5.7109375" style="7" hidden="1" customWidth="1" outlineLevel="1"/>
    <col min="9" max="9" width="19.42578125" style="7" hidden="1" customWidth="1" outlineLevel="1"/>
    <col min="10" max="10" width="3.28515625" style="7" customWidth="1" collapsed="1"/>
    <col min="11" max="11" width="5.140625" style="7" customWidth="1"/>
    <col min="12" max="12" width="11.42578125" style="7"/>
    <col min="13" max="13" width="2.42578125" style="140" hidden="1" customWidth="1" outlineLevel="1"/>
    <col min="14" max="14" width="4.28515625" style="140" hidden="1" customWidth="1" outlineLevel="1"/>
    <col min="15" max="15" width="37.85546875" style="140" hidden="1" customWidth="1" outlineLevel="1"/>
    <col min="16" max="16" width="11.42578125" style="7" collapsed="1"/>
    <col min="17" max="17" width="2.42578125" style="140" hidden="1" customWidth="1" outlineLevel="1"/>
    <col min="18" max="18" width="4.28515625" style="140" hidden="1" customWidth="1" outlineLevel="1"/>
    <col min="19" max="19" width="37.85546875" style="140" hidden="1" customWidth="1" outlineLevel="1"/>
    <col min="20" max="20" width="11.42578125" style="7" collapsed="1"/>
    <col min="21" max="21" width="2.42578125" style="140" hidden="1" customWidth="1" outlineLevel="1"/>
    <col min="22" max="22" width="4.28515625" style="140" hidden="1" customWidth="1" outlineLevel="1"/>
    <col min="23" max="23" width="37.85546875" style="140" hidden="1" customWidth="1" outlineLevel="1"/>
    <col min="24" max="24" width="11.42578125" style="7" collapsed="1"/>
    <col min="25" max="25" width="2.42578125" style="140" customWidth="1" outlineLevel="1"/>
    <col min="26" max="26" width="4.28515625" style="140" customWidth="1" outlineLevel="1"/>
    <col min="27" max="27" width="37.85546875" style="140" customWidth="1" outlineLevel="1"/>
    <col min="28" max="28" width="11.42578125" style="7"/>
    <col min="31" max="16384" width="11.42578125" style="7"/>
  </cols>
  <sheetData>
    <row r="1" spans="1:30">
      <c r="A1" s="36"/>
      <c r="B1" s="34"/>
      <c r="C1" s="35"/>
      <c r="D1" s="36"/>
      <c r="E1" s="36"/>
      <c r="F1" s="37" t="s">
        <v>510</v>
      </c>
      <c r="G1" s="36"/>
      <c r="H1" s="36"/>
      <c r="I1" s="36"/>
      <c r="J1" s="36"/>
      <c r="K1" s="36"/>
      <c r="L1" s="122" t="s">
        <v>1059</v>
      </c>
      <c r="M1" s="22"/>
      <c r="N1" s="22"/>
      <c r="O1" s="22"/>
      <c r="P1" s="122" t="s">
        <v>1060</v>
      </c>
      <c r="Q1" s="22"/>
      <c r="R1" s="22"/>
      <c r="S1" s="22"/>
      <c r="T1" s="122" t="s">
        <v>1061</v>
      </c>
      <c r="U1" s="22"/>
      <c r="V1" s="22"/>
      <c r="W1" s="22"/>
      <c r="X1" s="122" t="s">
        <v>1062</v>
      </c>
      <c r="Y1" s="22"/>
      <c r="Z1" s="22"/>
      <c r="AA1" s="22"/>
    </row>
    <row r="2" spans="1:30">
      <c r="A2" s="36"/>
      <c r="B2" s="147"/>
      <c r="C2" s="35" t="s">
        <v>511</v>
      </c>
      <c r="D2" s="147">
        <v>3503</v>
      </c>
      <c r="E2" s="147">
        <v>3504</v>
      </c>
      <c r="F2" s="147">
        <v>3702</v>
      </c>
      <c r="G2" s="147">
        <v>3703</v>
      </c>
      <c r="H2" s="147">
        <v>3506</v>
      </c>
      <c r="I2" s="147">
        <v>3507</v>
      </c>
      <c r="J2" s="147">
        <v>3508</v>
      </c>
      <c r="K2" s="147">
        <v>3706</v>
      </c>
      <c r="L2" s="147">
        <v>3707</v>
      </c>
      <c r="M2" s="23">
        <v>3708</v>
      </c>
      <c r="N2" s="23">
        <v>3709</v>
      </c>
      <c r="O2" s="134">
        <v>3792</v>
      </c>
      <c r="P2" s="147">
        <v>3707</v>
      </c>
      <c r="Q2" s="23">
        <v>3708</v>
      </c>
      <c r="R2" s="23">
        <v>3709</v>
      </c>
      <c r="S2" s="134">
        <v>3792</v>
      </c>
      <c r="T2" s="147">
        <v>3707</v>
      </c>
      <c r="U2" s="23">
        <v>3708</v>
      </c>
      <c r="V2" s="23">
        <v>3709</v>
      </c>
      <c r="W2" s="134">
        <v>3792</v>
      </c>
      <c r="X2" s="147">
        <v>3707</v>
      </c>
      <c r="Y2" s="23">
        <v>3708</v>
      </c>
      <c r="Z2" s="23">
        <v>3709</v>
      </c>
      <c r="AA2" s="134">
        <v>3792</v>
      </c>
    </row>
    <row r="3" spans="1:30" ht="60" customHeight="1">
      <c r="A3" s="36" t="s">
        <v>398</v>
      </c>
      <c r="B3" s="166"/>
      <c r="C3" s="35">
        <v>401</v>
      </c>
      <c r="D3" s="167" t="s">
        <v>514</v>
      </c>
      <c r="E3" s="167" t="s">
        <v>515</v>
      </c>
      <c r="F3" s="132" t="s">
        <v>516</v>
      </c>
      <c r="G3" s="41" t="s">
        <v>517</v>
      </c>
      <c r="H3" s="41" t="s">
        <v>518</v>
      </c>
      <c r="I3" s="41" t="s">
        <v>519</v>
      </c>
      <c r="J3" s="41" t="s">
        <v>520</v>
      </c>
      <c r="K3" s="41" t="s">
        <v>394</v>
      </c>
      <c r="L3" s="177" t="s">
        <v>1326</v>
      </c>
      <c r="M3" s="25" t="s">
        <v>265</v>
      </c>
      <c r="N3" s="25" t="s">
        <v>266</v>
      </c>
      <c r="O3" s="136" t="s">
        <v>548</v>
      </c>
      <c r="P3" s="177" t="s">
        <v>1327</v>
      </c>
      <c r="Q3" s="25" t="s">
        <v>265</v>
      </c>
      <c r="R3" s="25" t="s">
        <v>266</v>
      </c>
      <c r="S3" s="136" t="s">
        <v>548</v>
      </c>
      <c r="T3" s="177" t="s">
        <v>1328</v>
      </c>
      <c r="U3" s="25" t="s">
        <v>265</v>
      </c>
      <c r="V3" s="25" t="s">
        <v>266</v>
      </c>
      <c r="W3" s="136" t="s">
        <v>548</v>
      </c>
      <c r="X3" s="177" t="s">
        <v>1329</v>
      </c>
      <c r="Y3" s="25" t="s">
        <v>265</v>
      </c>
      <c r="Z3" s="25" t="s">
        <v>266</v>
      </c>
      <c r="AA3" s="136" t="s">
        <v>548</v>
      </c>
    </row>
    <row r="4" spans="1:30" ht="12" customHeight="1">
      <c r="A4" s="36"/>
      <c r="B4" s="166"/>
      <c r="C4" s="35">
        <v>662</v>
      </c>
      <c r="D4" s="13"/>
      <c r="E4" s="13"/>
      <c r="F4" s="132" t="s">
        <v>517</v>
      </c>
      <c r="G4" s="132"/>
      <c r="H4" s="132"/>
      <c r="I4" s="132"/>
      <c r="J4" s="132"/>
      <c r="K4" s="132"/>
      <c r="L4" s="177" t="s">
        <v>465</v>
      </c>
      <c r="M4" s="27"/>
      <c r="N4" s="27"/>
      <c r="O4" s="201"/>
      <c r="P4" s="177" t="s">
        <v>465</v>
      </c>
      <c r="Q4" s="27"/>
      <c r="R4" s="27"/>
      <c r="S4" s="201"/>
      <c r="T4" s="177" t="s">
        <v>465</v>
      </c>
      <c r="U4" s="27"/>
      <c r="V4" s="27"/>
      <c r="W4" s="201"/>
      <c r="X4" s="177" t="s">
        <v>465</v>
      </c>
      <c r="Y4" s="27"/>
      <c r="Z4" s="27"/>
      <c r="AA4" s="201"/>
    </row>
    <row r="5" spans="1:30">
      <c r="A5" s="36"/>
      <c r="B5" s="166"/>
      <c r="C5" s="35">
        <v>493</v>
      </c>
      <c r="D5" s="13"/>
      <c r="E5" s="13"/>
      <c r="F5" s="132" t="s">
        <v>520</v>
      </c>
      <c r="G5" s="132"/>
      <c r="H5" s="132"/>
      <c r="I5" s="132"/>
      <c r="J5" s="132"/>
      <c r="K5" s="132"/>
      <c r="L5" s="177">
        <v>1</v>
      </c>
      <c r="M5" s="27"/>
      <c r="N5" s="27"/>
      <c r="O5" s="201"/>
      <c r="P5" s="177">
        <v>1</v>
      </c>
      <c r="Q5" s="27"/>
      <c r="R5" s="27"/>
      <c r="S5" s="201"/>
      <c r="T5" s="177">
        <v>1</v>
      </c>
      <c r="U5" s="27"/>
      <c r="V5" s="27"/>
      <c r="W5" s="201"/>
      <c r="X5" s="177">
        <v>1</v>
      </c>
      <c r="Y5" s="27"/>
      <c r="Z5" s="27"/>
      <c r="AA5" s="201"/>
    </row>
    <row r="6" spans="1:30">
      <c r="A6" s="36"/>
      <c r="B6" s="166"/>
      <c r="C6" s="35">
        <v>403</v>
      </c>
      <c r="D6" s="13"/>
      <c r="E6" s="13"/>
      <c r="F6" s="132" t="s">
        <v>394</v>
      </c>
      <c r="G6" s="352"/>
      <c r="H6" s="132"/>
      <c r="I6" s="132"/>
      <c r="J6" s="132"/>
      <c r="K6" s="132"/>
      <c r="L6" s="177" t="s">
        <v>396</v>
      </c>
      <c r="M6" s="27"/>
      <c r="N6" s="27"/>
      <c r="O6" s="201"/>
      <c r="P6" s="177" t="s">
        <v>396</v>
      </c>
      <c r="Q6" s="27"/>
      <c r="R6" s="27"/>
      <c r="S6" s="201"/>
      <c r="T6" s="177" t="s">
        <v>396</v>
      </c>
      <c r="U6" s="27"/>
      <c r="V6" s="27"/>
      <c r="W6" s="201"/>
      <c r="X6" s="177" t="s">
        <v>396</v>
      </c>
      <c r="Y6" s="27"/>
      <c r="Z6" s="27"/>
      <c r="AA6" s="201"/>
    </row>
    <row r="7" spans="1:30" s="666" customFormat="1" ht="24">
      <c r="A7" s="653" t="s">
        <v>1059</v>
      </c>
      <c r="B7" s="654"/>
      <c r="C7" s="655"/>
      <c r="D7" s="656" t="s">
        <v>402</v>
      </c>
      <c r="E7" s="657">
        <v>0</v>
      </c>
      <c r="F7" s="658" t="s">
        <v>1326</v>
      </c>
      <c r="G7" s="659" t="s">
        <v>465</v>
      </c>
      <c r="H7" s="660" t="s">
        <v>402</v>
      </c>
      <c r="I7" s="660" t="s">
        <v>402</v>
      </c>
      <c r="J7" s="661">
        <v>1</v>
      </c>
      <c r="K7" s="659" t="s">
        <v>396</v>
      </c>
      <c r="L7" s="662">
        <v>1</v>
      </c>
      <c r="M7" s="663"/>
      <c r="N7" s="664"/>
      <c r="O7" s="665"/>
      <c r="P7" s="662">
        <v>0</v>
      </c>
      <c r="Q7" s="663"/>
      <c r="R7" s="664"/>
      <c r="S7" s="665"/>
      <c r="T7" s="662">
        <v>0</v>
      </c>
      <c r="U7" s="663"/>
      <c r="V7" s="664"/>
      <c r="W7" s="665"/>
      <c r="X7" s="662">
        <v>0</v>
      </c>
      <c r="Y7" s="663"/>
      <c r="Z7" s="664"/>
      <c r="AA7" s="665"/>
      <c r="AC7" s="667"/>
      <c r="AD7" s="667"/>
    </row>
    <row r="8" spans="1:30" s="666" customFormat="1" ht="24">
      <c r="A8" s="653" t="s">
        <v>1060</v>
      </c>
      <c r="B8" s="654"/>
      <c r="C8" s="655"/>
      <c r="D8" s="656" t="s">
        <v>402</v>
      </c>
      <c r="E8" s="657">
        <v>0</v>
      </c>
      <c r="F8" s="658" t="s">
        <v>1327</v>
      </c>
      <c r="G8" s="659" t="s">
        <v>465</v>
      </c>
      <c r="H8" s="660" t="s">
        <v>402</v>
      </c>
      <c r="I8" s="660" t="s">
        <v>402</v>
      </c>
      <c r="J8" s="661">
        <v>1</v>
      </c>
      <c r="K8" s="659" t="s">
        <v>396</v>
      </c>
      <c r="L8" s="662">
        <v>0</v>
      </c>
      <c r="M8" s="663"/>
      <c r="N8" s="664"/>
      <c r="O8" s="665"/>
      <c r="P8" s="662">
        <v>1</v>
      </c>
      <c r="Q8" s="663"/>
      <c r="R8" s="664"/>
      <c r="S8" s="665"/>
      <c r="T8" s="662">
        <v>0</v>
      </c>
      <c r="U8" s="663"/>
      <c r="V8" s="664"/>
      <c r="W8" s="665"/>
      <c r="X8" s="662">
        <v>0</v>
      </c>
      <c r="Y8" s="663"/>
      <c r="Z8" s="664"/>
      <c r="AA8" s="665"/>
      <c r="AC8" s="667"/>
      <c r="AD8" s="667"/>
    </row>
    <row r="9" spans="1:30" s="666" customFormat="1" ht="24">
      <c r="A9" s="653" t="s">
        <v>1061</v>
      </c>
      <c r="B9" s="654"/>
      <c r="C9" s="655"/>
      <c r="D9" s="656" t="s">
        <v>402</v>
      </c>
      <c r="E9" s="657">
        <v>0</v>
      </c>
      <c r="F9" s="658" t="s">
        <v>1328</v>
      </c>
      <c r="G9" s="659" t="s">
        <v>465</v>
      </c>
      <c r="H9" s="660" t="s">
        <v>402</v>
      </c>
      <c r="I9" s="660" t="s">
        <v>402</v>
      </c>
      <c r="J9" s="661">
        <v>1</v>
      </c>
      <c r="K9" s="659" t="s">
        <v>396</v>
      </c>
      <c r="L9" s="662">
        <v>0</v>
      </c>
      <c r="M9" s="663"/>
      <c r="N9" s="664"/>
      <c r="O9" s="665"/>
      <c r="P9" s="662">
        <v>0</v>
      </c>
      <c r="Q9" s="663"/>
      <c r="R9" s="664"/>
      <c r="S9" s="665"/>
      <c r="T9" s="662">
        <v>1</v>
      </c>
      <c r="U9" s="663"/>
      <c r="V9" s="664"/>
      <c r="W9" s="665"/>
      <c r="X9" s="662">
        <v>0</v>
      </c>
      <c r="Y9" s="663"/>
      <c r="Z9" s="664"/>
      <c r="AA9" s="665"/>
      <c r="AC9" s="667"/>
      <c r="AD9" s="667"/>
    </row>
    <row r="10" spans="1:30" s="666" customFormat="1" ht="24">
      <c r="A10" s="653" t="s">
        <v>1062</v>
      </c>
      <c r="B10" s="654"/>
      <c r="C10" s="655"/>
      <c r="D10" s="656" t="s">
        <v>402</v>
      </c>
      <c r="E10" s="657">
        <v>0</v>
      </c>
      <c r="F10" s="658" t="s">
        <v>1329</v>
      </c>
      <c r="G10" s="659" t="s">
        <v>465</v>
      </c>
      <c r="H10" s="660" t="s">
        <v>402</v>
      </c>
      <c r="I10" s="660" t="s">
        <v>402</v>
      </c>
      <c r="J10" s="661">
        <v>1</v>
      </c>
      <c r="K10" s="659" t="s">
        <v>396</v>
      </c>
      <c r="L10" s="662">
        <v>0</v>
      </c>
      <c r="M10" s="663"/>
      <c r="N10" s="664"/>
      <c r="O10" s="665"/>
      <c r="P10" s="662">
        <v>0</v>
      </c>
      <c r="Q10" s="663"/>
      <c r="R10" s="664"/>
      <c r="S10" s="665"/>
      <c r="T10" s="662">
        <v>0</v>
      </c>
      <c r="U10" s="663"/>
      <c r="V10" s="664"/>
      <c r="W10" s="665"/>
      <c r="X10" s="662">
        <v>1</v>
      </c>
      <c r="Y10" s="663"/>
      <c r="Z10" s="664"/>
      <c r="AA10" s="665"/>
      <c r="AC10" s="667"/>
      <c r="AD10" s="667"/>
    </row>
    <row r="11" spans="1:30" ht="12.75">
      <c r="A11" s="38">
        <v>1624</v>
      </c>
      <c r="B11" s="37"/>
      <c r="C11" s="151" t="s">
        <v>525</v>
      </c>
      <c r="D11" s="152" t="s">
        <v>526</v>
      </c>
      <c r="E11" s="153" t="s">
        <v>402</v>
      </c>
      <c r="F11" s="144" t="s">
        <v>1123</v>
      </c>
      <c r="G11" s="125" t="s">
        <v>521</v>
      </c>
      <c r="H11" s="154" t="s">
        <v>402</v>
      </c>
      <c r="I11" s="123" t="s">
        <v>402</v>
      </c>
      <c r="J11" s="124">
        <v>1</v>
      </c>
      <c r="K11" s="125" t="s">
        <v>396</v>
      </c>
      <c r="L11" s="155">
        <v>0</v>
      </c>
      <c r="M11" s="29">
        <v>1</v>
      </c>
      <c r="N11" s="1">
        <v>3.2711933904312551</v>
      </c>
      <c r="O11" s="31" t="s">
        <v>1330</v>
      </c>
      <c r="P11" s="155">
        <v>0</v>
      </c>
      <c r="Q11" s="29">
        <v>1</v>
      </c>
      <c r="R11" s="1">
        <v>3.2711933904312551</v>
      </c>
      <c r="S11" s="31" t="s">
        <v>1330</v>
      </c>
      <c r="T11" s="155">
        <v>0</v>
      </c>
      <c r="U11" s="29">
        <v>1</v>
      </c>
      <c r="V11" s="1">
        <v>3.2711933904312551</v>
      </c>
      <c r="W11" s="31" t="s">
        <v>1330</v>
      </c>
      <c r="X11" s="155">
        <v>0</v>
      </c>
      <c r="Y11" s="29">
        <v>1</v>
      </c>
      <c r="Z11" s="1">
        <v>3.2711933904312551</v>
      </c>
      <c r="AA11" s="31" t="s">
        <v>1330</v>
      </c>
    </row>
    <row r="12" spans="1:30" ht="12.75">
      <c r="A12" s="4">
        <v>1623</v>
      </c>
      <c r="B12" s="37"/>
      <c r="C12" s="151" t="s">
        <v>525</v>
      </c>
      <c r="D12" s="152" t="s">
        <v>526</v>
      </c>
      <c r="E12" s="153" t="s">
        <v>402</v>
      </c>
      <c r="F12" s="144" t="s">
        <v>1294</v>
      </c>
      <c r="G12" s="125" t="s">
        <v>521</v>
      </c>
      <c r="H12" s="154" t="s">
        <v>402</v>
      </c>
      <c r="I12" s="123" t="s">
        <v>402</v>
      </c>
      <c r="J12" s="124">
        <v>1</v>
      </c>
      <c r="K12" s="125" t="s">
        <v>396</v>
      </c>
      <c r="L12" s="155">
        <v>0</v>
      </c>
      <c r="M12" s="29">
        <v>1</v>
      </c>
      <c r="N12" s="1">
        <v>3.2711933904312551</v>
      </c>
      <c r="O12" s="31" t="s">
        <v>1330</v>
      </c>
      <c r="P12" s="155">
        <v>0</v>
      </c>
      <c r="Q12" s="29">
        <v>1</v>
      </c>
      <c r="R12" s="1">
        <v>3.2711933904312551</v>
      </c>
      <c r="S12" s="31" t="s">
        <v>1330</v>
      </c>
      <c r="T12" s="155">
        <v>0</v>
      </c>
      <c r="U12" s="29">
        <v>1</v>
      </c>
      <c r="V12" s="1">
        <v>3.2711933904312551</v>
      </c>
      <c r="W12" s="31" t="s">
        <v>1330</v>
      </c>
      <c r="X12" s="155">
        <v>0</v>
      </c>
      <c r="Y12" s="29">
        <v>1</v>
      </c>
      <c r="Z12" s="1">
        <v>3.2711933904312551</v>
      </c>
      <c r="AA12" s="31" t="s">
        <v>1330</v>
      </c>
    </row>
    <row r="13" spans="1:30" ht="12.75">
      <c r="A13" s="38">
        <v>1522</v>
      </c>
      <c r="B13" s="37" t="s">
        <v>658</v>
      </c>
      <c r="C13" s="151" t="s">
        <v>525</v>
      </c>
      <c r="D13" s="152" t="s">
        <v>526</v>
      </c>
      <c r="E13" s="153" t="s">
        <v>402</v>
      </c>
      <c r="F13" s="144" t="s">
        <v>1296</v>
      </c>
      <c r="G13" s="125" t="s">
        <v>521</v>
      </c>
      <c r="H13" s="154" t="s">
        <v>402</v>
      </c>
      <c r="I13" s="123" t="s">
        <v>402</v>
      </c>
      <c r="J13" s="124">
        <v>1</v>
      </c>
      <c r="K13" s="125" t="s">
        <v>396</v>
      </c>
      <c r="L13" s="155">
        <v>0</v>
      </c>
      <c r="M13" s="29">
        <v>1</v>
      </c>
      <c r="N13" s="1">
        <v>3.2711933904312551</v>
      </c>
      <c r="O13" s="31" t="s">
        <v>1330</v>
      </c>
      <c r="P13" s="155">
        <v>0</v>
      </c>
      <c r="Q13" s="29">
        <v>1</v>
      </c>
      <c r="R13" s="1">
        <v>3.2711933904312551</v>
      </c>
      <c r="S13" s="31" t="s">
        <v>1330</v>
      </c>
      <c r="T13" s="155">
        <v>0</v>
      </c>
      <c r="U13" s="29">
        <v>1</v>
      </c>
      <c r="V13" s="1">
        <v>3.2711933904312551</v>
      </c>
      <c r="W13" s="31" t="s">
        <v>1330</v>
      </c>
      <c r="X13" s="155">
        <v>0</v>
      </c>
      <c r="Y13" s="29">
        <v>1</v>
      </c>
      <c r="Z13" s="1">
        <v>3.2711933904312551</v>
      </c>
      <c r="AA13" s="31" t="s">
        <v>1330</v>
      </c>
    </row>
    <row r="14" spans="1:30" ht="12.75">
      <c r="A14" s="4">
        <v>1521</v>
      </c>
      <c r="B14" s="37"/>
      <c r="C14" s="151" t="s">
        <v>525</v>
      </c>
      <c r="D14" s="152" t="s">
        <v>526</v>
      </c>
      <c r="E14" s="153" t="s">
        <v>402</v>
      </c>
      <c r="F14" s="144" t="s">
        <v>1295</v>
      </c>
      <c r="G14" s="125" t="s">
        <v>521</v>
      </c>
      <c r="H14" s="154" t="s">
        <v>402</v>
      </c>
      <c r="I14" s="123" t="s">
        <v>402</v>
      </c>
      <c r="J14" s="124">
        <v>1</v>
      </c>
      <c r="K14" s="125" t="s">
        <v>396</v>
      </c>
      <c r="L14" s="155">
        <v>0</v>
      </c>
      <c r="M14" s="29">
        <v>1</v>
      </c>
      <c r="N14" s="1">
        <v>3.2711933904312551</v>
      </c>
      <c r="O14" s="31" t="s">
        <v>1330</v>
      </c>
      <c r="P14" s="155">
        <v>0</v>
      </c>
      <c r="Q14" s="29">
        <v>1</v>
      </c>
      <c r="R14" s="1">
        <v>3.2711933904312551</v>
      </c>
      <c r="S14" s="31" t="s">
        <v>1330</v>
      </c>
      <c r="T14" s="155">
        <v>0</v>
      </c>
      <c r="U14" s="29">
        <v>1</v>
      </c>
      <c r="V14" s="1">
        <v>3.2711933904312551</v>
      </c>
      <c r="W14" s="31" t="s">
        <v>1330</v>
      </c>
      <c r="X14" s="155">
        <v>0</v>
      </c>
      <c r="Y14" s="29">
        <v>1</v>
      </c>
      <c r="Z14" s="1">
        <v>3.2711933904312551</v>
      </c>
      <c r="AA14" s="31" t="s">
        <v>1330</v>
      </c>
    </row>
    <row r="15" spans="1:30" ht="12.75">
      <c r="A15" s="478" t="s">
        <v>889</v>
      </c>
      <c r="B15" s="37"/>
      <c r="C15" s="151" t="s">
        <v>525</v>
      </c>
      <c r="D15" s="152" t="s">
        <v>526</v>
      </c>
      <c r="E15" s="153" t="s">
        <v>402</v>
      </c>
      <c r="F15" s="144" t="s">
        <v>1123</v>
      </c>
      <c r="G15" s="125" t="s">
        <v>465</v>
      </c>
      <c r="H15" s="154" t="s">
        <v>402</v>
      </c>
      <c r="I15" s="123" t="s">
        <v>402</v>
      </c>
      <c r="J15" s="124">
        <v>1</v>
      </c>
      <c r="K15" s="125" t="s">
        <v>396</v>
      </c>
      <c r="L15" s="155">
        <v>0</v>
      </c>
      <c r="M15" s="29">
        <v>1</v>
      </c>
      <c r="N15" s="1">
        <v>3.2711933904312551</v>
      </c>
      <c r="O15" s="31" t="s">
        <v>1331</v>
      </c>
      <c r="P15" s="155">
        <v>0</v>
      </c>
      <c r="Q15" s="29">
        <v>1</v>
      </c>
      <c r="R15" s="1">
        <v>3.2711933904312551</v>
      </c>
      <c r="S15" s="31" t="s">
        <v>1331</v>
      </c>
      <c r="T15" s="155">
        <v>0.43884524196922509</v>
      </c>
      <c r="U15" s="29">
        <v>1</v>
      </c>
      <c r="V15" s="1">
        <v>3.2711933904312551</v>
      </c>
      <c r="W15" s="31" t="s">
        <v>1331</v>
      </c>
      <c r="X15" s="155">
        <v>0</v>
      </c>
      <c r="Y15" s="29">
        <v>1</v>
      </c>
      <c r="Z15" s="1">
        <v>3.2711933904312551</v>
      </c>
      <c r="AA15" s="31" t="s">
        <v>1331</v>
      </c>
    </row>
    <row r="16" spans="1:30" ht="12.75">
      <c r="A16" s="478" t="s">
        <v>890</v>
      </c>
      <c r="B16" s="37"/>
      <c r="C16" s="151" t="s">
        <v>525</v>
      </c>
      <c r="D16" s="152" t="s">
        <v>526</v>
      </c>
      <c r="E16" s="153" t="s">
        <v>402</v>
      </c>
      <c r="F16" s="144" t="s">
        <v>1294</v>
      </c>
      <c r="G16" s="125" t="s">
        <v>465</v>
      </c>
      <c r="H16" s="154" t="s">
        <v>402</v>
      </c>
      <c r="I16" s="123" t="s">
        <v>402</v>
      </c>
      <c r="J16" s="124">
        <v>1</v>
      </c>
      <c r="K16" s="125" t="s">
        <v>396</v>
      </c>
      <c r="L16" s="155">
        <v>0</v>
      </c>
      <c r="M16" s="29">
        <v>1</v>
      </c>
      <c r="N16" s="1">
        <v>3.2711933904312551</v>
      </c>
      <c r="O16" s="31" t="s">
        <v>1331</v>
      </c>
      <c r="P16" s="155">
        <v>0</v>
      </c>
      <c r="Q16" s="29">
        <v>1</v>
      </c>
      <c r="R16" s="1">
        <v>3.2711933904312551</v>
      </c>
      <c r="S16" s="31" t="s">
        <v>1331</v>
      </c>
      <c r="T16" s="155">
        <v>0</v>
      </c>
      <c r="U16" s="29">
        <v>1</v>
      </c>
      <c r="V16" s="1">
        <v>3.2711933904312551</v>
      </c>
      <c r="W16" s="31" t="s">
        <v>1331</v>
      </c>
      <c r="X16" s="155">
        <v>0.43884524196922509</v>
      </c>
      <c r="Y16" s="29">
        <v>1</v>
      </c>
      <c r="Z16" s="1">
        <v>3.2711933904312551</v>
      </c>
      <c r="AA16" s="31" t="s">
        <v>1331</v>
      </c>
    </row>
    <row r="17" spans="1:27" ht="12.75">
      <c r="A17" s="485" t="s">
        <v>891</v>
      </c>
      <c r="B17" s="37"/>
      <c r="C17" s="151" t="s">
        <v>525</v>
      </c>
      <c r="D17" s="152" t="s">
        <v>526</v>
      </c>
      <c r="E17" s="153" t="s">
        <v>402</v>
      </c>
      <c r="F17" s="144" t="s">
        <v>1296</v>
      </c>
      <c r="G17" s="125" t="s">
        <v>465</v>
      </c>
      <c r="H17" s="154" t="s">
        <v>402</v>
      </c>
      <c r="I17" s="123" t="s">
        <v>402</v>
      </c>
      <c r="J17" s="124">
        <v>1</v>
      </c>
      <c r="K17" s="125" t="s">
        <v>396</v>
      </c>
      <c r="L17" s="155">
        <v>0.43884524196922509</v>
      </c>
      <c r="M17" s="29">
        <v>1</v>
      </c>
      <c r="N17" s="1">
        <v>3.2711933904312551</v>
      </c>
      <c r="O17" s="31" t="s">
        <v>1331</v>
      </c>
      <c r="P17" s="155">
        <v>0</v>
      </c>
      <c r="Q17" s="29">
        <v>1</v>
      </c>
      <c r="R17" s="1">
        <v>3.2711933904312551</v>
      </c>
      <c r="S17" s="31" t="s">
        <v>1331</v>
      </c>
      <c r="T17" s="155">
        <v>0</v>
      </c>
      <c r="U17" s="29">
        <v>1</v>
      </c>
      <c r="V17" s="1">
        <v>3.2711933904312551</v>
      </c>
      <c r="W17" s="31" t="s">
        <v>1331</v>
      </c>
      <c r="X17" s="155">
        <v>0</v>
      </c>
      <c r="Y17" s="29">
        <v>1</v>
      </c>
      <c r="Z17" s="1">
        <v>3.2711933904312551</v>
      </c>
      <c r="AA17" s="31" t="s">
        <v>1331</v>
      </c>
    </row>
    <row r="18" spans="1:27" ht="12.75">
      <c r="A18" s="485" t="s">
        <v>892</v>
      </c>
      <c r="B18" s="37"/>
      <c r="C18" s="151" t="s">
        <v>525</v>
      </c>
      <c r="D18" s="152" t="s">
        <v>526</v>
      </c>
      <c r="E18" s="153" t="s">
        <v>402</v>
      </c>
      <c r="F18" s="144" t="s">
        <v>1295</v>
      </c>
      <c r="G18" s="125" t="s">
        <v>465</v>
      </c>
      <c r="H18" s="154" t="s">
        <v>402</v>
      </c>
      <c r="I18" s="123" t="s">
        <v>402</v>
      </c>
      <c r="J18" s="124">
        <v>1</v>
      </c>
      <c r="K18" s="125" t="s">
        <v>396</v>
      </c>
      <c r="L18" s="155">
        <v>0</v>
      </c>
      <c r="M18" s="29">
        <v>1</v>
      </c>
      <c r="N18" s="1">
        <v>3.2711933904312551</v>
      </c>
      <c r="O18" s="31" t="s">
        <v>1331</v>
      </c>
      <c r="P18" s="155">
        <v>0.43884524196922509</v>
      </c>
      <c r="Q18" s="29">
        <v>1</v>
      </c>
      <c r="R18" s="1">
        <v>3.2711933904312551</v>
      </c>
      <c r="S18" s="31" t="s">
        <v>1331</v>
      </c>
      <c r="T18" s="155">
        <v>0</v>
      </c>
      <c r="U18" s="29">
        <v>1</v>
      </c>
      <c r="V18" s="1">
        <v>3.2711933904312551</v>
      </c>
      <c r="W18" s="31" t="s">
        <v>1331</v>
      </c>
      <c r="X18" s="155">
        <v>0</v>
      </c>
      <c r="Y18" s="29">
        <v>1</v>
      </c>
      <c r="Z18" s="1">
        <v>3.2711933904312551</v>
      </c>
      <c r="AA18" s="31" t="s">
        <v>1331</v>
      </c>
    </row>
    <row r="19" spans="1:27" ht="12.75">
      <c r="A19" s="478" t="s">
        <v>762</v>
      </c>
      <c r="B19" s="37"/>
      <c r="C19" s="151" t="s">
        <v>525</v>
      </c>
      <c r="D19" s="152" t="s">
        <v>526</v>
      </c>
      <c r="E19" s="153" t="s">
        <v>402</v>
      </c>
      <c r="F19" s="144" t="s">
        <v>1123</v>
      </c>
      <c r="G19" s="125" t="s">
        <v>1105</v>
      </c>
      <c r="H19" s="154" t="s">
        <v>402</v>
      </c>
      <c r="I19" s="123" t="s">
        <v>402</v>
      </c>
      <c r="J19" s="124">
        <v>1</v>
      </c>
      <c r="K19" s="125" t="s">
        <v>396</v>
      </c>
      <c r="L19" s="155">
        <v>0</v>
      </c>
      <c r="M19" s="29">
        <v>1</v>
      </c>
      <c r="N19" s="1">
        <v>3.2711933904312551</v>
      </c>
      <c r="O19" s="31" t="s">
        <v>1332</v>
      </c>
      <c r="P19" s="155">
        <v>0</v>
      </c>
      <c r="Q19" s="29">
        <v>1</v>
      </c>
      <c r="R19" s="1">
        <v>3.2711933904312551</v>
      </c>
      <c r="S19" s="31" t="s">
        <v>1332</v>
      </c>
      <c r="T19" s="155">
        <v>0.56115475803077497</v>
      </c>
      <c r="U19" s="29">
        <v>1</v>
      </c>
      <c r="V19" s="1">
        <v>3.2711933904312551</v>
      </c>
      <c r="W19" s="31" t="s">
        <v>1332</v>
      </c>
      <c r="X19" s="155">
        <v>0</v>
      </c>
      <c r="Y19" s="29">
        <v>1</v>
      </c>
      <c r="Z19" s="1">
        <v>3.2711933904312551</v>
      </c>
      <c r="AA19" s="31" t="s">
        <v>1332</v>
      </c>
    </row>
    <row r="20" spans="1:27" ht="12.75">
      <c r="A20" s="478" t="s">
        <v>763</v>
      </c>
      <c r="B20" s="37"/>
      <c r="C20" s="151" t="s">
        <v>525</v>
      </c>
      <c r="D20" s="152" t="s">
        <v>526</v>
      </c>
      <c r="E20" s="153" t="s">
        <v>402</v>
      </c>
      <c r="F20" s="144" t="s">
        <v>1294</v>
      </c>
      <c r="G20" s="125" t="s">
        <v>1105</v>
      </c>
      <c r="H20" s="154" t="s">
        <v>402</v>
      </c>
      <c r="I20" s="123" t="s">
        <v>402</v>
      </c>
      <c r="J20" s="124">
        <v>1</v>
      </c>
      <c r="K20" s="125" t="s">
        <v>396</v>
      </c>
      <c r="L20" s="155">
        <v>0</v>
      </c>
      <c r="M20" s="29">
        <v>1</v>
      </c>
      <c r="N20" s="1">
        <v>3.2711933904312551</v>
      </c>
      <c r="O20" s="31" t="s">
        <v>1332</v>
      </c>
      <c r="P20" s="155">
        <v>0</v>
      </c>
      <c r="Q20" s="29">
        <v>1</v>
      </c>
      <c r="R20" s="1">
        <v>3.2711933904312551</v>
      </c>
      <c r="S20" s="31" t="s">
        <v>1332</v>
      </c>
      <c r="T20" s="155">
        <v>0</v>
      </c>
      <c r="U20" s="155">
        <v>0</v>
      </c>
      <c r="V20" s="155">
        <v>0</v>
      </c>
      <c r="W20" s="155">
        <v>0</v>
      </c>
      <c r="X20" s="155">
        <v>0.56115475803077497</v>
      </c>
      <c r="Y20" s="29">
        <v>1</v>
      </c>
      <c r="Z20" s="1">
        <v>3.2711933904312551</v>
      </c>
      <c r="AA20" s="31" t="s">
        <v>1332</v>
      </c>
    </row>
    <row r="21" spans="1:27" ht="12.75">
      <c r="A21" s="485" t="s">
        <v>780</v>
      </c>
      <c r="B21" s="37"/>
      <c r="C21" s="151" t="s">
        <v>525</v>
      </c>
      <c r="D21" s="152" t="s">
        <v>526</v>
      </c>
      <c r="E21" s="153" t="s">
        <v>402</v>
      </c>
      <c r="F21" s="144" t="s">
        <v>1296</v>
      </c>
      <c r="G21" s="125" t="s">
        <v>1105</v>
      </c>
      <c r="H21" s="154" t="s">
        <v>402</v>
      </c>
      <c r="I21" s="123" t="s">
        <v>402</v>
      </c>
      <c r="J21" s="124">
        <v>1</v>
      </c>
      <c r="K21" s="125" t="s">
        <v>396</v>
      </c>
      <c r="L21" s="155">
        <v>0.56115475803077497</v>
      </c>
      <c r="M21" s="29">
        <v>1</v>
      </c>
      <c r="N21" s="1">
        <v>3.2711933904312551</v>
      </c>
      <c r="O21" s="31" t="s">
        <v>1332</v>
      </c>
      <c r="P21" s="155">
        <v>0</v>
      </c>
      <c r="Q21" s="29">
        <v>1</v>
      </c>
      <c r="R21" s="1">
        <v>3.2711933904312551</v>
      </c>
      <c r="S21" s="31" t="s">
        <v>1332</v>
      </c>
      <c r="T21" s="155">
        <v>0</v>
      </c>
      <c r="U21" s="29">
        <v>1</v>
      </c>
      <c r="V21" s="1">
        <v>3.2711933904312551</v>
      </c>
      <c r="W21" s="31" t="s">
        <v>1332</v>
      </c>
      <c r="X21" s="155">
        <v>0</v>
      </c>
      <c r="Y21" s="29">
        <v>1</v>
      </c>
      <c r="Z21" s="1">
        <v>3.2711933904312551</v>
      </c>
      <c r="AA21" s="31" t="s">
        <v>1332</v>
      </c>
    </row>
    <row r="22" spans="1:27" ht="12.75">
      <c r="A22" s="485" t="s">
        <v>781</v>
      </c>
      <c r="B22" s="37"/>
      <c r="C22" s="151" t="s">
        <v>525</v>
      </c>
      <c r="D22" s="152" t="s">
        <v>526</v>
      </c>
      <c r="E22" s="153" t="s">
        <v>402</v>
      </c>
      <c r="F22" s="144" t="s">
        <v>1295</v>
      </c>
      <c r="G22" s="125" t="s">
        <v>1105</v>
      </c>
      <c r="H22" s="154" t="s">
        <v>402</v>
      </c>
      <c r="I22" s="123" t="s">
        <v>402</v>
      </c>
      <c r="J22" s="124">
        <v>1</v>
      </c>
      <c r="K22" s="125" t="s">
        <v>396</v>
      </c>
      <c r="L22" s="155">
        <v>0</v>
      </c>
      <c r="M22" s="29">
        <v>1</v>
      </c>
      <c r="N22" s="1">
        <v>3.2711933904312551</v>
      </c>
      <c r="O22" s="31" t="s">
        <v>1332</v>
      </c>
      <c r="P22" s="155">
        <v>0.56115475803077497</v>
      </c>
      <c r="Q22" s="29">
        <v>1</v>
      </c>
      <c r="R22" s="1">
        <v>3.2711933904312551</v>
      </c>
      <c r="S22" s="31" t="s">
        <v>1332</v>
      </c>
      <c r="T22" s="155">
        <v>0</v>
      </c>
      <c r="U22" s="29">
        <v>1</v>
      </c>
      <c r="V22" s="1">
        <v>3.2711933904312551</v>
      </c>
      <c r="W22" s="31" t="s">
        <v>1332</v>
      </c>
      <c r="X22" s="155">
        <v>0</v>
      </c>
      <c r="Y22" s="29">
        <v>1</v>
      </c>
      <c r="Z22" s="1">
        <v>3.2711933904312551</v>
      </c>
      <c r="AA22" s="31" t="s">
        <v>1332</v>
      </c>
    </row>
    <row r="23" spans="1:27" ht="12.75">
      <c r="A23" s="478" t="s">
        <v>893</v>
      </c>
      <c r="B23" s="37"/>
      <c r="C23" s="151" t="s">
        <v>525</v>
      </c>
      <c r="D23" s="152" t="s">
        <v>526</v>
      </c>
      <c r="E23" s="153" t="s">
        <v>402</v>
      </c>
      <c r="F23" s="144" t="s">
        <v>1123</v>
      </c>
      <c r="G23" s="125" t="s">
        <v>956</v>
      </c>
      <c r="H23" s="154" t="s">
        <v>402</v>
      </c>
      <c r="I23" s="123" t="s">
        <v>402</v>
      </c>
      <c r="J23" s="124">
        <v>1</v>
      </c>
      <c r="K23" s="125" t="s">
        <v>396</v>
      </c>
      <c r="L23" s="155">
        <v>0</v>
      </c>
      <c r="M23" s="29">
        <v>1</v>
      </c>
      <c r="N23" s="1">
        <v>3.2711933904312551</v>
      </c>
      <c r="O23" s="31" t="s">
        <v>1333</v>
      </c>
      <c r="P23" s="155">
        <v>0</v>
      </c>
      <c r="Q23" s="29">
        <v>1</v>
      </c>
      <c r="R23" s="1">
        <v>3.2711933904312551</v>
      </c>
      <c r="S23" s="31" t="s">
        <v>1333</v>
      </c>
      <c r="T23" s="155">
        <v>0</v>
      </c>
      <c r="U23" s="29">
        <v>1</v>
      </c>
      <c r="V23" s="1">
        <v>3.2711933904312551</v>
      </c>
      <c r="W23" s="31" t="s">
        <v>1333</v>
      </c>
      <c r="X23" s="155">
        <v>0</v>
      </c>
      <c r="Y23" s="29">
        <v>1</v>
      </c>
      <c r="Z23" s="1">
        <v>3.2711933904312551</v>
      </c>
      <c r="AA23" s="31" t="s">
        <v>1333</v>
      </c>
    </row>
    <row r="24" spans="1:27" ht="12.75">
      <c r="A24" s="478" t="s">
        <v>894</v>
      </c>
      <c r="B24" s="37"/>
      <c r="C24" s="151" t="s">
        <v>525</v>
      </c>
      <c r="D24" s="152" t="s">
        <v>526</v>
      </c>
      <c r="E24" s="153" t="s">
        <v>402</v>
      </c>
      <c r="F24" s="144" t="s">
        <v>1294</v>
      </c>
      <c r="G24" s="125" t="s">
        <v>956</v>
      </c>
      <c r="H24" s="154" t="s">
        <v>402</v>
      </c>
      <c r="I24" s="123" t="s">
        <v>402</v>
      </c>
      <c r="J24" s="124">
        <v>1</v>
      </c>
      <c r="K24" s="125" t="s">
        <v>396</v>
      </c>
      <c r="L24" s="155">
        <v>0</v>
      </c>
      <c r="M24" s="29">
        <v>1</v>
      </c>
      <c r="N24" s="1">
        <v>3.2711933904312551</v>
      </c>
      <c r="O24" s="31" t="s">
        <v>1333</v>
      </c>
      <c r="P24" s="155">
        <v>0</v>
      </c>
      <c r="Q24" s="29">
        <v>1</v>
      </c>
      <c r="R24" s="1">
        <v>3.2711933904312551</v>
      </c>
      <c r="S24" s="31" t="s">
        <v>1333</v>
      </c>
      <c r="T24" s="155">
        <v>0</v>
      </c>
      <c r="U24" s="29">
        <v>1</v>
      </c>
      <c r="V24" s="1">
        <v>3.2711933904312551</v>
      </c>
      <c r="W24" s="31" t="s">
        <v>1333</v>
      </c>
      <c r="X24" s="155">
        <v>0</v>
      </c>
      <c r="Y24" s="29">
        <v>1</v>
      </c>
      <c r="Z24" s="1">
        <v>3.2711933904312551</v>
      </c>
      <c r="AA24" s="31" t="s">
        <v>1333</v>
      </c>
    </row>
    <row r="25" spans="1:27" ht="12.75">
      <c r="A25" s="485" t="s">
        <v>895</v>
      </c>
      <c r="B25" s="37"/>
      <c r="C25" s="151" t="s">
        <v>525</v>
      </c>
      <c r="D25" s="152" t="s">
        <v>526</v>
      </c>
      <c r="E25" s="153" t="s">
        <v>402</v>
      </c>
      <c r="F25" s="144" t="s">
        <v>1296</v>
      </c>
      <c r="G25" s="125" t="s">
        <v>956</v>
      </c>
      <c r="H25" s="154" t="s">
        <v>402</v>
      </c>
      <c r="I25" s="123" t="s">
        <v>402</v>
      </c>
      <c r="J25" s="124">
        <v>1</v>
      </c>
      <c r="K25" s="125" t="s">
        <v>396</v>
      </c>
      <c r="L25" s="155">
        <v>0</v>
      </c>
      <c r="M25" s="29">
        <v>1</v>
      </c>
      <c r="N25" s="1">
        <v>3.2711933904312551</v>
      </c>
      <c r="O25" s="31" t="s">
        <v>1333</v>
      </c>
      <c r="P25" s="155">
        <v>0</v>
      </c>
      <c r="Q25" s="29">
        <v>1</v>
      </c>
      <c r="R25" s="1">
        <v>3.2711933904312551</v>
      </c>
      <c r="S25" s="31" t="s">
        <v>1333</v>
      </c>
      <c r="T25" s="155">
        <v>0</v>
      </c>
      <c r="U25" s="29">
        <v>1</v>
      </c>
      <c r="V25" s="1">
        <v>3.2711933904312551</v>
      </c>
      <c r="W25" s="31" t="s">
        <v>1333</v>
      </c>
      <c r="X25" s="155">
        <v>0</v>
      </c>
      <c r="Y25" s="29">
        <v>1</v>
      </c>
      <c r="Z25" s="1">
        <v>3.2711933904312551</v>
      </c>
      <c r="AA25" s="31" t="s">
        <v>1333</v>
      </c>
    </row>
    <row r="26" spans="1:27" ht="12.75">
      <c r="A26" s="485" t="s">
        <v>896</v>
      </c>
      <c r="B26" s="37"/>
      <c r="C26" s="151" t="s">
        <v>525</v>
      </c>
      <c r="D26" s="152" t="s">
        <v>526</v>
      </c>
      <c r="E26" s="153" t="s">
        <v>402</v>
      </c>
      <c r="F26" s="144" t="s">
        <v>1295</v>
      </c>
      <c r="G26" s="125" t="s">
        <v>956</v>
      </c>
      <c r="H26" s="154" t="s">
        <v>402</v>
      </c>
      <c r="I26" s="123" t="s">
        <v>402</v>
      </c>
      <c r="J26" s="124">
        <v>1</v>
      </c>
      <c r="K26" s="125" t="s">
        <v>396</v>
      </c>
      <c r="L26" s="155">
        <v>0</v>
      </c>
      <c r="M26" s="29">
        <v>1</v>
      </c>
      <c r="N26" s="1">
        <v>3.2711933904312551</v>
      </c>
      <c r="O26" s="31" t="s">
        <v>1333</v>
      </c>
      <c r="P26" s="155">
        <v>0</v>
      </c>
      <c r="Q26" s="29">
        <v>1</v>
      </c>
      <c r="R26" s="1">
        <v>3.2711933904312551</v>
      </c>
      <c r="S26" s="31" t="s">
        <v>1333</v>
      </c>
      <c r="T26" s="155">
        <v>0</v>
      </c>
      <c r="U26" s="29">
        <v>1</v>
      </c>
      <c r="V26" s="1">
        <v>3.2711933904312551</v>
      </c>
      <c r="W26" s="31" t="s">
        <v>1333</v>
      </c>
      <c r="X26" s="155">
        <v>0</v>
      </c>
      <c r="Y26" s="29">
        <v>1</v>
      </c>
      <c r="Z26" s="1">
        <v>3.2711933904312551</v>
      </c>
      <c r="AA26" s="31" t="s">
        <v>1333</v>
      </c>
    </row>
    <row r="27" spans="1:27" ht="24">
      <c r="A27" s="2">
        <v>1824</v>
      </c>
      <c r="B27" s="37" t="s">
        <v>152</v>
      </c>
      <c r="C27" s="151" t="s">
        <v>525</v>
      </c>
      <c r="D27" s="152" t="s">
        <v>526</v>
      </c>
      <c r="E27" s="153" t="s">
        <v>402</v>
      </c>
      <c r="F27" s="144" t="s">
        <v>85</v>
      </c>
      <c r="G27" s="125" t="s">
        <v>86</v>
      </c>
      <c r="H27" s="154" t="s">
        <v>402</v>
      </c>
      <c r="I27" s="123" t="s">
        <v>402</v>
      </c>
      <c r="J27" s="124">
        <v>0</v>
      </c>
      <c r="K27" s="125" t="s">
        <v>397</v>
      </c>
      <c r="L27" s="415">
        <v>228.18950278961043</v>
      </c>
      <c r="M27" s="29">
        <v>1</v>
      </c>
      <c r="N27" s="1">
        <v>2.0949941301068096</v>
      </c>
      <c r="O27" s="31" t="s">
        <v>1335</v>
      </c>
      <c r="P27" s="415">
        <v>228.18950278961043</v>
      </c>
      <c r="Q27" s="29">
        <v>1</v>
      </c>
      <c r="R27" s="1">
        <v>2.0949941301068096</v>
      </c>
      <c r="S27" s="31" t="s">
        <v>1335</v>
      </c>
      <c r="T27" s="415">
        <v>252.93931672403932</v>
      </c>
      <c r="U27" s="29">
        <v>1</v>
      </c>
      <c r="V27" s="1">
        <v>2.0949941301068096</v>
      </c>
      <c r="W27" s="31" t="s">
        <v>1335</v>
      </c>
      <c r="X27" s="415">
        <v>252.93931672403932</v>
      </c>
      <c r="Y27" s="29">
        <v>1</v>
      </c>
      <c r="Z27" s="1">
        <v>2.0949941301068096</v>
      </c>
      <c r="AA27" s="31" t="s">
        <v>1335</v>
      </c>
    </row>
    <row r="28" spans="1:27" ht="12.75">
      <c r="A28" s="157">
        <v>1841</v>
      </c>
      <c r="B28" s="37"/>
      <c r="C28" s="151" t="s">
        <v>525</v>
      </c>
      <c r="D28" s="152" t="s">
        <v>526</v>
      </c>
      <c r="E28" s="153" t="s">
        <v>402</v>
      </c>
      <c r="F28" s="144" t="s">
        <v>62</v>
      </c>
      <c r="G28" s="125" t="s">
        <v>521</v>
      </c>
      <c r="H28" s="154" t="s">
        <v>402</v>
      </c>
      <c r="I28" s="123" t="s">
        <v>402</v>
      </c>
      <c r="J28" s="124">
        <v>0</v>
      </c>
      <c r="K28" s="125" t="s">
        <v>397</v>
      </c>
      <c r="L28" s="415">
        <v>3.9184350614724024</v>
      </c>
      <c r="M28" s="29">
        <v>1</v>
      </c>
      <c r="N28" s="1">
        <v>2.0949941301068096</v>
      </c>
      <c r="O28" s="31" t="s">
        <v>1071</v>
      </c>
      <c r="P28" s="415">
        <v>3.9184350614724024</v>
      </c>
      <c r="Q28" s="29">
        <v>1</v>
      </c>
      <c r="R28" s="1">
        <v>2.0949941301068096</v>
      </c>
      <c r="S28" s="31" t="s">
        <v>1071</v>
      </c>
      <c r="T28" s="415">
        <v>4.3434350614724027</v>
      </c>
      <c r="U28" s="29">
        <v>1</v>
      </c>
      <c r="V28" s="1">
        <v>2.0949941301068096</v>
      </c>
      <c r="W28" s="31" t="s">
        <v>1071</v>
      </c>
      <c r="X28" s="415">
        <v>4.3434350614724027</v>
      </c>
      <c r="Y28" s="29">
        <v>1</v>
      </c>
      <c r="Z28" s="1">
        <v>2.0949941301068096</v>
      </c>
      <c r="AA28" s="31" t="s">
        <v>1071</v>
      </c>
    </row>
    <row r="29" spans="1:27" ht="12.75">
      <c r="A29" s="416">
        <v>2987</v>
      </c>
      <c r="B29" s="37"/>
      <c r="C29" s="151" t="s">
        <v>525</v>
      </c>
      <c r="D29" s="152" t="s">
        <v>526</v>
      </c>
      <c r="E29" s="153" t="s">
        <v>402</v>
      </c>
      <c r="F29" s="144" t="s">
        <v>59</v>
      </c>
      <c r="G29" s="125" t="s">
        <v>521</v>
      </c>
      <c r="H29" s="154" t="s">
        <v>402</v>
      </c>
      <c r="I29" s="123" t="s">
        <v>402</v>
      </c>
      <c r="J29" s="124">
        <v>0</v>
      </c>
      <c r="K29" s="125" t="s">
        <v>397</v>
      </c>
      <c r="L29" s="415">
        <v>0.9796087653681006</v>
      </c>
      <c r="M29" s="29">
        <v>1</v>
      </c>
      <c r="N29" s="1">
        <v>2.0949941301068096</v>
      </c>
      <c r="O29" s="31" t="s">
        <v>60</v>
      </c>
      <c r="P29" s="415">
        <v>0.9796087653681006</v>
      </c>
      <c r="Q29" s="29">
        <v>1</v>
      </c>
      <c r="R29" s="1">
        <v>2.0949941301068096</v>
      </c>
      <c r="S29" s="31" t="s">
        <v>60</v>
      </c>
      <c r="T29" s="415">
        <v>1.0858587653681007</v>
      </c>
      <c r="U29" s="29">
        <v>1</v>
      </c>
      <c r="V29" s="1">
        <v>2.0949941301068096</v>
      </c>
      <c r="W29" s="31" t="s">
        <v>60</v>
      </c>
      <c r="X29" s="415">
        <v>1.0858587653681007</v>
      </c>
      <c r="Y29" s="29">
        <v>1</v>
      </c>
      <c r="Z29" s="1">
        <v>2.0949941301068096</v>
      </c>
      <c r="AA29" s="31" t="s">
        <v>60</v>
      </c>
    </row>
  </sheetData>
  <pageMargins left="0.78740157499999996" right="0.78740157499999996" top="0.984251969" bottom="0.984251969" header="0.4921259845" footer="0.4921259845"/>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5" enableFormatConditionsCalculation="0">
    <tabColor rgb="FFFF0000"/>
    <pageSetUpPr fitToPage="1"/>
  </sheetPr>
  <dimension ref="B1:BD71"/>
  <sheetViews>
    <sheetView zoomScale="75" workbookViewId="0">
      <pane xSplit="13" ySplit="6" topLeftCell="N22" activePane="bottomRight" state="frozen"/>
      <selection activeCell="L25" sqref="L25"/>
      <selection pane="topRight" activeCell="L25" sqref="L25"/>
      <selection pane="bottomLeft" activeCell="L25" sqref="L25"/>
      <selection pane="bottomRight" activeCell="N35" sqref="N35"/>
    </sheetView>
  </sheetViews>
  <sheetFormatPr defaultColWidth="11.42578125" defaultRowHeight="12" outlineLevelRow="1" outlineLevelCol="1"/>
  <cols>
    <col min="1" max="1" width="11.42578125" style="7"/>
    <col min="2" max="2" width="6" style="7" customWidth="1" outlineLevel="1"/>
    <col min="3" max="3" width="13.28515625" style="158" customWidth="1"/>
    <col min="4" max="4" width="3.7109375" style="159" hidden="1" customWidth="1"/>
    <col min="5" max="5" width="3.140625" style="7" hidden="1" customWidth="1"/>
    <col min="6" max="6" width="2.7109375" style="7" hidden="1" customWidth="1"/>
    <col min="7" max="7" width="39.140625" style="8" customWidth="1"/>
    <col min="8" max="8" width="6" style="7" customWidth="1"/>
    <col min="9" max="9" width="5.7109375" style="7" hidden="1" customWidth="1" outlineLevel="1"/>
    <col min="10" max="10" width="19.42578125" style="7" hidden="1" customWidth="1" outlineLevel="1"/>
    <col min="11" max="11" width="3.28515625" style="7" customWidth="1" collapsed="1"/>
    <col min="12" max="12" width="6.42578125" style="7" customWidth="1"/>
    <col min="13" max="13" width="11.42578125" style="7"/>
    <col min="14" max="14" width="2.42578125" style="140" customWidth="1" outlineLevel="1"/>
    <col min="15" max="15" width="4.28515625" style="140" customWidth="1" outlineLevel="1"/>
    <col min="16" max="16" width="37.85546875" style="140" customWidth="1" outlineLevel="1"/>
    <col min="17" max="17" width="11.42578125" style="7"/>
    <col min="18" max="18" width="2.42578125" style="140" hidden="1" customWidth="1" outlineLevel="1"/>
    <col min="19" max="19" width="8.140625" style="140" hidden="1" customWidth="1" outlineLevel="1"/>
    <col min="20" max="20" width="37.85546875" style="140" hidden="1" customWidth="1" outlineLevel="1"/>
    <col min="21" max="21" width="11.42578125" style="7" collapsed="1"/>
    <col min="22" max="22" width="2.42578125" style="140" hidden="1" customWidth="1" outlineLevel="1"/>
    <col min="23" max="23" width="8.140625" style="140" hidden="1" customWidth="1" outlineLevel="1"/>
    <col min="24" max="24" width="37.85546875" style="140" hidden="1" customWidth="1" outlineLevel="1"/>
    <col min="25" max="25" width="10.28515625" style="225" customWidth="1" collapsed="1"/>
    <col min="26" max="29" width="10.28515625" style="225" customWidth="1"/>
    <col min="30" max="31" width="10.28515625" style="174" customWidth="1"/>
    <col min="32" max="34" width="14" style="174" customWidth="1"/>
    <col min="35" max="35" width="19.28515625" style="79" customWidth="1"/>
    <col min="36" max="36" width="4" style="47" bestFit="1" customWidth="1"/>
    <col min="37" max="37" width="6.28515625" style="39" bestFit="1" customWidth="1"/>
    <col min="38" max="38" width="5.85546875" style="39" bestFit="1" customWidth="1"/>
    <col min="39" max="39" width="4.7109375" style="39" bestFit="1" customWidth="1"/>
    <col min="40" max="40" width="5.28515625" style="39" bestFit="1" customWidth="1"/>
    <col min="41" max="41" width="5.85546875" style="39" bestFit="1" customWidth="1"/>
    <col min="42" max="43" width="6.85546875" style="39" bestFit="1" customWidth="1"/>
    <col min="44" max="44" width="8.28515625" style="39" bestFit="1" customWidth="1"/>
    <col min="45" max="45" width="9.140625" style="39" bestFit="1" customWidth="1"/>
    <col min="46" max="46" width="12.140625" style="39" customWidth="1"/>
    <col min="47" max="49" width="5.42578125" style="7" customWidth="1"/>
    <col min="50" max="50" width="5.85546875" style="7" customWidth="1"/>
    <col min="51" max="51" width="5.42578125" style="7" customWidth="1"/>
    <col min="52" max="52" width="5.28515625" style="7" customWidth="1"/>
    <col min="53" max="54" width="11.42578125" style="7"/>
    <col min="57" max="16384" width="11.42578125" style="7"/>
  </cols>
  <sheetData>
    <row r="1" spans="2:56">
      <c r="B1" s="36"/>
      <c r="C1" s="34"/>
      <c r="D1" s="35"/>
      <c r="E1" s="36"/>
      <c r="F1" s="36"/>
      <c r="G1" s="37" t="s">
        <v>510</v>
      </c>
      <c r="H1" s="36"/>
      <c r="I1" s="36"/>
      <c r="J1" s="36"/>
      <c r="K1" s="36"/>
      <c r="L1" s="36"/>
      <c r="M1" s="146">
        <f>B7</f>
        <v>32073</v>
      </c>
      <c r="N1" s="22"/>
      <c r="O1" s="22"/>
      <c r="P1" s="22"/>
      <c r="Q1" s="146">
        <v>32074</v>
      </c>
      <c r="R1" s="22"/>
      <c r="S1" s="22"/>
      <c r="T1" s="22"/>
      <c r="U1" s="146" t="str">
        <f>B9</f>
        <v>407-114</v>
      </c>
      <c r="V1" s="22"/>
      <c r="W1" s="22"/>
      <c r="X1" s="22"/>
      <c r="Y1" s="224"/>
      <c r="Z1" s="229"/>
      <c r="AA1" s="229"/>
      <c r="AB1" s="229"/>
      <c r="AC1" s="229"/>
      <c r="AD1" s="198"/>
      <c r="AE1" s="198"/>
      <c r="AF1" s="198"/>
      <c r="AG1" s="198"/>
      <c r="AH1" s="198"/>
      <c r="AJ1" s="80"/>
      <c r="AK1" s="81"/>
      <c r="AL1" s="81"/>
      <c r="AM1" s="81"/>
      <c r="AN1" s="81"/>
      <c r="AO1" s="81"/>
      <c r="BC1" s="7"/>
      <c r="BD1" s="7"/>
    </row>
    <row r="2" spans="2:56" ht="72">
      <c r="B2" s="36"/>
      <c r="C2" s="147"/>
      <c r="D2" s="35" t="s">
        <v>511</v>
      </c>
      <c r="E2" s="147">
        <v>3503</v>
      </c>
      <c r="F2" s="147">
        <v>3504</v>
      </c>
      <c r="G2" s="147">
        <v>3702</v>
      </c>
      <c r="H2" s="147">
        <v>3703</v>
      </c>
      <c r="I2" s="147">
        <v>3506</v>
      </c>
      <c r="J2" s="147">
        <v>3507</v>
      </c>
      <c r="K2" s="147">
        <v>3508</v>
      </c>
      <c r="L2" s="147">
        <v>3706</v>
      </c>
      <c r="M2" s="147">
        <v>3707</v>
      </c>
      <c r="N2" s="23">
        <v>3708</v>
      </c>
      <c r="O2" s="23">
        <v>3709</v>
      </c>
      <c r="P2" s="134">
        <v>3792</v>
      </c>
      <c r="Q2" s="147">
        <v>3707</v>
      </c>
      <c r="R2" s="23">
        <v>3708</v>
      </c>
      <c r="S2" s="23">
        <v>3709</v>
      </c>
      <c r="T2" s="134">
        <v>3792</v>
      </c>
      <c r="U2" s="147">
        <v>3707</v>
      </c>
      <c r="V2" s="23">
        <v>3708</v>
      </c>
      <c r="W2" s="23">
        <v>3709</v>
      </c>
      <c r="X2" s="134">
        <v>3792</v>
      </c>
      <c r="Y2" s="275" t="s">
        <v>0</v>
      </c>
      <c r="Z2" s="275" t="s">
        <v>473</v>
      </c>
      <c r="AA2" s="275" t="s">
        <v>472</v>
      </c>
      <c r="AB2" s="275" t="s">
        <v>472</v>
      </c>
      <c r="AC2" s="275" t="s">
        <v>467</v>
      </c>
      <c r="AD2" s="275" t="s">
        <v>427</v>
      </c>
      <c r="AE2" s="275" t="s">
        <v>505</v>
      </c>
      <c r="AF2" s="275" t="s">
        <v>776</v>
      </c>
      <c r="AG2" s="275" t="s">
        <v>776</v>
      </c>
      <c r="AH2" s="275" t="s">
        <v>776</v>
      </c>
      <c r="AI2" s="112" t="s">
        <v>264</v>
      </c>
      <c r="AJ2" s="10" t="s">
        <v>249</v>
      </c>
      <c r="AK2" s="10" t="s">
        <v>250</v>
      </c>
      <c r="AL2" s="10" t="s">
        <v>251</v>
      </c>
      <c r="AM2" s="10" t="s">
        <v>252</v>
      </c>
      <c r="AN2" s="10" t="s">
        <v>253</v>
      </c>
      <c r="AO2" s="10" t="s">
        <v>254</v>
      </c>
      <c r="AP2" s="82" t="s">
        <v>255</v>
      </c>
      <c r="AQ2" s="82" t="s">
        <v>256</v>
      </c>
      <c r="AR2" s="11" t="s">
        <v>257</v>
      </c>
      <c r="AS2" s="12" t="s">
        <v>390</v>
      </c>
      <c r="AT2" s="43" t="s">
        <v>263</v>
      </c>
      <c r="AU2" s="40" t="s">
        <v>249</v>
      </c>
      <c r="AV2" s="40" t="s">
        <v>250</v>
      </c>
      <c r="AW2" s="40" t="s">
        <v>251</v>
      </c>
      <c r="AX2" s="40" t="s">
        <v>252</v>
      </c>
      <c r="AY2" s="40" t="s">
        <v>253</v>
      </c>
      <c r="AZ2" s="40" t="s">
        <v>254</v>
      </c>
      <c r="BC2" s="7"/>
      <c r="BD2" s="7"/>
    </row>
    <row r="3" spans="2:56" ht="60" customHeight="1">
      <c r="B3" s="36" t="s">
        <v>398</v>
      </c>
      <c r="C3" s="166"/>
      <c r="D3" s="35">
        <v>401</v>
      </c>
      <c r="E3" s="167" t="s">
        <v>514</v>
      </c>
      <c r="F3" s="167" t="s">
        <v>515</v>
      </c>
      <c r="G3" s="132" t="s">
        <v>516</v>
      </c>
      <c r="H3" s="41" t="s">
        <v>517</v>
      </c>
      <c r="I3" s="41" t="s">
        <v>518</v>
      </c>
      <c r="J3" s="41" t="s">
        <v>519</v>
      </c>
      <c r="K3" s="41" t="s">
        <v>520</v>
      </c>
      <c r="L3" s="41" t="s">
        <v>394</v>
      </c>
      <c r="M3" s="177" t="str">
        <f>INDEX([14]Names!$J$1:$J$65602,MATCH(M$1,[14]Names!$F$1:$F$65602,0),1)</f>
        <v>photovoltaic laminate, CdTe, at plant</v>
      </c>
      <c r="N3" s="25" t="s">
        <v>265</v>
      </c>
      <c r="O3" s="25" t="s">
        <v>266</v>
      </c>
      <c r="P3" s="136" t="s">
        <v>548</v>
      </c>
      <c r="Q3" s="177" t="str">
        <f>INDEX([14]Names!$J$1:$J$65602,MATCH(Q$1,[14]Names!$F$1:$F$65602,0),1)</f>
        <v>photovoltaic laminate, CdTe, at plant</v>
      </c>
      <c r="R3" s="25" t="s">
        <v>265</v>
      </c>
      <c r="S3" s="25" t="s">
        <v>266</v>
      </c>
      <c r="T3" s="136" t="s">
        <v>548</v>
      </c>
      <c r="U3" s="177" t="str">
        <f>INDEX([14]Names!$J$1:$J$65602,MATCH(U$1,[14]Names!$F$1:$F$65602,0),1)</f>
        <v>photovoltaic laminate, CdTe, at plant</v>
      </c>
      <c r="V3" s="25" t="s">
        <v>265</v>
      </c>
      <c r="W3" s="25" t="s">
        <v>266</v>
      </c>
      <c r="X3" s="136" t="s">
        <v>548</v>
      </c>
      <c r="Y3" s="257" t="s">
        <v>1</v>
      </c>
      <c r="Z3" s="257" t="s">
        <v>466</v>
      </c>
      <c r="AA3" s="257" t="s">
        <v>470</v>
      </c>
      <c r="AB3" s="257" t="s">
        <v>471</v>
      </c>
      <c r="AC3" s="257" t="s">
        <v>466</v>
      </c>
      <c r="AD3" s="187" t="s">
        <v>428</v>
      </c>
      <c r="AE3" s="257" t="s">
        <v>466</v>
      </c>
      <c r="AF3" s="257" t="s">
        <v>777</v>
      </c>
      <c r="AG3" s="257" t="s">
        <v>777</v>
      </c>
      <c r="AH3" s="257" t="s">
        <v>777</v>
      </c>
      <c r="AI3" s="113"/>
      <c r="AJ3" s="42"/>
      <c r="AK3" s="10"/>
      <c r="AL3" s="10"/>
      <c r="AM3" s="10"/>
      <c r="AN3" s="10"/>
      <c r="AO3" s="10"/>
      <c r="AP3" s="9"/>
      <c r="AQ3" s="9"/>
      <c r="AR3" s="11" t="s">
        <v>267</v>
      </c>
      <c r="AS3" s="12" t="s">
        <v>267</v>
      </c>
      <c r="AT3" s="83"/>
      <c r="BC3" s="7"/>
      <c r="BD3" s="7"/>
    </row>
    <row r="4" spans="2:56" ht="12" customHeight="1">
      <c r="B4" s="36"/>
      <c r="C4" s="166"/>
      <c r="D4" s="35">
        <v>662</v>
      </c>
      <c r="E4" s="13"/>
      <c r="F4" s="13"/>
      <c r="G4" s="132" t="s">
        <v>517</v>
      </c>
      <c r="H4" s="132"/>
      <c r="I4" s="132"/>
      <c r="J4" s="132"/>
      <c r="K4" s="132"/>
      <c r="L4" s="132"/>
      <c r="M4" s="177" t="str">
        <f>INDEX([14]Names!$K$1:$K$65602,MATCH(M$1,[14]Names!$F$1:$F$65602,0),1)</f>
        <v>US</v>
      </c>
      <c r="N4" s="27"/>
      <c r="O4" s="27"/>
      <c r="P4" s="201"/>
      <c r="Q4" s="177" t="str">
        <f>INDEX([14]Names!$K$1:$K$65602,MATCH(Q$1,[14]Names!$F$1:$F$65602,0),1)</f>
        <v>DE</v>
      </c>
      <c r="R4" s="27"/>
      <c r="S4" s="27"/>
      <c r="T4" s="201"/>
      <c r="U4" s="177" t="str">
        <f>INDEX([14]Names!$K$1:$K$65602,MATCH(U$1,[14]Names!$F$1:$F$65602,0),1)</f>
        <v>MY</v>
      </c>
      <c r="V4" s="27"/>
      <c r="W4" s="27"/>
      <c r="X4" s="201"/>
      <c r="Y4" s="257" t="s">
        <v>465</v>
      </c>
      <c r="Z4" s="257" t="s">
        <v>465</v>
      </c>
      <c r="AA4" s="257" t="s">
        <v>465</v>
      </c>
      <c r="AB4" s="257" t="s">
        <v>465</v>
      </c>
      <c r="AC4" s="257" t="s">
        <v>465</v>
      </c>
      <c r="AD4" s="187"/>
      <c r="AE4" s="187" t="s">
        <v>268</v>
      </c>
      <c r="AF4" s="187" t="s">
        <v>778</v>
      </c>
      <c r="AG4" s="187" t="s">
        <v>465</v>
      </c>
      <c r="AH4" s="187" t="s">
        <v>779</v>
      </c>
      <c r="AI4" s="114"/>
      <c r="AJ4" s="44" t="s">
        <v>269</v>
      </c>
      <c r="AR4" s="45"/>
      <c r="AS4" s="45"/>
      <c r="AT4" s="46"/>
      <c r="BC4" s="7"/>
      <c r="BD4" s="7"/>
    </row>
    <row r="5" spans="2:56">
      <c r="B5" s="36"/>
      <c r="C5" s="166"/>
      <c r="D5" s="35">
        <v>493</v>
      </c>
      <c r="E5" s="13"/>
      <c r="F5" s="13"/>
      <c r="G5" s="132" t="s">
        <v>520</v>
      </c>
      <c r="H5" s="132"/>
      <c r="I5" s="132"/>
      <c r="J5" s="132"/>
      <c r="K5" s="132"/>
      <c r="L5" s="132"/>
      <c r="M5" s="177">
        <f>INDEX([14]Names!$N$1:$N$65602,MATCH(M$1,[14]Names!$F$1:$F$65602,0),1)</f>
        <v>1</v>
      </c>
      <c r="N5" s="27"/>
      <c r="O5" s="27"/>
      <c r="P5" s="201"/>
      <c r="Q5" s="177">
        <f>INDEX([14]Names!$N$1:$N$65602,MATCH(Q$1,[14]Names!$F$1:$F$65602,0),1)</f>
        <v>1</v>
      </c>
      <c r="R5" s="27"/>
      <c r="S5" s="27"/>
      <c r="T5" s="201"/>
      <c r="U5" s="177">
        <f>INDEX([14]Names!$N$1:$N$65602,MATCH(U$1,[14]Names!$F$1:$F$65602,0),1)</f>
        <v>1</v>
      </c>
      <c r="V5" s="27"/>
      <c r="W5" s="27"/>
      <c r="X5" s="201"/>
      <c r="Y5" s="257"/>
      <c r="Z5" s="257"/>
      <c r="AA5" s="257"/>
      <c r="AB5" s="257"/>
      <c r="AC5" s="257"/>
      <c r="AD5" s="187"/>
      <c r="AE5" s="187"/>
      <c r="AF5" s="187"/>
      <c r="AG5" s="187"/>
      <c r="AH5" s="187"/>
      <c r="BC5" s="7"/>
      <c r="BD5" s="7"/>
    </row>
    <row r="6" spans="2:56">
      <c r="B6" s="36"/>
      <c r="C6" s="166"/>
      <c r="D6" s="35">
        <v>403</v>
      </c>
      <c r="E6" s="13"/>
      <c r="F6" s="13"/>
      <c r="G6" s="132" t="s">
        <v>394</v>
      </c>
      <c r="H6" s="352"/>
      <c r="I6" s="132"/>
      <c r="J6" s="132"/>
      <c r="K6" s="132"/>
      <c r="L6" s="132"/>
      <c r="M6" s="177" t="str">
        <f>INDEX([14]Names!$O$1:$O$65602,MATCH(M$1,[14]Names!$F$1:$F$65602,0),1)</f>
        <v>m2</v>
      </c>
      <c r="N6" s="27"/>
      <c r="O6" s="27"/>
      <c r="P6" s="201"/>
      <c r="Q6" s="177" t="str">
        <f>INDEX([14]Names!$O$1:$O$65602,MATCH(Q$1,[14]Names!$F$1:$F$65602,0),1)</f>
        <v>m2</v>
      </c>
      <c r="R6" s="27"/>
      <c r="S6" s="27"/>
      <c r="T6" s="201"/>
      <c r="U6" s="177" t="str">
        <f>INDEX([14]Names!$O$1:$O$65602,MATCH(U$1,[14]Names!$F$1:$F$65602,0),1)</f>
        <v>m2</v>
      </c>
      <c r="V6" s="27"/>
      <c r="W6" s="27"/>
      <c r="X6" s="201"/>
      <c r="Y6" s="257" t="s">
        <v>396</v>
      </c>
      <c r="Z6" s="257" t="s">
        <v>396</v>
      </c>
      <c r="AA6" s="257" t="s">
        <v>396</v>
      </c>
      <c r="AB6" s="257" t="s">
        <v>396</v>
      </c>
      <c r="AC6" s="257" t="s">
        <v>396</v>
      </c>
      <c r="AD6" s="188" t="s">
        <v>522</v>
      </c>
      <c r="AE6" s="188"/>
      <c r="AF6" s="257" t="s">
        <v>396</v>
      </c>
      <c r="AG6" s="257" t="s">
        <v>396</v>
      </c>
      <c r="AH6" s="257" t="s">
        <v>396</v>
      </c>
      <c r="AJ6" s="48"/>
      <c r="AK6" s="48"/>
      <c r="AL6" s="48"/>
      <c r="AM6" s="48"/>
      <c r="AN6" s="48"/>
      <c r="AO6" s="48"/>
      <c r="AR6" s="49"/>
      <c r="AS6" s="49"/>
      <c r="AT6" s="85"/>
      <c r="BC6" s="7"/>
      <c r="BD6" s="7"/>
    </row>
    <row r="7" spans="2:56">
      <c r="B7" s="120">
        <v>32073</v>
      </c>
      <c r="C7" s="168" t="s">
        <v>523</v>
      </c>
      <c r="D7" s="169"/>
      <c r="E7" s="11" t="s">
        <v>402</v>
      </c>
      <c r="F7" s="170">
        <v>0</v>
      </c>
      <c r="G7" s="145" t="str">
        <f>IF(OR(E7="4",F7="4"),INDEX([14]NamesElementary!$B$1:$B$65536,MATCH(B7,[14]NamesElementary!$A$1:$A$65536,0),1),INDEX([14]Names!$J$1:$J$65602,MATCH(B7,[14]Names!$F$1:$F$65602,0),1))</f>
        <v>photovoltaic laminate, CdTe, at plant</v>
      </c>
      <c r="H7" s="16" t="str">
        <f>IF(OR(E7="4",F7="4"),"-",INDEX([14]Names!$K$1:$K$65602,MATCH(B7,[14]Names!$F$1:$F$65602,0),1))</f>
        <v>US</v>
      </c>
      <c r="I7" s="14" t="str">
        <f>IF(OR(E7="4",F7="4"),INDEX([14]NamesElementary!$D$1:$D$65536,MATCH($B7,[14]NamesElementary!$A$1:$A$65536,0),1),"-")</f>
        <v>-</v>
      </c>
      <c r="J7" s="14" t="str">
        <f>IF(OR(E7="4",F7="4"),INDEX([14]NamesElementary!$E$1:$E$65536,MATCH($B7,[14]NamesElementary!$A$1:$A$65536,0),1),"-")</f>
        <v>-</v>
      </c>
      <c r="K7" s="15">
        <f>IF(OR(E7="4",F7="4"),"-",INDEX([14]Names!$N$1:$N$65602,MATCH(B7,[14]Names!$F$1:$F$65602,0),1))</f>
        <v>1</v>
      </c>
      <c r="L7" s="16" t="str">
        <f>IF(OR(E7="4",F7="4"),INDEX([14]NamesElementary!$G$1:$G$65536,MATCH(B7,[14]NamesElementary!$A$1:$A$65536,0),1),INDEX([14]Names!$O$1:$O$65602,MATCH(B7,[14]Names!$F$1:$F$65602,0),1))</f>
        <v>m2</v>
      </c>
      <c r="M7" s="149">
        <v>1</v>
      </c>
      <c r="N7" s="29"/>
      <c r="O7" s="1"/>
      <c r="P7" s="139"/>
      <c r="Q7" s="149" t="s">
        <v>402</v>
      </c>
      <c r="R7" s="29"/>
      <c r="S7" s="1"/>
      <c r="T7" s="139"/>
      <c r="U7" s="149" t="s">
        <v>402</v>
      </c>
      <c r="V7" s="29"/>
      <c r="W7" s="1"/>
      <c r="X7" s="139"/>
      <c r="Y7" s="181"/>
      <c r="Z7" s="258"/>
      <c r="AA7" s="258"/>
      <c r="AB7" s="258"/>
      <c r="AC7" s="258"/>
      <c r="AD7" s="180"/>
      <c r="AE7" s="180"/>
      <c r="AF7" s="180"/>
      <c r="AG7" s="180"/>
      <c r="AH7" s="180"/>
      <c r="AI7" s="115"/>
      <c r="AJ7" s="10"/>
      <c r="AK7" s="50"/>
      <c r="AL7" s="50"/>
      <c r="AM7" s="50"/>
      <c r="AN7" s="50"/>
      <c r="AO7" s="50"/>
      <c r="AP7" s="50"/>
      <c r="AQ7" s="51"/>
      <c r="AR7" s="87"/>
      <c r="AS7" s="88"/>
      <c r="AT7" s="89"/>
      <c r="AU7" s="52"/>
      <c r="AV7" s="52"/>
      <c r="AW7" s="52"/>
      <c r="AX7" s="52"/>
      <c r="AY7" s="52"/>
      <c r="AZ7" s="52"/>
      <c r="BC7" s="7"/>
      <c r="BD7" s="7"/>
    </row>
    <row r="8" spans="2:56">
      <c r="B8" s="120">
        <v>32074</v>
      </c>
      <c r="C8" s="168"/>
      <c r="D8" s="169"/>
      <c r="E8" s="11" t="s">
        <v>402</v>
      </c>
      <c r="F8" s="170">
        <v>0</v>
      </c>
      <c r="G8" s="145" t="str">
        <f>IF(OR(E8="4",F8="4"),INDEX([14]NamesElementary!$B$1:$B$65536,MATCH(B8,[14]NamesElementary!$A$1:$A$65536,0),1),INDEX([14]Names!$J$1:$J$65602,MATCH(B8,[14]Names!$F$1:$F$65602,0),1))</f>
        <v>photovoltaic laminate, CdTe, at plant</v>
      </c>
      <c r="H8" s="16" t="str">
        <f>IF(OR(E8="4",F8="4"),"-",INDEX([14]Names!$K$1:$K$65602,MATCH(B8,[14]Names!$F$1:$F$65602,0),1))</f>
        <v>DE</v>
      </c>
      <c r="I8" s="14" t="str">
        <f>IF(OR(E8="4",F8="4"),INDEX([14]NamesElementary!$D$1:$D$65536,MATCH($B8,[14]NamesElementary!$A$1:$A$65536,0),1),"-")</f>
        <v>-</v>
      </c>
      <c r="J8" s="14" t="str">
        <f>IF(OR(E8="4",F8="4"),INDEX([14]NamesElementary!$E$1:$E$65536,MATCH($B8,[14]NamesElementary!$A$1:$A$65536,0),1),"-")</f>
        <v>-</v>
      </c>
      <c r="K8" s="15">
        <f>IF(OR(E8="4",F8="4"),"-",INDEX([14]Names!$N$1:$N$65602,MATCH(B8,[14]Names!$F$1:$F$65602,0),1))</f>
        <v>1</v>
      </c>
      <c r="L8" s="16" t="str">
        <f>IF(OR(E8="4",F8="4"),INDEX([14]NamesElementary!$G$1:$G$65536,MATCH(B8,[14]NamesElementary!$A$1:$A$65536,0),1),INDEX([14]Names!$O$1:$O$65602,MATCH(B8,[14]Names!$F$1:$F$65602,0),1))</f>
        <v>m2</v>
      </c>
      <c r="M8" s="149" t="s">
        <v>402</v>
      </c>
      <c r="N8" s="29"/>
      <c r="O8" s="1"/>
      <c r="P8" s="139"/>
      <c r="Q8" s="149">
        <v>1</v>
      </c>
      <c r="R8" s="29"/>
      <c r="S8" s="1"/>
      <c r="T8" s="139"/>
      <c r="U8" s="194" t="s">
        <v>402</v>
      </c>
      <c r="V8" s="29"/>
      <c r="W8" s="1"/>
      <c r="X8" s="139"/>
      <c r="Y8" s="181"/>
      <c r="Z8" s="258"/>
      <c r="AA8" s="258"/>
      <c r="AB8" s="258"/>
      <c r="AC8" s="258"/>
      <c r="AD8" s="180"/>
      <c r="AE8" s="180"/>
      <c r="AF8" s="180"/>
      <c r="AG8" s="180"/>
      <c r="AH8" s="180"/>
      <c r="AI8" s="115"/>
      <c r="AJ8" s="10"/>
      <c r="AK8" s="50"/>
      <c r="AL8" s="50"/>
      <c r="AM8" s="50"/>
      <c r="AN8" s="50"/>
      <c r="AO8" s="50"/>
      <c r="AP8" s="50"/>
      <c r="AQ8" s="51"/>
      <c r="AR8" s="87"/>
      <c r="AS8" s="88"/>
      <c r="AT8" s="89"/>
      <c r="AU8" s="52"/>
      <c r="AV8" s="52"/>
      <c r="AW8" s="52"/>
      <c r="AX8" s="52"/>
      <c r="AY8" s="52"/>
      <c r="AZ8" s="52"/>
      <c r="BC8" s="7"/>
      <c r="BD8" s="7"/>
    </row>
    <row r="9" spans="2:56" ht="24">
      <c r="B9" s="472" t="s">
        <v>773</v>
      </c>
      <c r="C9" s="168"/>
      <c r="D9" s="169"/>
      <c r="E9" s="11" t="s">
        <v>402</v>
      </c>
      <c r="F9" s="170">
        <v>0</v>
      </c>
      <c r="G9" s="145" t="str">
        <f>IF(OR(E9="4",F9="4"),INDEX([14]NamesElementary!$B$1:$B$65536,MATCH(B9,[14]NamesElementary!$A$1:$A$65536,0),1),INDEX([14]Names!$J$1:$J$65602,MATCH(B9,[14]Names!$F$1:$F$65602,0),1))</f>
        <v>photovoltaic laminate, CdTe, at plant</v>
      </c>
      <c r="H9" s="16" t="str">
        <f>IF(OR(E9="4",F9="4"),"-",INDEX([14]Names!$K$1:$K$65602,MATCH(B9,[14]Names!$F$1:$F$65602,0),1))</f>
        <v>MY</v>
      </c>
      <c r="I9" s="14" t="str">
        <f>IF(OR(E9="4",F9="4"),INDEX([14]NamesElementary!$D$1:$D$65536,MATCH($B9,[14]NamesElementary!$A$1:$A$65536,0),1),"-")</f>
        <v>-</v>
      </c>
      <c r="J9" s="14" t="str">
        <f>IF(OR(E9="4",F9="4"),INDEX([14]NamesElementary!$E$1:$E$65536,MATCH($B9,[14]NamesElementary!$A$1:$A$65536,0),1),"-")</f>
        <v>-</v>
      </c>
      <c r="K9" s="15">
        <f>IF(OR(E9="4",F9="4"),"-",INDEX([14]Names!$N$1:$N$65602,MATCH(B9,[14]Names!$F$1:$F$65602,0),1))</f>
        <v>1</v>
      </c>
      <c r="L9" s="16" t="str">
        <f>IF(OR(E9="4",F9="4"),INDEX([14]NamesElementary!$G$1:$G$65536,MATCH(B9,[14]NamesElementary!$A$1:$A$65536,0),1),INDEX([14]Names!$O$1:$O$65602,MATCH(B9,[14]Names!$F$1:$F$65602,0),1))</f>
        <v>m2</v>
      </c>
      <c r="M9" s="149" t="s">
        <v>402</v>
      </c>
      <c r="N9" s="29"/>
      <c r="O9" s="1"/>
      <c r="P9" s="139"/>
      <c r="Q9" s="194" t="s">
        <v>402</v>
      </c>
      <c r="R9" s="29"/>
      <c r="S9" s="1"/>
      <c r="T9" s="139"/>
      <c r="U9" s="149">
        <v>1</v>
      </c>
      <c r="V9" s="29"/>
      <c r="W9" s="1"/>
      <c r="X9" s="139"/>
      <c r="Y9" s="181"/>
      <c r="Z9" s="258"/>
      <c r="AA9" s="258"/>
      <c r="AB9" s="258"/>
      <c r="AC9" s="258"/>
      <c r="AD9" s="180"/>
      <c r="AE9" s="180"/>
      <c r="AF9" s="180"/>
      <c r="AG9" s="180"/>
      <c r="AH9" s="180"/>
      <c r="AI9" s="115"/>
      <c r="AJ9" s="10"/>
      <c r="AK9" s="50"/>
      <c r="AL9" s="50"/>
      <c r="AM9" s="50"/>
      <c r="AN9" s="50"/>
      <c r="AO9" s="50"/>
      <c r="AP9" s="50"/>
      <c r="AQ9" s="51"/>
      <c r="AR9" s="87"/>
      <c r="AS9" s="88"/>
      <c r="AT9" s="89"/>
      <c r="AU9" s="52"/>
      <c r="AV9" s="52"/>
      <c r="AW9" s="52"/>
      <c r="AX9" s="52"/>
      <c r="AY9" s="52"/>
      <c r="AZ9" s="52"/>
      <c r="BC9" s="7"/>
      <c r="BD9" s="7"/>
    </row>
    <row r="10" spans="2:56" ht="12.75">
      <c r="B10" s="120">
        <v>32023</v>
      </c>
      <c r="C10" s="168" t="s">
        <v>524</v>
      </c>
      <c r="D10" s="151" t="s">
        <v>525</v>
      </c>
      <c r="E10" s="152" t="s">
        <v>526</v>
      </c>
      <c r="F10" s="153" t="s">
        <v>402</v>
      </c>
      <c r="G10" s="144" t="str">
        <f>IF(OR(E10="4",F10="4"),INDEX([14]NamesElementary!$B$1:$B$65536,MATCH(B10,[14]NamesElementary!$A$1:$A$65536,0),1),INDEX([14]Names!$J$1:$J$65602,MATCH(B10,[14]Names!$F$1:$F$65602,0),1))</f>
        <v>electricity, medium voltage, at grid</v>
      </c>
      <c r="H10" s="125" t="str">
        <f>IF(OR(E10="4",F10="4"),"-",INDEX([14]Names!$K$1:$K$65602,MATCH(B10,[14]Names!$F$1:$F$65602,0),1))</f>
        <v>US</v>
      </c>
      <c r="I10" s="154" t="str">
        <f>IF(OR(E10="4",F10="4"),INDEX([14]NamesElementary!$D$1:$D$65536,MATCH($B10,[14]NamesElementary!$A$1:$A$65536,0),1),"-")</f>
        <v>-</v>
      </c>
      <c r="J10" s="123" t="str">
        <f>IF(OR(E10="4",F10="4"),INDEX([14]NamesElementary!$E$1:$E$65536,MATCH($B10,[14]NamesElementary!$A$1:$A$65536,0),1),"-")</f>
        <v>-</v>
      </c>
      <c r="K10" s="124">
        <f>IF(OR(E10="4",F10="4"),"-",INDEX([14]Names!$N$1:$N$65602,MATCH(B10,[14]Names!$F$1:$F$65602,0),1))</f>
        <v>0</v>
      </c>
      <c r="L10" s="125" t="str">
        <f>IF(OR(E10="4",F10="4"),INDEX([14]NamesElementary!$G$1:$G$65536,MATCH(B10,[14]NamesElementary!$A$1:$A$65536,0),1),INDEX([14]Names!$O$1:$O$65602,MATCH(B10,[14]Names!$F$1:$F$65602,0),1))</f>
        <v>kWh</v>
      </c>
      <c r="M10" s="476" t="e">
        <f>AH10</f>
        <v>#REF!</v>
      </c>
      <c r="N10" s="29">
        <v>1</v>
      </c>
      <c r="O10" s="1">
        <f t="shared" ref="O10:O49" si="0">$AS10</f>
        <v>1.0807255723670659</v>
      </c>
      <c r="P10" s="31" t="str">
        <f t="shared" ref="P10:P49" si="1">$AT10&amp;"; "&amp;$AI10</f>
        <v>(1,2,2,1,1,3); Fthenakis, literature</v>
      </c>
      <c r="Q10" s="155">
        <f>AC10</f>
        <v>0</v>
      </c>
      <c r="R10" s="29">
        <v>1</v>
      </c>
      <c r="S10" s="1">
        <f t="shared" ref="S10:S49" si="2">$AS10</f>
        <v>1.0807255723670659</v>
      </c>
      <c r="T10" s="31" t="str">
        <f t="shared" ref="T10:T49" si="3">$AT10&amp;"; "&amp;$AI10</f>
        <v>(1,2,2,1,1,3); Fthenakis, literature</v>
      </c>
      <c r="U10" s="155">
        <f>Q10</f>
        <v>0</v>
      </c>
      <c r="V10" s="29">
        <v>1</v>
      </c>
      <c r="W10" s="1">
        <f t="shared" ref="W10:W49" si="4">$AS10</f>
        <v>1.0807255723670659</v>
      </c>
      <c r="X10" s="31" t="str">
        <f t="shared" ref="X10:X49" si="5">$AT10&amp;"; "&amp;$AI10</f>
        <v>(1,2,2,1,1,3); Fthenakis, literature</v>
      </c>
      <c r="Y10" s="182">
        <v>58.12</v>
      </c>
      <c r="Z10" s="259">
        <f>52.6+4.9+1.1</f>
        <v>58.6</v>
      </c>
      <c r="AA10" s="259"/>
      <c r="AB10" s="259"/>
      <c r="AC10" s="259"/>
      <c r="AD10" s="253">
        <v>10.7</v>
      </c>
      <c r="AH10" s="182" t="e">
        <f>63908/0.7*1000/(250/1502*1412*10^6)*#REF!</f>
        <v>#REF!</v>
      </c>
      <c r="AI10" s="286" t="s">
        <v>258</v>
      </c>
      <c r="AJ10" s="11">
        <v>1</v>
      </c>
      <c r="AK10" s="170">
        <v>2</v>
      </c>
      <c r="AL10" s="170">
        <v>2</v>
      </c>
      <c r="AM10" s="170">
        <v>1</v>
      </c>
      <c r="AN10" s="170">
        <v>1</v>
      </c>
      <c r="AO10" s="170">
        <v>3</v>
      </c>
      <c r="AP10" s="50">
        <f>IF(OR($E10="4",$F10="4"),INDEX([14]NamesElementary!$J$1:$J$65536,MATCH($B10,[14]NamesElementary!$A$1:$A$65536,0),1),INDEX([14]Names!$W$1:$W$65602,MATCH($B10,[14]Names!$F$1:$F$65602,0),1))</f>
        <v>2</v>
      </c>
      <c r="AQ10" s="51">
        <f>INDEX([14]BasicUncertainty!$H$1:$H$65536,MATCH(AP10,[14]BasicUncertainty!$B$1:$B$65536,0),1)</f>
        <v>1.05</v>
      </c>
      <c r="AR10" s="87">
        <f t="shared" ref="AR10:AR49" si="6">EXP(SQRT((LN(AU10)^2)+(LN(AV10)^2)+(LN(AW10)^2)+(LN(AX10)^2)+(LN(AY10)^2)+(LN(AZ10)^2)))</f>
        <v>1.0622454211725116</v>
      </c>
      <c r="AS10" s="88">
        <f t="shared" ref="AS10:AS49" si="7">EXP(SQRT((LN(AU10)^2)+(LN(AV10)^2)+(LN(AW10)^2)+(LN(AX10)^2)+(LN(AY10)^2)+(LN(AZ10)^2)+LN(AQ10)^2))</f>
        <v>1.0807255723670659</v>
      </c>
      <c r="AT10" s="89" t="str">
        <f t="shared" ref="AT10:AT49" si="8">CONCATENATE("(",AJ10,",",AK10,",",AL10,",",AM10,",",AN10,",",AO10,")")</f>
        <v>(1,2,2,1,1,3)</v>
      </c>
      <c r="AU10" s="52">
        <f>IF(AJ10=1,'[14]SDG^2 values'!$B$4,IF(AJ10=2,'[14]SDG^2 values'!$C$4,IF(AJ10=3,'[14]SDG^2 values'!$D$4,IF(AJ10=4,'[14]SDG^2 values'!$E$4,IF(AJ10=5,'[14]SDG^2 values'!$F$4,1)))))</f>
        <v>1</v>
      </c>
      <c r="AV10" s="52">
        <f>IF(AK10=1,'[14]SDG^2 values'!$B$5,IF(AK10=2,'[14]SDG^2 values'!$C$5,IF(AK10=3,'[14]SDG^2 values'!$D$5,IF(AK10=4,'[14]SDG^2 values'!$E$5,IF(AK10=5,'[14]SDG^2 values'!$F$5,1)))))</f>
        <v>1.02</v>
      </c>
      <c r="AW10" s="52">
        <f>IF(AL10=1,'[14]SDG^2 values'!$B$6,IF(AL10=2,'[14]SDG^2 values'!$C$6,IF(AL10=3,'[14]SDG^2 values'!$D$6,IF(AL10=4,'[14]SDG^2 values'!$E$6,IF(AL10=5,'[14]SDG^2 values'!$F$6,1)))))</f>
        <v>1.03</v>
      </c>
      <c r="AX10" s="52">
        <f>IF(AM10=1,'[14]SDG^2 values'!$B$7,IF(AM10=2,'[14]SDG^2 values'!$C$7,IF(AM10=3,'[14]SDG^2 values'!$D$7,IF(AM10=4,'[14]SDG^2 values'!$E$7,IF(AM10=5,'[14]SDG^2 values'!$F$7,1)))))</f>
        <v>1</v>
      </c>
      <c r="AY10" s="52">
        <f>IF(AN10=1,'[14]SDG^2 values'!$B$8,IF(AN10=2,'[14]SDG^2 values'!$C$8,IF(AN10=3,'[14]SDG^2 values'!$D$8,IF(AN10=4,'[14]SDG^2 values'!$E$8,IF(AN10=5,'[14]SDG^2 values'!$F$8,1)))))</f>
        <v>1</v>
      </c>
      <c r="AZ10" s="52">
        <f>IF(AO10=1,'[14]SDG^2 values'!$B$9,IF(AO10=2,'[14]SDG^2 values'!$C$9,IF(AO10=3,'[14]SDG^2 values'!$D$9,IF(AO10=4,'[14]SDG^2 values'!$E$9,IF(AO10=5,'[14]SDG^2 values'!$F$9,1)))))</f>
        <v>1.05</v>
      </c>
      <c r="BC10" s="7"/>
      <c r="BD10" s="7"/>
    </row>
    <row r="11" spans="2:56" ht="24">
      <c r="B11" s="226">
        <v>2362</v>
      </c>
      <c r="C11" s="168"/>
      <c r="D11" s="151" t="s">
        <v>525</v>
      </c>
      <c r="E11" s="152" t="s">
        <v>526</v>
      </c>
      <c r="F11" s="153" t="s">
        <v>402</v>
      </c>
      <c r="G11" s="144" t="str">
        <f>IF(OR(E11="4",F11="4"),INDEX([14]NamesElementary!$B$1:$B$65536,MATCH(B11,[14]NamesElementary!$A$1:$A$65536,0),1),INDEX([14]Names!$J$1:$J$65602,MATCH(B11,[14]Names!$F$1:$F$65602,0),1))</f>
        <v>electricity, medium voltage, at grid</v>
      </c>
      <c r="H11" s="125" t="str">
        <f>IF(OR(E11="4",F11="4"),"-",INDEX([14]Names!$K$1:$K$65602,MATCH(B11,[14]Names!$F$1:$F$65602,0),1))</f>
        <v>DE</v>
      </c>
      <c r="I11" s="154" t="str">
        <f>IF(OR(E11="4",F11="4"),INDEX([14]NamesElementary!$D$1:$D$65536,MATCH($B11,[14]NamesElementary!$A$1:$A$65536,0),1),"-")</f>
        <v>-</v>
      </c>
      <c r="J11" s="123" t="str">
        <f>IF(OR(E11="4",F11="4"),INDEX([14]NamesElementary!$E$1:$E$65536,MATCH($B11,[14]NamesElementary!$A$1:$A$65536,0),1),"-")</f>
        <v>-</v>
      </c>
      <c r="K11" s="124">
        <f>IF(OR(E11="4",F11="4"),"-",INDEX([14]Names!$N$1:$N$65602,MATCH(B11,[14]Names!$F$1:$F$65602,0),1))</f>
        <v>0</v>
      </c>
      <c r="L11" s="125" t="str">
        <f>IF(OR(E11="4",F11="4"),INDEX([14]NamesElementary!$G$1:$G$65536,MATCH(B11,[14]NamesElementary!$A$1:$A$65536,0),1),INDEX([14]Names!$O$1:$O$65602,MATCH(B11,[14]Names!$F$1:$F$65602,0),1))</f>
        <v>kWh</v>
      </c>
      <c r="M11" s="165" t="s">
        <v>402</v>
      </c>
      <c r="N11" s="29">
        <v>1</v>
      </c>
      <c r="O11" s="1">
        <f t="shared" si="0"/>
        <v>1.0807255723670659</v>
      </c>
      <c r="P11" s="31" t="str">
        <f t="shared" si="1"/>
        <v>(1,2,2,1,1,3); Personal communication with First Solar</v>
      </c>
      <c r="Q11" s="476" t="e">
        <f>AH11</f>
        <v>#REF!</v>
      </c>
      <c r="R11" s="29">
        <v>1</v>
      </c>
      <c r="S11" s="1">
        <f t="shared" si="2"/>
        <v>1.0807255723670659</v>
      </c>
      <c r="T11" s="31" t="str">
        <f t="shared" si="3"/>
        <v>(1,2,2,1,1,3); Personal communication with First Solar</v>
      </c>
      <c r="U11" s="155" t="s">
        <v>402</v>
      </c>
      <c r="V11" s="29">
        <v>1</v>
      </c>
      <c r="W11" s="1">
        <f t="shared" si="4"/>
        <v>1.0807255723670659</v>
      </c>
      <c r="X11" s="31" t="str">
        <f t="shared" si="5"/>
        <v>(1,2,2,1,1,3); Personal communication with First Solar</v>
      </c>
      <c r="Y11" s="182"/>
      <c r="Z11" s="259"/>
      <c r="AA11" s="259"/>
      <c r="AB11" s="259"/>
      <c r="AC11" s="259"/>
      <c r="AD11" s="253"/>
      <c r="AE11" s="182">
        <v>28.5</v>
      </c>
      <c r="AF11" s="182"/>
      <c r="AG11" s="182"/>
      <c r="AH11" s="182" t="e">
        <f>26056/0.4*1000/(250/1502*1412*10^6)*#REF!</f>
        <v>#REF!</v>
      </c>
      <c r="AI11" s="474" t="s">
        <v>775</v>
      </c>
      <c r="AJ11" s="11">
        <v>1</v>
      </c>
      <c r="AK11" s="170">
        <v>2</v>
      </c>
      <c r="AL11" s="170">
        <v>2</v>
      </c>
      <c r="AM11" s="170">
        <v>1</v>
      </c>
      <c r="AN11" s="170">
        <v>1</v>
      </c>
      <c r="AO11" s="170">
        <v>3</v>
      </c>
      <c r="AP11" s="50">
        <f>IF(OR($E11="4",$F11="4"),INDEX([14]NamesElementary!$J$1:$J$65536,MATCH($B11,[14]NamesElementary!$A$1:$A$65536,0),1),INDEX([14]Names!$W$1:$W$65602,MATCH($B11,[14]Names!$F$1:$F$65602,0),1))</f>
        <v>2</v>
      </c>
      <c r="AQ11" s="51">
        <f>INDEX([14]BasicUncertainty!$H$1:$H$65536,MATCH(AP11,[14]BasicUncertainty!$B$1:$B$65536,0),1)</f>
        <v>1.05</v>
      </c>
      <c r="AR11" s="87">
        <f>EXP(SQRT((LN(AU11)^2)+(LN(AV11)^2)+(LN(AW11)^2)+(LN(AX11)^2)+(LN(AY11)^2)+(LN(AZ11)^2)))</f>
        <v>1.0622454211725116</v>
      </c>
      <c r="AS11" s="88">
        <f>EXP(SQRT((LN(AU11)^2)+(LN(AV11)^2)+(LN(AW11)^2)+(LN(AX11)^2)+(LN(AY11)^2)+(LN(AZ11)^2)+LN(AQ11)^2))</f>
        <v>1.0807255723670659</v>
      </c>
      <c r="AT11" s="89" t="str">
        <f>CONCATENATE("(",AJ11,",",AK11,",",AL11,",",AM11,",",AN11,",",AO11,")")</f>
        <v>(1,2,2,1,1,3)</v>
      </c>
      <c r="AU11" s="52">
        <f>IF(AJ11=1,'[14]SDG^2 values'!$B$4,IF(AJ11=2,'[14]SDG^2 values'!$C$4,IF(AJ11=3,'[14]SDG^2 values'!$D$4,IF(AJ11=4,'[14]SDG^2 values'!$E$4,IF(AJ11=5,'[14]SDG^2 values'!$F$4,1)))))</f>
        <v>1</v>
      </c>
      <c r="AV11" s="52">
        <f>IF(AK11=1,'[14]SDG^2 values'!$B$5,IF(AK11=2,'[14]SDG^2 values'!$C$5,IF(AK11=3,'[14]SDG^2 values'!$D$5,IF(AK11=4,'[14]SDG^2 values'!$E$5,IF(AK11=5,'[14]SDG^2 values'!$F$5,1)))))</f>
        <v>1.02</v>
      </c>
      <c r="AW11" s="52">
        <f>IF(AL11=1,'[14]SDG^2 values'!$B$6,IF(AL11=2,'[14]SDG^2 values'!$C$6,IF(AL11=3,'[14]SDG^2 values'!$D$6,IF(AL11=4,'[14]SDG^2 values'!$E$6,IF(AL11=5,'[14]SDG^2 values'!$F$6,1)))))</f>
        <v>1.03</v>
      </c>
      <c r="AX11" s="52">
        <f>IF(AM11=1,'[14]SDG^2 values'!$B$7,IF(AM11=2,'[14]SDG^2 values'!$C$7,IF(AM11=3,'[14]SDG^2 values'!$D$7,IF(AM11=4,'[14]SDG^2 values'!$E$7,IF(AM11=5,'[14]SDG^2 values'!$F$7,1)))))</f>
        <v>1</v>
      </c>
      <c r="AY11" s="52">
        <f>IF(AN11=1,'[14]SDG^2 values'!$B$8,IF(AN11=2,'[14]SDG^2 values'!$C$8,IF(AN11=3,'[14]SDG^2 values'!$D$8,IF(AN11=4,'[14]SDG^2 values'!$E$8,IF(AN11=5,'[14]SDG^2 values'!$F$8,1)))))</f>
        <v>1</v>
      </c>
      <c r="AZ11" s="52">
        <f>IF(AO11=1,'[14]SDG^2 values'!$B$9,IF(AO11=2,'[14]SDG^2 values'!$C$9,IF(AO11=3,'[14]SDG^2 values'!$D$9,IF(AO11=4,'[14]SDG^2 values'!$E$9,IF(AO11=5,'[14]SDG^2 values'!$F$9,1)))))</f>
        <v>1.05</v>
      </c>
      <c r="BC11" s="7"/>
      <c r="BD11" s="7"/>
    </row>
    <row r="12" spans="2:56" ht="12.75">
      <c r="B12" s="473" t="s">
        <v>774</v>
      </c>
      <c r="C12" s="168"/>
      <c r="D12" s="151" t="s">
        <v>525</v>
      </c>
      <c r="E12" s="152" t="s">
        <v>526</v>
      </c>
      <c r="F12" s="153" t="s">
        <v>402</v>
      </c>
      <c r="G12" s="144" t="str">
        <f>IF(OR(E12="4",F12="4"),INDEX([14]NamesElementary!$B$1:$B$65536,MATCH(B12,[14]NamesElementary!$A$1:$A$65536,0),1),INDEX([14]Names!$J$1:$J$65602,MATCH(B12,[14]Names!$F$1:$F$65602,0),1))</f>
        <v>electricity, medium voltage, at grid</v>
      </c>
      <c r="H12" s="125" t="str">
        <f>IF(OR(E12="4",F12="4"),"-",INDEX([14]Names!$K$1:$K$65602,MATCH(B12,[14]Names!$F$1:$F$65602,0),1))</f>
        <v>MY</v>
      </c>
      <c r="I12" s="154" t="str">
        <f>IF(OR(E12="4",F12="4"),INDEX([14]NamesElementary!$D$1:$D$65536,MATCH($B12,[14]NamesElementary!$A$1:$A$65536,0),1),"-")</f>
        <v>-</v>
      </c>
      <c r="J12" s="123" t="str">
        <f>IF(OR(E12="4",F12="4"),INDEX([14]NamesElementary!$E$1:$E$65536,MATCH($B12,[14]NamesElementary!$A$1:$A$65536,0),1),"-")</f>
        <v>-</v>
      </c>
      <c r="K12" s="124">
        <f>IF(OR(E12="4",F12="4"),"-",INDEX([14]Names!$N$1:$N$65602,MATCH(B12,[14]Names!$F$1:$F$65602,0),1))</f>
        <v>0</v>
      </c>
      <c r="L12" s="125" t="str">
        <f>IF(OR(E12="4",F12="4"),INDEX([14]NamesElementary!$G$1:$G$65536,MATCH(B12,[14]NamesElementary!$A$1:$A$65536,0),1),INDEX([14]Names!$O$1:$O$65602,MATCH(B12,[14]Names!$F$1:$F$65602,0),1))</f>
        <v>kWh</v>
      </c>
      <c r="M12" s="165" t="s">
        <v>402</v>
      </c>
      <c r="N12" s="29">
        <v>1</v>
      </c>
      <c r="O12" s="1">
        <f t="shared" si="0"/>
        <v>1.0807255723670659</v>
      </c>
      <c r="P12" s="31" t="str">
        <f t="shared" si="1"/>
        <v>(1,2,2,1,1,3); Fthenakis, literature</v>
      </c>
      <c r="Q12" s="155" t="s">
        <v>402</v>
      </c>
      <c r="R12" s="29">
        <v>1</v>
      </c>
      <c r="S12" s="1">
        <f t="shared" si="2"/>
        <v>1.0807255723670659</v>
      </c>
      <c r="T12" s="31" t="str">
        <f t="shared" si="3"/>
        <v>(1,2,2,1,1,3); Fthenakis, literature</v>
      </c>
      <c r="U12" s="476" t="e">
        <f>AH12</f>
        <v>#REF!</v>
      </c>
      <c r="V12" s="29">
        <v>1</v>
      </c>
      <c r="W12" s="1">
        <f t="shared" si="4"/>
        <v>1.0807255723670659</v>
      </c>
      <c r="X12" s="31" t="str">
        <f t="shared" si="5"/>
        <v>(1,2,2,1,1,3); Fthenakis, literature</v>
      </c>
      <c r="Y12" s="182"/>
      <c r="Z12" s="259"/>
      <c r="AA12" s="259"/>
      <c r="AB12" s="259"/>
      <c r="AC12" s="259"/>
      <c r="AD12" s="253"/>
      <c r="AE12" s="182"/>
      <c r="AF12" s="182"/>
      <c r="AG12" s="182"/>
      <c r="AH12" s="182" t="e">
        <f>182078/0.66*1000/(1002/1502*1412*10^6)*#REF!</f>
        <v>#REF!</v>
      </c>
      <c r="AI12" s="286" t="s">
        <v>258</v>
      </c>
      <c r="AJ12" s="11">
        <v>1</v>
      </c>
      <c r="AK12" s="170">
        <v>2</v>
      </c>
      <c r="AL12" s="170">
        <v>2</v>
      </c>
      <c r="AM12" s="170">
        <v>1</v>
      </c>
      <c r="AN12" s="170">
        <v>1</v>
      </c>
      <c r="AO12" s="170">
        <v>3</v>
      </c>
      <c r="AP12" s="50">
        <f>IF(OR($E12="4",$F12="4"),INDEX([14]NamesElementary!$J$1:$J$65536,MATCH($B12,[14]NamesElementary!$A$1:$A$65536,0),1),INDEX([14]Names!$W$1:$W$65602,MATCH($B12,[14]Names!$F$1:$F$65602,0),1))</f>
        <v>3</v>
      </c>
      <c r="AQ12" s="51">
        <f>INDEX([14]BasicUncertainty!$H$1:$H$65536,MATCH(AP12,[14]BasicUncertainty!$B$1:$B$65536,0),1)</f>
        <v>1.05</v>
      </c>
      <c r="AR12" s="87">
        <f>EXP(SQRT((LN(AU12)^2)+(LN(AV12)^2)+(LN(AW12)^2)+(LN(AX12)^2)+(LN(AY12)^2)+(LN(AZ12)^2)))</f>
        <v>1.0622454211725116</v>
      </c>
      <c r="AS12" s="88">
        <f>EXP(SQRT((LN(AU12)^2)+(LN(AV12)^2)+(LN(AW12)^2)+(LN(AX12)^2)+(LN(AY12)^2)+(LN(AZ12)^2)+LN(AQ12)^2))</f>
        <v>1.0807255723670659</v>
      </c>
      <c r="AT12" s="89" t="str">
        <f>CONCATENATE("(",AJ12,",",AK12,",",AL12,",",AM12,",",AN12,",",AO12,")")</f>
        <v>(1,2,2,1,1,3)</v>
      </c>
      <c r="AU12" s="52">
        <f>IF(AJ12=1,'[14]SDG^2 values'!$B$4,IF(AJ12=2,'[14]SDG^2 values'!$C$4,IF(AJ12=3,'[14]SDG^2 values'!$D$4,IF(AJ12=4,'[14]SDG^2 values'!$E$4,IF(AJ12=5,'[14]SDG^2 values'!$F$4,1)))))</f>
        <v>1</v>
      </c>
      <c r="AV12" s="52">
        <f>IF(AK12=1,'[14]SDG^2 values'!$B$5,IF(AK12=2,'[14]SDG^2 values'!$C$5,IF(AK12=3,'[14]SDG^2 values'!$D$5,IF(AK12=4,'[14]SDG^2 values'!$E$5,IF(AK12=5,'[14]SDG^2 values'!$F$5,1)))))</f>
        <v>1.02</v>
      </c>
      <c r="AW12" s="52">
        <f>IF(AL12=1,'[14]SDG^2 values'!$B$6,IF(AL12=2,'[14]SDG^2 values'!$C$6,IF(AL12=3,'[14]SDG^2 values'!$D$6,IF(AL12=4,'[14]SDG^2 values'!$E$6,IF(AL12=5,'[14]SDG^2 values'!$F$6,1)))))</f>
        <v>1.03</v>
      </c>
      <c r="AX12" s="52">
        <f>IF(AM12=1,'[14]SDG^2 values'!$B$7,IF(AM12=2,'[14]SDG^2 values'!$C$7,IF(AM12=3,'[14]SDG^2 values'!$D$7,IF(AM12=4,'[14]SDG^2 values'!$E$7,IF(AM12=5,'[14]SDG^2 values'!$F$7,1)))))</f>
        <v>1</v>
      </c>
      <c r="AY12" s="52">
        <f>IF(AN12=1,'[14]SDG^2 values'!$B$8,IF(AN12=2,'[14]SDG^2 values'!$C$8,IF(AN12=3,'[14]SDG^2 values'!$D$8,IF(AN12=4,'[14]SDG^2 values'!$E$8,IF(AN12=5,'[14]SDG^2 values'!$F$8,1)))))</f>
        <v>1</v>
      </c>
      <c r="AZ12" s="52">
        <f>IF(AO12=1,'[14]SDG^2 values'!$B$9,IF(AO12=2,'[14]SDG^2 values'!$C$9,IF(AO12=3,'[14]SDG^2 values'!$D$9,IF(AO12=4,'[14]SDG^2 values'!$E$9,IF(AO12=5,'[14]SDG^2 values'!$F$9,1)))))</f>
        <v>1.05</v>
      </c>
      <c r="BC12" s="7"/>
      <c r="BD12" s="7"/>
    </row>
    <row r="13" spans="2:56" ht="24">
      <c r="B13" s="226">
        <v>2560</v>
      </c>
      <c r="C13" s="168"/>
      <c r="D13" s="151" t="s">
        <v>525</v>
      </c>
      <c r="E13" s="152" t="s">
        <v>526</v>
      </c>
      <c r="F13" s="153" t="s">
        <v>402</v>
      </c>
      <c r="G13" s="144" t="str">
        <f>IF(OR(E13="4",F13="4"),INDEX([14]NamesElementary!$B$1:$B$65536,MATCH(B13,[14]NamesElementary!$A$1:$A$65536,0),1),INDEX([14]Names!$J$1:$J$65602,MATCH(B13,[14]Names!$F$1:$F$65602,0),1))</f>
        <v>natural gas, burned in industrial furnace &gt;100kW</v>
      </c>
      <c r="H13" s="125" t="str">
        <f>IF(OR(E13="4",F13="4"),"-",INDEX([14]Names!$K$1:$K$65602,MATCH(B13,[14]Names!$F$1:$F$65602,0),1))</f>
        <v>RER</v>
      </c>
      <c r="I13" s="154" t="str">
        <f>IF(OR(E13="4",F13="4"),INDEX([14]NamesElementary!$D$1:$D$65536,MATCH($B13,[14]NamesElementary!$A$1:$A$65536,0),1),"-")</f>
        <v>-</v>
      </c>
      <c r="J13" s="123" t="str">
        <f>IF(OR(E13="4",F13="4"),INDEX([14]NamesElementary!$E$1:$E$65536,MATCH($B13,[14]NamesElementary!$A$1:$A$65536,0),1),"-")</f>
        <v>-</v>
      </c>
      <c r="K13" s="124">
        <f>IF(OR(E13="4",F13="4"),"-",INDEX([14]Names!$N$1:$N$65602,MATCH(B13,[14]Names!$F$1:$F$65602,0),1))</f>
        <v>0</v>
      </c>
      <c r="L13" s="125" t="str">
        <f>IF(OR(E13="4",F13="4"),INDEX([14]NamesElementary!$G$1:$G$65536,MATCH(B13,[14]NamesElementary!$A$1:$A$65536,0),1),INDEX([14]Names!$O$1:$O$65602,MATCH(B13,[14]Names!$F$1:$F$65602,0),1))</f>
        <v>MJ</v>
      </c>
      <c r="M13" s="477" t="e">
        <f>AG13</f>
        <v>#REF!</v>
      </c>
      <c r="N13" s="29">
        <v>1</v>
      </c>
      <c r="O13" s="1">
        <f t="shared" si="0"/>
        <v>1.0807255723670659</v>
      </c>
      <c r="P13" s="31" t="str">
        <f t="shared" si="1"/>
        <v xml:space="preserve">(1,2,2,1,1,3); </v>
      </c>
      <c r="Q13" s="476" t="e">
        <f>AF13</f>
        <v>#REF!</v>
      </c>
      <c r="R13" s="29">
        <v>1</v>
      </c>
      <c r="S13" s="1">
        <f t="shared" si="2"/>
        <v>1.0807255723670659</v>
      </c>
      <c r="T13" s="31" t="str">
        <f t="shared" si="3"/>
        <v xml:space="preserve">(1,2,2,1,1,3); </v>
      </c>
      <c r="U13" s="155">
        <v>0</v>
      </c>
      <c r="V13" s="29">
        <v>1</v>
      </c>
      <c r="W13" s="1">
        <f t="shared" si="4"/>
        <v>1.0807255723670659</v>
      </c>
      <c r="X13" s="31" t="str">
        <f t="shared" si="5"/>
        <v xml:space="preserve">(1,2,2,1,1,3); </v>
      </c>
      <c r="Y13" s="182"/>
      <c r="Z13" s="259"/>
      <c r="AA13" s="259"/>
      <c r="AB13" s="259"/>
      <c r="AC13" s="259"/>
      <c r="AD13" s="253"/>
      <c r="AE13" s="182"/>
      <c r="AF13" s="182" t="e">
        <f>661*1000/56100*10^6/(250/1502*1412*10^6)*#REF!</f>
        <v>#REF!</v>
      </c>
      <c r="AG13" s="182" t="e">
        <f>1184*1000/56100*10^6/(250/1502*1412*10^6)*#REF!</f>
        <v>#REF!</v>
      </c>
      <c r="AH13" s="475"/>
      <c r="AI13" s="286"/>
      <c r="AJ13" s="11">
        <v>1</v>
      </c>
      <c r="AK13" s="170">
        <v>2</v>
      </c>
      <c r="AL13" s="170">
        <v>2</v>
      </c>
      <c r="AM13" s="170">
        <v>1</v>
      </c>
      <c r="AN13" s="170">
        <v>1</v>
      </c>
      <c r="AO13" s="170">
        <v>3</v>
      </c>
      <c r="AP13" s="50">
        <f>IF(OR($E13="4",$F13="4"),INDEX([14]NamesElementary!$J$1:$J$65536,MATCH($B13,[14]NamesElementary!$A$1:$A$65536,0),1),INDEX([14]Names!$W$1:$W$65602,MATCH($B13,[14]Names!$F$1:$F$65602,0),1))</f>
        <v>1</v>
      </c>
      <c r="AQ13" s="51">
        <f>INDEX([14]BasicUncertainty!$H$1:$H$65536,MATCH(AP13,[14]BasicUncertainty!$B$1:$B$65536,0),1)</f>
        <v>1.05</v>
      </c>
      <c r="AR13" s="87">
        <f>EXP(SQRT((LN(AU13)^2)+(LN(AV13)^2)+(LN(AW13)^2)+(LN(AX13)^2)+(LN(AY13)^2)+(LN(AZ13)^2)))</f>
        <v>1.0622454211725116</v>
      </c>
      <c r="AS13" s="88">
        <f>EXP(SQRT((LN(AU13)^2)+(LN(AV13)^2)+(LN(AW13)^2)+(LN(AX13)^2)+(LN(AY13)^2)+(LN(AZ13)^2)+LN(AQ13)^2))</f>
        <v>1.0807255723670659</v>
      </c>
      <c r="AT13" s="89" t="str">
        <f>CONCATENATE("(",AJ13,",",AK13,",",AL13,",",AM13,",",AN13,",",AO13,")")</f>
        <v>(1,2,2,1,1,3)</v>
      </c>
      <c r="AU13" s="52">
        <f>IF(AJ13=1,'[14]SDG^2 values'!$B$4,IF(AJ13=2,'[14]SDG^2 values'!$C$4,IF(AJ13=3,'[14]SDG^2 values'!$D$4,IF(AJ13=4,'[14]SDG^2 values'!$E$4,IF(AJ13=5,'[14]SDG^2 values'!$F$4,1)))))</f>
        <v>1</v>
      </c>
      <c r="AV13" s="52">
        <f>IF(AK13=1,'[14]SDG^2 values'!$B$5,IF(AK13=2,'[14]SDG^2 values'!$C$5,IF(AK13=3,'[14]SDG^2 values'!$D$5,IF(AK13=4,'[14]SDG^2 values'!$E$5,IF(AK13=5,'[14]SDG^2 values'!$F$5,1)))))</f>
        <v>1.02</v>
      </c>
      <c r="AW13" s="52">
        <f>IF(AL13=1,'[14]SDG^2 values'!$B$6,IF(AL13=2,'[14]SDG^2 values'!$C$6,IF(AL13=3,'[14]SDG^2 values'!$D$6,IF(AL13=4,'[14]SDG^2 values'!$E$6,IF(AL13=5,'[14]SDG^2 values'!$F$6,1)))))</f>
        <v>1.03</v>
      </c>
      <c r="AX13" s="52">
        <f>IF(AM13=1,'[14]SDG^2 values'!$B$7,IF(AM13=2,'[14]SDG^2 values'!$C$7,IF(AM13=3,'[14]SDG^2 values'!$D$7,IF(AM13=4,'[14]SDG^2 values'!$E$7,IF(AM13=5,'[14]SDG^2 values'!$F$7,1)))))</f>
        <v>1</v>
      </c>
      <c r="AY13" s="52">
        <f>IF(AN13=1,'[14]SDG^2 values'!$B$8,IF(AN13=2,'[14]SDG^2 values'!$C$8,IF(AN13=3,'[14]SDG^2 values'!$D$8,IF(AN13=4,'[14]SDG^2 values'!$E$8,IF(AN13=5,'[14]SDG^2 values'!$F$8,1)))))</f>
        <v>1</v>
      </c>
      <c r="AZ13" s="52">
        <f>IF(AO13=1,'[14]SDG^2 values'!$B$9,IF(AO13=2,'[14]SDG^2 values'!$C$9,IF(AO13=3,'[14]SDG^2 values'!$D$9,IF(AO13=4,'[14]SDG^2 values'!$E$9,IF(AO13=5,'[14]SDG^2 values'!$F$9,1)))))</f>
        <v>1.05</v>
      </c>
      <c r="BC13" s="7"/>
      <c r="BD13" s="7"/>
    </row>
    <row r="14" spans="2:56" ht="12.75">
      <c r="B14" s="122">
        <v>4849</v>
      </c>
      <c r="C14" s="37" t="s">
        <v>154</v>
      </c>
      <c r="D14" s="151" t="s">
        <v>525</v>
      </c>
      <c r="E14" s="152" t="s">
        <v>526</v>
      </c>
      <c r="F14" s="153" t="s">
        <v>402</v>
      </c>
      <c r="G14" s="144" t="str">
        <f>IF(OR(E14="4",F14="4"),INDEX([14]NamesElementary!$B$1:$B$65536,MATCH(B14,[14]NamesElementary!$A$1:$A$65536,0),1),INDEX([14]Names!$J$1:$J$65602,MATCH(B14,[14]Names!$F$1:$F$65602,0),1))</f>
        <v>photovoltaic panel factory</v>
      </c>
      <c r="H14" s="125" t="str">
        <f>IF(OR(E14="4",F14="4"),"-",INDEX([14]Names!$K$1:$K$65602,MATCH(B14,[14]Names!$F$1:$F$65602,0),1))</f>
        <v>GLO</v>
      </c>
      <c r="I14" s="154" t="str">
        <f>IF(OR(E14="4",F14="4"),INDEX([14]NamesElementary!$D$1:$D$65536,MATCH($B14,[14]NamesElementary!$A$1:$A$65536,0),1),"-")</f>
        <v>-</v>
      </c>
      <c r="J14" s="123" t="str">
        <f>IF(OR(E14="4",F14="4"),INDEX([14]NamesElementary!$E$1:$E$65536,MATCH($B14,[14]NamesElementary!$A$1:$A$65536,0),1),"-")</f>
        <v>-</v>
      </c>
      <c r="K14" s="124">
        <f>IF(OR(E14="4",F14="4"),"-",INDEX([14]Names!$N$1:$N$65602,MATCH(B14,[14]Names!$F$1:$F$65602,0),1))</f>
        <v>1</v>
      </c>
      <c r="L14" s="125" t="str">
        <f>IF(OR(E14="4",F14="4"),INDEX([14]NamesElementary!$G$1:$G$65536,MATCH(B14,[14]NamesElementary!$A$1:$A$65536,0),1),INDEX([14]Names!$O$1:$O$65602,MATCH(B14,[14]Names!$F$1:$F$65602,0),1))</f>
        <v>unit</v>
      </c>
      <c r="M14" s="155" t="e">
        <f>module_infra</f>
        <v>#REF!</v>
      </c>
      <c r="N14" s="29">
        <v>1</v>
      </c>
      <c r="O14" s="1">
        <f t="shared" si="0"/>
        <v>3.0292622216485547</v>
      </c>
      <c r="P14" s="31" t="str">
        <f t="shared" si="1"/>
        <v>(3,4,2,1,1,3); Assumption</v>
      </c>
      <c r="Q14" s="155" t="e">
        <f>module_infra</f>
        <v>#REF!</v>
      </c>
      <c r="R14" s="29">
        <v>1</v>
      </c>
      <c r="S14" s="1">
        <f t="shared" si="2"/>
        <v>3.0292622216485547</v>
      </c>
      <c r="T14" s="31" t="str">
        <f t="shared" si="3"/>
        <v>(3,4,2,1,1,3); Assumption</v>
      </c>
      <c r="U14" s="155" t="e">
        <f t="shared" ref="U14:U49" si="9">Q14</f>
        <v>#REF!</v>
      </c>
      <c r="V14" s="29">
        <v>1</v>
      </c>
      <c r="W14" s="1">
        <f t="shared" si="4"/>
        <v>3.0292622216485547</v>
      </c>
      <c r="X14" s="31" t="str">
        <f t="shared" si="5"/>
        <v>(3,4,2,1,1,3); Assumption</v>
      </c>
      <c r="Y14" s="182"/>
      <c r="Z14" s="259"/>
      <c r="AA14" s="259"/>
      <c r="AB14" s="259"/>
      <c r="AC14" s="259"/>
      <c r="AD14" s="253"/>
      <c r="AE14" s="253"/>
      <c r="AF14" s="253"/>
      <c r="AG14" s="253"/>
      <c r="AH14" s="253"/>
      <c r="AI14" s="115" t="s">
        <v>475</v>
      </c>
      <c r="AJ14" s="10">
        <v>3</v>
      </c>
      <c r="AK14" s="50">
        <v>4</v>
      </c>
      <c r="AL14" s="50">
        <v>2</v>
      </c>
      <c r="AM14" s="50">
        <v>1</v>
      </c>
      <c r="AN14" s="50">
        <v>1</v>
      </c>
      <c r="AO14" s="50">
        <v>3</v>
      </c>
      <c r="AP14" s="50">
        <f>IF(OR($E14="4",$F14="4"),INDEX([14]NamesElementary!$J$1:$J$65536,MATCH($B14,[14]NamesElementary!$A$1:$A$65536,0),1),INDEX([14]Names!$W$1:$W$65602,MATCH($B14,[14]Names!$F$1:$F$65602,0),1))</f>
        <v>9</v>
      </c>
      <c r="AQ14" s="51">
        <f>INDEX([14]BasicUncertainty!$H$1:$H$65536,MATCH(AP14,[14]BasicUncertainty!$B$1:$B$65536,0),1)</f>
        <v>3</v>
      </c>
      <c r="AR14" s="87">
        <f t="shared" si="6"/>
        <v>1.1576168639056454</v>
      </c>
      <c r="AS14" s="88">
        <f t="shared" si="7"/>
        <v>3.0292622216485547</v>
      </c>
      <c r="AT14" s="89" t="str">
        <f t="shared" si="8"/>
        <v>(3,4,2,1,1,3)</v>
      </c>
      <c r="AU14" s="52">
        <f>IF(AJ14=1,'[14]SDG^2 values'!$B$4,IF(AJ14=2,'[14]SDG^2 values'!$C$4,IF(AJ14=3,'[14]SDG^2 values'!$D$4,IF(AJ14=4,'[14]SDG^2 values'!$E$4,IF(AJ14=5,'[14]SDG^2 values'!$F$4,1)))))</f>
        <v>1.1000000000000001</v>
      </c>
      <c r="AV14" s="52">
        <f>IF(AK14=1,'[14]SDG^2 values'!$B$5,IF(AK14=2,'[14]SDG^2 values'!$C$5,IF(AK14=3,'[14]SDG^2 values'!$D$5,IF(AK14=4,'[14]SDG^2 values'!$E$5,IF(AK14=5,'[14]SDG^2 values'!$F$5,1)))))</f>
        <v>1.1000000000000001</v>
      </c>
      <c r="AW14" s="52">
        <f>IF(AL14=1,'[14]SDG^2 values'!$B$6,IF(AL14=2,'[14]SDG^2 values'!$C$6,IF(AL14=3,'[14]SDG^2 values'!$D$6,IF(AL14=4,'[14]SDG^2 values'!$E$6,IF(AL14=5,'[14]SDG^2 values'!$F$6,1)))))</f>
        <v>1.03</v>
      </c>
      <c r="AX14" s="52">
        <f>IF(AM14=1,'[14]SDG^2 values'!$B$7,IF(AM14=2,'[14]SDG^2 values'!$C$7,IF(AM14=3,'[14]SDG^2 values'!$D$7,IF(AM14=4,'[14]SDG^2 values'!$E$7,IF(AM14=5,'[14]SDG^2 values'!$F$7,1)))))</f>
        <v>1</v>
      </c>
      <c r="AY14" s="52">
        <f>IF(AN14=1,'[14]SDG^2 values'!$B$8,IF(AN14=2,'[14]SDG^2 values'!$C$8,IF(AN14=3,'[14]SDG^2 values'!$D$8,IF(AN14=4,'[14]SDG^2 values'!$E$8,IF(AN14=5,'[14]SDG^2 values'!$F$8,1)))))</f>
        <v>1</v>
      </c>
      <c r="AZ14" s="52">
        <f>IF(AO14=1,'[14]SDG^2 values'!$B$9,IF(AO14=2,'[14]SDG^2 values'!$C$9,IF(AO14=3,'[14]SDG^2 values'!$D$9,IF(AO14=4,'[14]SDG^2 values'!$E$9,IF(AO14=5,'[14]SDG^2 values'!$F$9,1)))))</f>
        <v>1.05</v>
      </c>
      <c r="BC14" s="7"/>
      <c r="BD14" s="7"/>
    </row>
    <row r="15" spans="2:56" ht="12.75">
      <c r="B15" s="36">
        <v>679</v>
      </c>
      <c r="C15" s="37" t="s">
        <v>211</v>
      </c>
      <c r="D15" s="151" t="s">
        <v>525</v>
      </c>
      <c r="E15" s="152" t="s">
        <v>526</v>
      </c>
      <c r="F15" s="153" t="s">
        <v>402</v>
      </c>
      <c r="G15" s="144" t="str">
        <f>IF(OR(E15="4",F15="4"),INDEX([14]NamesElementary!$B$1:$B$65536,MATCH(B15,[14]NamesElementary!$A$1:$A$65536,0),1),INDEX([14]Names!$J$1:$J$65602,MATCH(B15,[14]Names!$F$1:$F$65602,0),1))</f>
        <v>tap water, at user</v>
      </c>
      <c r="H15" s="125" t="str">
        <f>IF(OR(E15="4",F15="4"),"-",INDEX([14]Names!$K$1:$K$65602,MATCH(B15,[14]Names!$F$1:$F$65602,0),1))</f>
        <v>RER</v>
      </c>
      <c r="I15" s="154" t="str">
        <f>IF(OR(E15="4",F15="4"),INDEX([14]NamesElementary!$D$1:$D$65536,MATCH($B15,[14]NamesElementary!$A$1:$A$65536,0),1),"-")</f>
        <v>-</v>
      </c>
      <c r="J15" s="123" t="str">
        <f>IF(OR(E15="4",F15="4"),INDEX([14]NamesElementary!$E$1:$E$65536,MATCH($B15,[14]NamesElementary!$A$1:$A$65536,0),1),"-")</f>
        <v>-</v>
      </c>
      <c r="K15" s="124">
        <f>IF(OR(E15="4",F15="4"),"-",INDEX([14]Names!$N$1:$N$65602,MATCH(B15,[14]Names!$F$1:$F$65602,0),1))</f>
        <v>0</v>
      </c>
      <c r="L15" s="125" t="str">
        <f>IF(OR(E15="4",F15="4"),INDEX([14]NamesElementary!$G$1:$G$65536,MATCH(B15,[14]NamesElementary!$A$1:$A$65536,0),1),INDEX([14]Names!$O$1:$O$65602,MATCH(B15,[14]Names!$F$1:$F$65602,0),1))</f>
        <v>kg</v>
      </c>
      <c r="M15" s="155">
        <f>Y15</f>
        <v>219</v>
      </c>
      <c r="N15" s="29">
        <v>1</v>
      </c>
      <c r="O15" s="1">
        <f t="shared" si="0"/>
        <v>1.0807255723670659</v>
      </c>
      <c r="P15" s="31" t="str">
        <f t="shared" si="1"/>
        <v>(1,2,2,1,1,3); Fthenakis, literature</v>
      </c>
      <c r="Q15" s="155">
        <f>Y15</f>
        <v>219</v>
      </c>
      <c r="R15" s="29">
        <v>1</v>
      </c>
      <c r="S15" s="1">
        <f t="shared" si="2"/>
        <v>1.0807255723670659</v>
      </c>
      <c r="T15" s="31" t="str">
        <f t="shared" si="3"/>
        <v>(1,2,2,1,1,3); Fthenakis, literature</v>
      </c>
      <c r="U15" s="155">
        <f t="shared" si="9"/>
        <v>219</v>
      </c>
      <c r="V15" s="29">
        <v>1</v>
      </c>
      <c r="W15" s="1">
        <f t="shared" si="4"/>
        <v>1.0807255723670659</v>
      </c>
      <c r="X15" s="31" t="str">
        <f t="shared" si="5"/>
        <v>(1,2,2,1,1,3); Fthenakis, literature</v>
      </c>
      <c r="Y15" s="182">
        <v>219</v>
      </c>
      <c r="Z15" s="259"/>
      <c r="AA15" s="259"/>
      <c r="AB15" s="259"/>
      <c r="AC15" s="259"/>
      <c r="AD15" s="253">
        <v>34</v>
      </c>
      <c r="AE15" s="253"/>
      <c r="AF15" s="253"/>
      <c r="AG15" s="253"/>
      <c r="AH15" s="253"/>
      <c r="AI15" s="115" t="s">
        <v>258</v>
      </c>
      <c r="AJ15" s="11">
        <f t="shared" ref="AJ15:AO16" si="10">AJ$10</f>
        <v>1</v>
      </c>
      <c r="AK15" s="11">
        <f t="shared" si="10"/>
        <v>2</v>
      </c>
      <c r="AL15" s="11">
        <v>2</v>
      </c>
      <c r="AM15" s="11">
        <f t="shared" si="10"/>
        <v>1</v>
      </c>
      <c r="AN15" s="11">
        <f t="shared" si="10"/>
        <v>1</v>
      </c>
      <c r="AO15" s="11">
        <f t="shared" si="10"/>
        <v>3</v>
      </c>
      <c r="AP15" s="50">
        <f>IF(OR($E15="4",$F15="4"),INDEX([14]NamesElementary!$J$1:$J$65536,MATCH($B15,[14]NamesElementary!$A$1:$A$65536,0),1),INDEX([14]Names!$W$1:$W$65602,MATCH($B15,[14]Names!$F$1:$F$65602,0),1))</f>
        <v>3</v>
      </c>
      <c r="AQ15" s="51">
        <f>INDEX([14]BasicUncertainty!$H$1:$H$65536,MATCH(AP15,[14]BasicUncertainty!$B$1:$B$65536,0),1)</f>
        <v>1.05</v>
      </c>
      <c r="AR15" s="87">
        <f t="shared" si="6"/>
        <v>1.0622454211725116</v>
      </c>
      <c r="AS15" s="88">
        <f t="shared" si="7"/>
        <v>1.0807255723670659</v>
      </c>
      <c r="AT15" s="89" t="str">
        <f t="shared" si="8"/>
        <v>(1,2,2,1,1,3)</v>
      </c>
      <c r="AU15" s="52">
        <f>IF(AJ15=1,'[14]SDG^2 values'!$B$4,IF(AJ15=2,'[14]SDG^2 values'!$C$4,IF(AJ15=3,'[14]SDG^2 values'!$D$4,IF(AJ15=4,'[14]SDG^2 values'!$E$4,IF(AJ15=5,'[14]SDG^2 values'!$F$4,1)))))</f>
        <v>1</v>
      </c>
      <c r="AV15" s="52">
        <f>IF(AK15=1,'[14]SDG^2 values'!$B$5,IF(AK15=2,'[14]SDG^2 values'!$C$5,IF(AK15=3,'[14]SDG^2 values'!$D$5,IF(AK15=4,'[14]SDG^2 values'!$E$5,IF(AK15=5,'[14]SDG^2 values'!$F$5,1)))))</f>
        <v>1.02</v>
      </c>
      <c r="AW15" s="52">
        <f>IF(AL15=1,'[14]SDG^2 values'!$B$6,IF(AL15=2,'[14]SDG^2 values'!$C$6,IF(AL15=3,'[14]SDG^2 values'!$D$6,IF(AL15=4,'[14]SDG^2 values'!$E$6,IF(AL15=5,'[14]SDG^2 values'!$F$6,1)))))</f>
        <v>1.03</v>
      </c>
      <c r="AX15" s="52">
        <f>IF(AM15=1,'[14]SDG^2 values'!$B$7,IF(AM15=2,'[14]SDG^2 values'!$C$7,IF(AM15=3,'[14]SDG^2 values'!$D$7,IF(AM15=4,'[14]SDG^2 values'!$E$7,IF(AM15=5,'[14]SDG^2 values'!$F$7,1)))))</f>
        <v>1</v>
      </c>
      <c r="AY15" s="52">
        <f>IF(AN15=1,'[14]SDG^2 values'!$B$8,IF(AN15=2,'[14]SDG^2 values'!$C$8,IF(AN15=3,'[14]SDG^2 values'!$D$8,IF(AN15=4,'[14]SDG^2 values'!$E$8,IF(AN15=5,'[14]SDG^2 values'!$F$8,1)))))</f>
        <v>1</v>
      </c>
      <c r="AZ15" s="52">
        <f>IF(AO15=1,'[14]SDG^2 values'!$B$9,IF(AO15=2,'[14]SDG^2 values'!$C$9,IF(AO15=3,'[14]SDG^2 values'!$D$9,IF(AO15=4,'[14]SDG^2 values'!$E$9,IF(AO15=5,'[14]SDG^2 values'!$F$9,1)))))</f>
        <v>1.05</v>
      </c>
      <c r="BC15" s="7"/>
      <c r="BD15" s="7"/>
    </row>
    <row r="16" spans="2:56" ht="12.75">
      <c r="B16" s="226">
        <v>2932</v>
      </c>
      <c r="C16" s="37" t="s">
        <v>659</v>
      </c>
      <c r="D16" s="151" t="s">
        <v>525</v>
      </c>
      <c r="E16" s="152" t="s">
        <v>526</v>
      </c>
      <c r="F16" s="153" t="s">
        <v>402</v>
      </c>
      <c r="G16" s="144" t="str">
        <f>IF(OR(E16="4",F16="4"),INDEX([14]NamesElementary!$B$1:$B$65536,MATCH(B16,[14]NamesElementary!$A$1:$A$65536,0),1),INDEX([14]Names!$J$1:$J$65602,MATCH(B16,[14]Names!$F$1:$F$65602,0),1))</f>
        <v>tempering, flat glass</v>
      </c>
      <c r="H16" s="125" t="str">
        <f>IF(OR(E16="4",F16="4"),"-",INDEX([14]Names!$K$1:$K$65602,MATCH(B16,[14]Names!$F$1:$F$65602,0),1))</f>
        <v>RER</v>
      </c>
      <c r="I16" s="154" t="str">
        <f>IF(OR(E16="4",F16="4"),INDEX([14]NamesElementary!$D$1:$D$65536,MATCH($B16,[14]NamesElementary!$A$1:$A$65536,0),1),"-")</f>
        <v>-</v>
      </c>
      <c r="J16" s="123" t="str">
        <f>IF(OR(E16="4",F16="4"),INDEX([14]NamesElementary!$E$1:$E$65536,MATCH($B16,[14]NamesElementary!$A$1:$A$65536,0),1),"-")</f>
        <v>-</v>
      </c>
      <c r="K16" s="124">
        <f>IF(OR(E16="4",F16="4"),"-",INDEX([14]Names!$N$1:$N$65602,MATCH(B16,[14]Names!$F$1:$F$65602,0),1))</f>
        <v>0</v>
      </c>
      <c r="L16" s="125" t="str">
        <f>IF(OR(E16="4",F16="4"),INDEX([14]NamesElementary!$G$1:$G$65536,MATCH(B16,[14]NamesElementary!$A$1:$A$65536,0),1),INDEX([14]Names!$O$1:$O$65602,MATCH(B16,[14]Names!$F$1:$F$65602,0),1))</f>
        <v>kg</v>
      </c>
      <c r="M16" s="155">
        <f>Y16</f>
        <v>9.15</v>
      </c>
      <c r="N16" s="29">
        <v>1</v>
      </c>
      <c r="O16" s="1">
        <f t="shared" si="0"/>
        <v>1.0807255723670659</v>
      </c>
      <c r="P16" s="31" t="str">
        <f t="shared" si="1"/>
        <v>(1,2,2,1,1,3); amount of flat glass tempered</v>
      </c>
      <c r="Q16" s="155">
        <f t="shared" ref="Q16:Q42" si="11">Y16</f>
        <v>9.15</v>
      </c>
      <c r="R16" s="29">
        <v>1</v>
      </c>
      <c r="S16" s="1">
        <f t="shared" si="2"/>
        <v>1.0807255723670659</v>
      </c>
      <c r="T16" s="31" t="str">
        <f t="shared" si="3"/>
        <v>(1,2,2,1,1,3); amount of flat glass tempered</v>
      </c>
      <c r="U16" s="155">
        <f t="shared" si="9"/>
        <v>9.15</v>
      </c>
      <c r="V16" s="29">
        <v>1</v>
      </c>
      <c r="W16" s="1">
        <f t="shared" si="4"/>
        <v>1.0807255723670659</v>
      </c>
      <c r="X16" s="31" t="str">
        <f t="shared" si="5"/>
        <v>(1,2,2,1,1,3); amount of flat glass tempered</v>
      </c>
      <c r="Y16" s="182">
        <v>9.15</v>
      </c>
      <c r="Z16" s="259"/>
      <c r="AA16" s="259"/>
      <c r="AB16" s="259"/>
      <c r="AC16" s="259"/>
      <c r="AD16" s="253"/>
      <c r="AE16" s="253"/>
      <c r="AF16" s="253"/>
      <c r="AG16" s="253"/>
      <c r="AH16" s="253"/>
      <c r="AI16" s="115" t="s">
        <v>260</v>
      </c>
      <c r="AJ16" s="11">
        <f t="shared" si="10"/>
        <v>1</v>
      </c>
      <c r="AK16" s="11">
        <f t="shared" si="10"/>
        <v>2</v>
      </c>
      <c r="AL16" s="11">
        <v>2</v>
      </c>
      <c r="AM16" s="11">
        <f t="shared" si="10"/>
        <v>1</v>
      </c>
      <c r="AN16" s="11">
        <f t="shared" si="10"/>
        <v>1</v>
      </c>
      <c r="AO16" s="11">
        <f t="shared" si="10"/>
        <v>3</v>
      </c>
      <c r="AP16" s="50">
        <f>IF(OR($E16="4",$F16="4"),INDEX([14]NamesElementary!$J$1:$J$65536,MATCH($B16,[14]NamesElementary!$A$1:$A$65536,0),1),INDEX([14]Names!$W$1:$W$65602,MATCH($B16,[14]Names!$F$1:$F$65602,0),1))</f>
        <v>3</v>
      </c>
      <c r="AQ16" s="51">
        <f>INDEX([14]BasicUncertainty!$H$1:$H$65536,MATCH(AP16,[14]BasicUncertainty!$B$1:$B$65536,0),1)</f>
        <v>1.05</v>
      </c>
      <c r="AR16" s="87">
        <f t="shared" si="6"/>
        <v>1.0622454211725116</v>
      </c>
      <c r="AS16" s="88">
        <f t="shared" si="7"/>
        <v>1.0807255723670659</v>
      </c>
      <c r="AT16" s="89" t="str">
        <f t="shared" si="8"/>
        <v>(1,2,2,1,1,3)</v>
      </c>
      <c r="AU16" s="52">
        <f>IF(AJ16=1,'[14]SDG^2 values'!$B$4,IF(AJ16=2,'[14]SDG^2 values'!$C$4,IF(AJ16=3,'[14]SDG^2 values'!$D$4,IF(AJ16=4,'[14]SDG^2 values'!$E$4,IF(AJ16=5,'[14]SDG^2 values'!$F$4,1)))))</f>
        <v>1</v>
      </c>
      <c r="AV16" s="52">
        <f>IF(AK16=1,'[14]SDG^2 values'!$B$5,IF(AK16=2,'[14]SDG^2 values'!$C$5,IF(AK16=3,'[14]SDG^2 values'!$D$5,IF(AK16=4,'[14]SDG^2 values'!$E$5,IF(AK16=5,'[14]SDG^2 values'!$F$5,1)))))</f>
        <v>1.02</v>
      </c>
      <c r="AW16" s="52">
        <f>IF(AL16=1,'[14]SDG^2 values'!$B$6,IF(AL16=2,'[14]SDG^2 values'!$C$6,IF(AL16=3,'[14]SDG^2 values'!$D$6,IF(AL16=4,'[14]SDG^2 values'!$E$6,IF(AL16=5,'[14]SDG^2 values'!$F$6,1)))))</f>
        <v>1.03</v>
      </c>
      <c r="AX16" s="52">
        <f>IF(AM16=1,'[14]SDG^2 values'!$B$7,IF(AM16=2,'[14]SDG^2 values'!$C$7,IF(AM16=3,'[14]SDG^2 values'!$D$7,IF(AM16=4,'[14]SDG^2 values'!$E$7,IF(AM16=5,'[14]SDG^2 values'!$F$7,1)))))</f>
        <v>1</v>
      </c>
      <c r="AY16" s="52">
        <f>IF(AN16=1,'[14]SDG^2 values'!$B$8,IF(AN16=2,'[14]SDG^2 values'!$C$8,IF(AN16=3,'[14]SDG^2 values'!$D$8,IF(AN16=4,'[14]SDG^2 values'!$E$8,IF(AN16=5,'[14]SDG^2 values'!$F$8,1)))))</f>
        <v>1</v>
      </c>
      <c r="AZ16" s="52">
        <f>IF(AO16=1,'[14]SDG^2 values'!$B$9,IF(AO16=2,'[14]SDG^2 values'!$C$9,IF(AO16=3,'[14]SDG^2 values'!$D$9,IF(AO16=4,'[14]SDG^2 values'!$E$9,IF(AO16=5,'[14]SDG^2 values'!$F$9,1)))))</f>
        <v>1.05</v>
      </c>
      <c r="BC16" s="7"/>
      <c r="BD16" s="7"/>
    </row>
    <row r="17" spans="2:56" ht="24">
      <c r="B17" s="156">
        <v>992</v>
      </c>
      <c r="C17" s="37" t="s">
        <v>150</v>
      </c>
      <c r="D17" s="151" t="s">
        <v>525</v>
      </c>
      <c r="E17" s="152" t="s">
        <v>526</v>
      </c>
      <c r="F17" s="153" t="s">
        <v>402</v>
      </c>
      <c r="G17" s="144" t="str">
        <f>IF(OR(E17="4",F17="4"),INDEX([14]NamesElementary!$B$1:$B$65536,MATCH(B17,[14]NamesElementary!$A$1:$A$65536,0),1),INDEX([14]Names!$J$1:$J$65602,MATCH(B17,[14]Names!$F$1:$F$65602,0),1))</f>
        <v>copper, at regional storage</v>
      </c>
      <c r="H17" s="125" t="str">
        <f>IF(OR(E17="4",F17="4"),"-",INDEX([14]Names!$K$1:$K$65602,MATCH(B17,[14]Names!$F$1:$F$65602,0),1))</f>
        <v>RER</v>
      </c>
      <c r="I17" s="154" t="str">
        <f>IF(OR(E17="4",F17="4"),INDEX([14]NamesElementary!$D$1:$D$65536,MATCH($B17,[14]NamesElementary!$A$1:$A$65536,0),1),"-")</f>
        <v>-</v>
      </c>
      <c r="J17" s="123" t="str">
        <f>IF(OR(E17="4",F17="4"),INDEX([14]NamesElementary!$E$1:$E$65536,MATCH($B17,[14]NamesElementary!$A$1:$A$65536,0),1),"-")</f>
        <v>-</v>
      </c>
      <c r="K17" s="124">
        <f>IF(OR(E17="4",F17="4"),"-",INDEX([14]Names!$N$1:$N$65602,MATCH(B17,[14]Names!$F$1:$F$65602,0),1))</f>
        <v>0</v>
      </c>
      <c r="L17" s="125" t="str">
        <f>IF(OR(E17="4",F17="4"),INDEX([14]NamesElementary!$G$1:$G$65536,MATCH(B17,[14]NamesElementary!$A$1:$A$65536,0),1),INDEX([14]Names!$O$1:$O$65602,MATCH(B17,[14]Names!$F$1:$F$65602,0),1))</f>
        <v>kg</v>
      </c>
      <c r="M17" s="155">
        <f>Y17</f>
        <v>0.51807380000000003</v>
      </c>
      <c r="N17" s="29">
        <v>1</v>
      </c>
      <c r="O17" s="1">
        <f t="shared" si="0"/>
        <v>1.0807255723670659</v>
      </c>
      <c r="P17" s="31" t="str">
        <f t="shared" si="1"/>
        <v>(1,2,2,1,1,3); Fthenakis, including metal compounds for coating and contacts</v>
      </c>
      <c r="Q17" s="155">
        <f t="shared" si="11"/>
        <v>0.51807380000000003</v>
      </c>
      <c r="R17" s="29">
        <v>1</v>
      </c>
      <c r="S17" s="1">
        <f t="shared" si="2"/>
        <v>1.0807255723670659</v>
      </c>
      <c r="T17" s="31" t="str">
        <f t="shared" si="3"/>
        <v>(1,2,2,1,1,3); Fthenakis, including metal compounds for coating and contacts</v>
      </c>
      <c r="U17" s="155">
        <f t="shared" si="9"/>
        <v>0.51807380000000003</v>
      </c>
      <c r="V17" s="29">
        <v>1</v>
      </c>
      <c r="W17" s="1">
        <f t="shared" si="4"/>
        <v>1.0807255723670659</v>
      </c>
      <c r="X17" s="31" t="str">
        <f t="shared" si="5"/>
        <v>(1,2,2,1,1,3); Fthenakis, including metal compounds for coating and contacts</v>
      </c>
      <c r="Y17" s="182">
        <f>0.518+0.0000738</f>
        <v>0.51807380000000003</v>
      </c>
      <c r="Z17" s="343" t="s">
        <v>676</v>
      </c>
      <c r="AA17" s="259"/>
      <c r="AB17" s="259"/>
      <c r="AC17" s="259"/>
      <c r="AD17" s="253">
        <v>0.18</v>
      </c>
      <c r="AE17" s="253"/>
      <c r="AF17" s="253"/>
      <c r="AG17" s="253"/>
      <c r="AH17" s="253"/>
      <c r="AI17" s="115" t="s">
        <v>139</v>
      </c>
      <c r="AJ17" s="11">
        <f t="shared" ref="AJ17:AO24" si="12">AJ$10</f>
        <v>1</v>
      </c>
      <c r="AK17" s="11">
        <f t="shared" si="12"/>
        <v>2</v>
      </c>
      <c r="AL17" s="11">
        <v>2</v>
      </c>
      <c r="AM17" s="11">
        <f t="shared" si="12"/>
        <v>1</v>
      </c>
      <c r="AN17" s="11">
        <f t="shared" si="12"/>
        <v>1</v>
      </c>
      <c r="AO17" s="11">
        <f t="shared" si="12"/>
        <v>3</v>
      </c>
      <c r="AP17" s="50">
        <f>IF(OR($E17="4",$F17="4"),INDEX([14]NamesElementary!$J$1:$J$65536,MATCH($B17,[14]NamesElementary!$A$1:$A$65536,0),1),INDEX([14]Names!$W$1:$W$65602,MATCH($B17,[14]Names!$F$1:$F$65602,0),1))</f>
        <v>3</v>
      </c>
      <c r="AQ17" s="51">
        <f>INDEX([14]BasicUncertainty!$H$1:$H$65536,MATCH(AP17,[14]BasicUncertainty!$B$1:$B$65536,0),1)</f>
        <v>1.05</v>
      </c>
      <c r="AR17" s="87">
        <f t="shared" si="6"/>
        <v>1.0622454211725116</v>
      </c>
      <c r="AS17" s="88">
        <f t="shared" si="7"/>
        <v>1.0807255723670659</v>
      </c>
      <c r="AT17" s="89" t="str">
        <f t="shared" si="8"/>
        <v>(1,2,2,1,1,3)</v>
      </c>
      <c r="AU17" s="52">
        <f>IF(AJ17=1,'[14]SDG^2 values'!$B$4,IF(AJ17=2,'[14]SDG^2 values'!$C$4,IF(AJ17=3,'[14]SDG^2 values'!$D$4,IF(AJ17=4,'[14]SDG^2 values'!$E$4,IF(AJ17=5,'[14]SDG^2 values'!$F$4,1)))))</f>
        <v>1</v>
      </c>
      <c r="AV17" s="52">
        <f>IF(AK17=1,'[14]SDG^2 values'!$B$5,IF(AK17=2,'[14]SDG^2 values'!$C$5,IF(AK17=3,'[14]SDG^2 values'!$D$5,IF(AK17=4,'[14]SDG^2 values'!$E$5,IF(AK17=5,'[14]SDG^2 values'!$F$5,1)))))</f>
        <v>1.02</v>
      </c>
      <c r="AW17" s="52">
        <f>IF(AL17=1,'[14]SDG^2 values'!$B$6,IF(AL17=2,'[14]SDG^2 values'!$C$6,IF(AL17=3,'[14]SDG^2 values'!$D$6,IF(AL17=4,'[14]SDG^2 values'!$E$6,IF(AL17=5,'[14]SDG^2 values'!$F$6,1)))))</f>
        <v>1.03</v>
      </c>
      <c r="AX17" s="52">
        <f>IF(AM17=1,'[14]SDG^2 values'!$B$7,IF(AM17=2,'[14]SDG^2 values'!$C$7,IF(AM17=3,'[14]SDG^2 values'!$D$7,IF(AM17=4,'[14]SDG^2 values'!$E$7,IF(AM17=5,'[14]SDG^2 values'!$F$7,1)))))</f>
        <v>1</v>
      </c>
      <c r="AY17" s="52">
        <f>IF(AN17=1,'[14]SDG^2 values'!$B$8,IF(AN17=2,'[14]SDG^2 values'!$C$8,IF(AN17=3,'[14]SDG^2 values'!$D$8,IF(AN17=4,'[14]SDG^2 values'!$E$8,IF(AN17=5,'[14]SDG^2 values'!$F$8,1)))))</f>
        <v>1</v>
      </c>
      <c r="AZ17" s="52">
        <f>IF(AO17=1,'[14]SDG^2 values'!$B$9,IF(AO17=2,'[14]SDG^2 values'!$C$9,IF(AO17=3,'[14]SDG^2 values'!$D$9,IF(AO17=4,'[14]SDG^2 values'!$E$9,IF(AO17=5,'[14]SDG^2 values'!$F$9,1)))))</f>
        <v>1.05</v>
      </c>
      <c r="BC17" s="7"/>
      <c r="BD17" s="7"/>
    </row>
    <row r="18" spans="2:56" ht="12.75">
      <c r="B18" s="120">
        <v>1035</v>
      </c>
      <c r="C18" s="168" t="s">
        <v>525</v>
      </c>
      <c r="D18" s="151" t="s">
        <v>525</v>
      </c>
      <c r="E18" s="152" t="s">
        <v>526</v>
      </c>
      <c r="F18" s="153" t="s">
        <v>402</v>
      </c>
      <c r="G18" s="144" t="str">
        <f>IF(OR(E18="4",F18="4"),INDEX([14]NamesElementary!$B$1:$B$65536,MATCH(B18,[14]NamesElementary!$A$1:$A$65536,0),1),INDEX([14]Names!$J$1:$J$65602,MATCH(B18,[14]Names!$F$1:$F$65602,0),1))</f>
        <v>lead, at regional storage</v>
      </c>
      <c r="H18" s="125" t="str">
        <f>IF(OR(E18="4",F18="4"),"-",INDEX([14]Names!$K$1:$K$65602,MATCH(B18,[14]Names!$F$1:$F$65602,0),1))</f>
        <v>RER</v>
      </c>
      <c r="I18" s="154" t="str">
        <f>IF(OR(E18="4",F18="4"),INDEX([14]NamesElementary!$D$1:$D$65536,MATCH($B18,[14]NamesElementary!$A$1:$A$65536,0),1),"-")</f>
        <v>-</v>
      </c>
      <c r="J18" s="123" t="str">
        <f>IF(OR(E18="4",F18="4"),INDEX([14]NamesElementary!$E$1:$E$65536,MATCH($B18,[14]NamesElementary!$A$1:$A$65536,0),1),"-")</f>
        <v>-</v>
      </c>
      <c r="K18" s="124">
        <f>IF(OR(E18="4",F18="4"),"-",INDEX([14]Names!$N$1:$N$65602,MATCH(B18,[14]Names!$F$1:$F$65602,0),1))</f>
        <v>0</v>
      </c>
      <c r="L18" s="125" t="str">
        <f>IF(OR(E18="4",F18="4"),INDEX([14]NamesElementary!$G$1:$G$65536,MATCH(B18,[14]NamesElementary!$A$1:$A$65536,0),1),INDEX([14]Names!$O$1:$O$65602,MATCH(B18,[14]Names!$F$1:$F$65602,0),1))</f>
        <v>kg</v>
      </c>
      <c r="M18" s="155">
        <f>Y18</f>
        <v>7.0799999999999997E-4</v>
      </c>
      <c r="N18" s="29">
        <v>1</v>
      </c>
      <c r="O18" s="1">
        <f t="shared" si="0"/>
        <v>1.0807255723670659</v>
      </c>
      <c r="P18" s="31" t="str">
        <f t="shared" si="1"/>
        <v>(1,2,2,1,1,3); Fthenakis, literature</v>
      </c>
      <c r="Q18" s="155">
        <f t="shared" si="11"/>
        <v>7.0799999999999997E-4</v>
      </c>
      <c r="R18" s="29">
        <v>1</v>
      </c>
      <c r="S18" s="1">
        <f t="shared" si="2"/>
        <v>1.0807255723670659</v>
      </c>
      <c r="T18" s="31" t="str">
        <f t="shared" si="3"/>
        <v>(1,2,2,1,1,3); Fthenakis, literature</v>
      </c>
      <c r="U18" s="155">
        <f t="shared" si="9"/>
        <v>7.0799999999999997E-4</v>
      </c>
      <c r="V18" s="29">
        <v>1</v>
      </c>
      <c r="W18" s="1">
        <f t="shared" si="4"/>
        <v>1.0807255723670659</v>
      </c>
      <c r="X18" s="31" t="str">
        <f t="shared" si="5"/>
        <v>(1,2,2,1,1,3); Fthenakis, literature</v>
      </c>
      <c r="Y18" s="182">
        <v>7.0799999999999997E-4</v>
      </c>
      <c r="Z18" s="259"/>
      <c r="AA18" s="259"/>
      <c r="AB18" s="259"/>
      <c r="AC18" s="259"/>
      <c r="AD18" s="253"/>
      <c r="AE18" s="253"/>
      <c r="AF18" s="253"/>
      <c r="AG18" s="253"/>
      <c r="AH18" s="253"/>
      <c r="AI18" s="115" t="s">
        <v>258</v>
      </c>
      <c r="AJ18" s="11">
        <f t="shared" si="12"/>
        <v>1</v>
      </c>
      <c r="AK18" s="11">
        <f t="shared" si="12"/>
        <v>2</v>
      </c>
      <c r="AL18" s="11">
        <v>2</v>
      </c>
      <c r="AM18" s="11">
        <f t="shared" si="12"/>
        <v>1</v>
      </c>
      <c r="AN18" s="11">
        <f t="shared" si="12"/>
        <v>1</v>
      </c>
      <c r="AO18" s="11">
        <f t="shared" si="12"/>
        <v>3</v>
      </c>
      <c r="AP18" s="50">
        <f>IF(OR($E18="4",$F18="4"),INDEX([14]NamesElementary!$J$1:$J$65536,MATCH($B18,[14]NamesElementary!$A$1:$A$65536,0),1),INDEX([14]Names!$W$1:$W$65602,MATCH($B18,[14]Names!$F$1:$F$65602,0),1))</f>
        <v>3</v>
      </c>
      <c r="AQ18" s="51">
        <f>INDEX([14]BasicUncertainty!$H$1:$H$65536,MATCH(AP18,[14]BasicUncertainty!$B$1:$B$65536,0),1)</f>
        <v>1.05</v>
      </c>
      <c r="AR18" s="87">
        <f t="shared" si="6"/>
        <v>1.0622454211725116</v>
      </c>
      <c r="AS18" s="88">
        <f t="shared" si="7"/>
        <v>1.0807255723670659</v>
      </c>
      <c r="AT18" s="89" t="str">
        <f t="shared" si="8"/>
        <v>(1,2,2,1,1,3)</v>
      </c>
      <c r="AU18" s="52">
        <f>IF(AJ18=1,'[14]SDG^2 values'!$B$4,IF(AJ18=2,'[14]SDG^2 values'!$C$4,IF(AJ18=3,'[14]SDG^2 values'!$D$4,IF(AJ18=4,'[14]SDG^2 values'!$E$4,IF(AJ18=5,'[14]SDG^2 values'!$F$4,1)))))</f>
        <v>1</v>
      </c>
      <c r="AV18" s="52">
        <f>IF(AK18=1,'[14]SDG^2 values'!$B$5,IF(AK18=2,'[14]SDG^2 values'!$C$5,IF(AK18=3,'[14]SDG^2 values'!$D$5,IF(AK18=4,'[14]SDG^2 values'!$E$5,IF(AK18=5,'[14]SDG^2 values'!$F$5,1)))))</f>
        <v>1.02</v>
      </c>
      <c r="AW18" s="52">
        <f>IF(AL18=1,'[14]SDG^2 values'!$B$6,IF(AL18=2,'[14]SDG^2 values'!$C$6,IF(AL18=3,'[14]SDG^2 values'!$D$6,IF(AL18=4,'[14]SDG^2 values'!$E$6,IF(AL18=5,'[14]SDG^2 values'!$F$6,1)))))</f>
        <v>1.03</v>
      </c>
      <c r="AX18" s="52">
        <f>IF(AM18=1,'[14]SDG^2 values'!$B$7,IF(AM18=2,'[14]SDG^2 values'!$C$7,IF(AM18=3,'[14]SDG^2 values'!$D$7,IF(AM18=4,'[14]SDG^2 values'!$E$7,IF(AM18=5,'[14]SDG^2 values'!$F$7,1)))))</f>
        <v>1</v>
      </c>
      <c r="AY18" s="52">
        <f>IF(AN18=1,'[14]SDG^2 values'!$B$8,IF(AN18=2,'[14]SDG^2 values'!$C$8,IF(AN18=3,'[14]SDG^2 values'!$D$8,IF(AN18=4,'[14]SDG^2 values'!$E$8,IF(AN18=5,'[14]SDG^2 values'!$F$8,1)))))</f>
        <v>1</v>
      </c>
      <c r="AZ18" s="52">
        <f>IF(AO18=1,'[14]SDG^2 values'!$B$9,IF(AO18=2,'[14]SDG^2 values'!$C$9,IF(AO18=3,'[14]SDG^2 values'!$D$9,IF(AO18=4,'[14]SDG^2 values'!$E$9,IF(AO18=5,'[14]SDG^2 values'!$F$9,1)))))</f>
        <v>1.05</v>
      </c>
      <c r="BC18" s="7"/>
      <c r="BD18" s="7"/>
    </row>
    <row r="19" spans="2:56" ht="12.75">
      <c r="B19" s="226">
        <v>3819</v>
      </c>
      <c r="C19" s="168" t="s">
        <v>525</v>
      </c>
      <c r="D19" s="151" t="s">
        <v>525</v>
      </c>
      <c r="E19" s="152" t="s">
        <v>526</v>
      </c>
      <c r="F19" s="153" t="s">
        <v>402</v>
      </c>
      <c r="G19" s="144" t="str">
        <f>IF(OR(E19="4",F19="4"),INDEX([14]NamesElementary!$B$1:$B$65536,MATCH(B19,[14]NamesElementary!$A$1:$A$65536,0),1),INDEX([14]Names!$J$1:$J$65602,MATCH(B19,[14]Names!$F$1:$F$65602,0),1))</f>
        <v>silicone product, at plant</v>
      </c>
      <c r="H19" s="125" t="str">
        <f>IF(OR(E19="4",F19="4"),"-",INDEX([14]Names!$K$1:$K$65602,MATCH(B19,[14]Names!$F$1:$F$65602,0),1))</f>
        <v>RER</v>
      </c>
      <c r="I19" s="154" t="str">
        <f>IF(OR(E19="4",F19="4"),INDEX([14]NamesElementary!$D$1:$D$65536,MATCH($B19,[14]NamesElementary!$A$1:$A$65536,0),1),"-")</f>
        <v>-</v>
      </c>
      <c r="J19" s="123" t="str">
        <f>IF(OR(E19="4",F19="4"),INDEX([14]NamesElementary!$E$1:$E$65536,MATCH($B19,[14]NamesElementary!$A$1:$A$65536,0),1),"-")</f>
        <v>-</v>
      </c>
      <c r="K19" s="124">
        <f>IF(OR(E19="4",F19="4"),"-",INDEX([14]Names!$N$1:$N$65602,MATCH(B19,[14]Names!$F$1:$F$65602,0),1))</f>
        <v>0</v>
      </c>
      <c r="L19" s="125" t="str">
        <f>IF(OR(E19="4",F19="4"),INDEX([14]NamesElementary!$G$1:$G$65536,MATCH(B19,[14]NamesElementary!$A$1:$A$65536,0),1),INDEX([14]Names!$O$1:$O$65602,MATCH(B19,[14]Names!$F$1:$F$65602,0),1))</f>
        <v>kg</v>
      </c>
      <c r="M19" s="155">
        <f>Y19</f>
        <v>3.0699999999999998E-3</v>
      </c>
      <c r="N19" s="29">
        <v>1</v>
      </c>
      <c r="O19" s="1">
        <f t="shared" si="0"/>
        <v>1.0807255723670659</v>
      </c>
      <c r="P19" s="31" t="str">
        <f t="shared" si="1"/>
        <v>(1,2,2,1,1,3); Fthenakis, literature</v>
      </c>
      <c r="Q19" s="155">
        <f t="shared" si="11"/>
        <v>3.0699999999999998E-3</v>
      </c>
      <c r="R19" s="29">
        <v>1</v>
      </c>
      <c r="S19" s="1">
        <f t="shared" si="2"/>
        <v>1.0807255723670659</v>
      </c>
      <c r="T19" s="31" t="str">
        <f t="shared" si="3"/>
        <v>(1,2,2,1,1,3); Fthenakis, literature</v>
      </c>
      <c r="U19" s="155">
        <f t="shared" si="9"/>
        <v>3.0699999999999998E-3</v>
      </c>
      <c r="V19" s="29">
        <v>1</v>
      </c>
      <c r="W19" s="1">
        <f t="shared" si="4"/>
        <v>1.0807255723670659</v>
      </c>
      <c r="X19" s="31" t="str">
        <f t="shared" si="5"/>
        <v>(1,2,2,1,1,3); Fthenakis, literature</v>
      </c>
      <c r="Y19" s="182">
        <v>3.0699999999999998E-3</v>
      </c>
      <c r="Z19" s="259"/>
      <c r="AA19" s="259"/>
      <c r="AB19" s="259"/>
      <c r="AC19" s="259"/>
      <c r="AD19" s="253"/>
      <c r="AE19" s="253"/>
      <c r="AF19" s="253"/>
      <c r="AG19" s="253"/>
      <c r="AH19" s="253"/>
      <c r="AI19" s="115" t="s">
        <v>258</v>
      </c>
      <c r="AJ19" s="11">
        <f t="shared" si="12"/>
        <v>1</v>
      </c>
      <c r="AK19" s="11">
        <f t="shared" si="12"/>
        <v>2</v>
      </c>
      <c r="AL19" s="11">
        <v>2</v>
      </c>
      <c r="AM19" s="11">
        <f t="shared" si="12"/>
        <v>1</v>
      </c>
      <c r="AN19" s="11">
        <f t="shared" si="12"/>
        <v>1</v>
      </c>
      <c r="AO19" s="11">
        <f t="shared" si="12"/>
        <v>3</v>
      </c>
      <c r="AP19" s="50">
        <f>IF(OR($E19="4",$F19="4"),INDEX([14]NamesElementary!$J$1:$J$65536,MATCH($B19,[14]NamesElementary!$A$1:$A$65536,0),1),INDEX([14]Names!$W$1:$W$65602,MATCH($B19,[14]Names!$F$1:$F$65602,0),1))</f>
        <v>3</v>
      </c>
      <c r="AQ19" s="51">
        <f>INDEX([14]BasicUncertainty!$H$1:$H$65536,MATCH(AP19,[14]BasicUncertainty!$B$1:$B$65536,0),1)</f>
        <v>1.05</v>
      </c>
      <c r="AR19" s="87">
        <f t="shared" si="6"/>
        <v>1.0622454211725116</v>
      </c>
      <c r="AS19" s="88">
        <f t="shared" si="7"/>
        <v>1.0807255723670659</v>
      </c>
      <c r="AT19" s="89" t="str">
        <f t="shared" si="8"/>
        <v>(1,2,2,1,1,3)</v>
      </c>
      <c r="AU19" s="52">
        <f>IF(AJ19=1,'[14]SDG^2 values'!$B$4,IF(AJ19=2,'[14]SDG^2 values'!$C$4,IF(AJ19=3,'[14]SDG^2 values'!$D$4,IF(AJ19=4,'[14]SDG^2 values'!$E$4,IF(AJ19=5,'[14]SDG^2 values'!$F$4,1)))))</f>
        <v>1</v>
      </c>
      <c r="AV19" s="52">
        <f>IF(AK19=1,'[14]SDG^2 values'!$B$5,IF(AK19=2,'[14]SDG^2 values'!$C$5,IF(AK19=3,'[14]SDG^2 values'!$D$5,IF(AK19=4,'[14]SDG^2 values'!$E$5,IF(AK19=5,'[14]SDG^2 values'!$F$5,1)))))</f>
        <v>1.02</v>
      </c>
      <c r="AW19" s="52">
        <f>IF(AL19=1,'[14]SDG^2 values'!$B$6,IF(AL19=2,'[14]SDG^2 values'!$C$6,IF(AL19=3,'[14]SDG^2 values'!$D$6,IF(AL19=4,'[14]SDG^2 values'!$E$6,IF(AL19=5,'[14]SDG^2 values'!$F$6,1)))))</f>
        <v>1.03</v>
      </c>
      <c r="AX19" s="52">
        <f>IF(AM19=1,'[14]SDG^2 values'!$B$7,IF(AM19=2,'[14]SDG^2 values'!$C$7,IF(AM19=3,'[14]SDG^2 values'!$D$7,IF(AM19=4,'[14]SDG^2 values'!$E$7,IF(AM19=5,'[14]SDG^2 values'!$F$7,1)))))</f>
        <v>1</v>
      </c>
      <c r="AY19" s="52">
        <f>IF(AN19=1,'[14]SDG^2 values'!$B$8,IF(AN19=2,'[14]SDG^2 values'!$C$8,IF(AN19=3,'[14]SDG^2 values'!$D$8,IF(AN19=4,'[14]SDG^2 values'!$E$8,IF(AN19=5,'[14]SDG^2 values'!$F$8,1)))))</f>
        <v>1</v>
      </c>
      <c r="AZ19" s="52">
        <f>IF(AO19=1,'[14]SDG^2 values'!$B$9,IF(AO19=2,'[14]SDG^2 values'!$C$9,IF(AO19=3,'[14]SDG^2 values'!$D$9,IF(AO19=4,'[14]SDG^2 values'!$E$9,IF(AO19=5,'[14]SDG^2 values'!$F$9,1)))))</f>
        <v>1.05</v>
      </c>
      <c r="BC19" s="7"/>
      <c r="BD19" s="7"/>
    </row>
    <row r="20" spans="2:56" ht="12.75">
      <c r="B20" s="226">
        <v>1132</v>
      </c>
      <c r="C20" s="37"/>
      <c r="D20" s="151" t="s">
        <v>525</v>
      </c>
      <c r="E20" s="152" t="s">
        <v>526</v>
      </c>
      <c r="F20" s="153" t="s">
        <v>402</v>
      </c>
      <c r="G20" s="144" t="str">
        <f>IF(OR(E20="4",F20="4"),INDEX([14]NamesElementary!$B$1:$B$65536,MATCH(B20,[14]NamesElementary!$A$1:$A$65536,0),1),INDEX([14]Names!$J$1:$J$65602,MATCH(B20,[14]Names!$F$1:$F$65602,0),1))</f>
        <v>steel, low-alloyed, at plant</v>
      </c>
      <c r="H20" s="125" t="str">
        <f>IF(OR(E20="4",F20="4"),"-",INDEX([14]Names!$K$1:$K$65602,MATCH(B20,[14]Names!$F$1:$F$65602,0),1))</f>
        <v>RER</v>
      </c>
      <c r="I20" s="154" t="str">
        <f>IF(OR(E20="4",F20="4"),INDEX([14]NamesElementary!$D$1:$D$65536,MATCH($B20,[14]NamesElementary!$A$1:$A$65536,0),1),"-")</f>
        <v>-</v>
      </c>
      <c r="J20" s="123" t="str">
        <f>IF(OR(E20="4",F20="4"),INDEX([14]NamesElementary!$E$1:$E$65536,MATCH($B20,[14]NamesElementary!$A$1:$A$65536,0),1),"-")</f>
        <v>-</v>
      </c>
      <c r="K20" s="124">
        <f>IF(OR(E20="4",F20="4"),"-",INDEX([14]Names!$N$1:$N$65602,MATCH(B20,[14]Names!$F$1:$F$65602,0),1))</f>
        <v>0</v>
      </c>
      <c r="L20" s="125" t="str">
        <f>IF(OR(E20="4",F20="4"),INDEX([14]NamesElementary!$G$1:$G$65536,MATCH(B20,[14]NamesElementary!$A$1:$A$65536,0),1),INDEX([14]Names!$O$1:$O$65602,MATCH(B20,[14]Names!$F$1:$F$65602,0),1))</f>
        <v>kg</v>
      </c>
      <c r="M20" s="155">
        <f>Z20</f>
        <v>0.22</v>
      </c>
      <c r="N20" s="29">
        <v>1</v>
      </c>
      <c r="O20" s="1">
        <f t="shared" si="0"/>
        <v>1.0807255723670659</v>
      </c>
      <c r="P20" s="31" t="str">
        <f t="shared" si="1"/>
        <v>(1,2,2,1,1,3); Fthenakis, literature</v>
      </c>
      <c r="Q20" s="155">
        <f>Z20</f>
        <v>0.22</v>
      </c>
      <c r="R20" s="29">
        <v>1</v>
      </c>
      <c r="S20" s="1">
        <f t="shared" si="2"/>
        <v>1.0807255723670659</v>
      </c>
      <c r="T20" s="31" t="str">
        <f t="shared" si="3"/>
        <v>(1,2,2,1,1,3); Fthenakis, literature</v>
      </c>
      <c r="U20" s="155">
        <f t="shared" si="9"/>
        <v>0.22</v>
      </c>
      <c r="V20" s="29">
        <v>1</v>
      </c>
      <c r="W20" s="1">
        <f t="shared" si="4"/>
        <v>1.0807255723670659</v>
      </c>
      <c r="X20" s="31" t="str">
        <f t="shared" si="5"/>
        <v>(1,2,2,1,1,3); Fthenakis, literature</v>
      </c>
      <c r="Y20" s="182"/>
      <c r="Z20" s="259">
        <v>0.22</v>
      </c>
      <c r="AA20" s="259"/>
      <c r="AB20" s="259"/>
      <c r="AC20" s="259"/>
      <c r="AD20" s="253"/>
      <c r="AE20" s="253"/>
      <c r="AF20" s="253"/>
      <c r="AG20" s="253"/>
      <c r="AH20" s="253"/>
      <c r="AI20" s="115" t="s">
        <v>258</v>
      </c>
      <c r="AJ20" s="11">
        <f t="shared" si="12"/>
        <v>1</v>
      </c>
      <c r="AK20" s="11">
        <f t="shared" si="12"/>
        <v>2</v>
      </c>
      <c r="AL20" s="11">
        <v>2</v>
      </c>
      <c r="AM20" s="11">
        <f t="shared" si="12"/>
        <v>1</v>
      </c>
      <c r="AN20" s="11">
        <f t="shared" si="12"/>
        <v>1</v>
      </c>
      <c r="AO20" s="11">
        <f t="shared" si="12"/>
        <v>3</v>
      </c>
      <c r="AP20" s="50">
        <f>IF(OR($E20="4",$F20="4"),INDEX([14]NamesElementary!$J$1:$J$65536,MATCH($B20,[14]NamesElementary!$A$1:$A$65536,0),1),INDEX([14]Names!$W$1:$W$65602,MATCH($B20,[14]Names!$F$1:$F$65602,0),1))</f>
        <v>3</v>
      </c>
      <c r="AQ20" s="51">
        <f>INDEX([14]BasicUncertainty!$H$1:$H$65536,MATCH(AP20,[14]BasicUncertainty!$B$1:$B$65536,0),1)</f>
        <v>1.05</v>
      </c>
      <c r="AR20" s="87">
        <f t="shared" si="6"/>
        <v>1.0622454211725116</v>
      </c>
      <c r="AS20" s="88">
        <f t="shared" si="7"/>
        <v>1.0807255723670659</v>
      </c>
      <c r="AT20" s="89" t="str">
        <f t="shared" si="8"/>
        <v>(1,2,2,1,1,3)</v>
      </c>
      <c r="AU20" s="52">
        <f>IF(AJ20=1,'[14]SDG^2 values'!$B$4,IF(AJ20=2,'[14]SDG^2 values'!$C$4,IF(AJ20=3,'[14]SDG^2 values'!$D$4,IF(AJ20=4,'[14]SDG^2 values'!$E$4,IF(AJ20=5,'[14]SDG^2 values'!$F$4,1)))))</f>
        <v>1</v>
      </c>
      <c r="AV20" s="52">
        <f>IF(AK20=1,'[14]SDG^2 values'!$B$5,IF(AK20=2,'[14]SDG^2 values'!$C$5,IF(AK20=3,'[14]SDG^2 values'!$D$5,IF(AK20=4,'[14]SDG^2 values'!$E$5,IF(AK20=5,'[14]SDG^2 values'!$F$5,1)))))</f>
        <v>1.02</v>
      </c>
      <c r="AW20" s="52">
        <f>IF(AL20=1,'[14]SDG^2 values'!$B$6,IF(AL20=2,'[14]SDG^2 values'!$C$6,IF(AL20=3,'[14]SDG^2 values'!$D$6,IF(AL20=4,'[14]SDG^2 values'!$E$6,IF(AL20=5,'[14]SDG^2 values'!$F$6,1)))))</f>
        <v>1.03</v>
      </c>
      <c r="AX20" s="52">
        <f>IF(AM20=1,'[14]SDG^2 values'!$B$7,IF(AM20=2,'[14]SDG^2 values'!$C$7,IF(AM20=3,'[14]SDG^2 values'!$D$7,IF(AM20=4,'[14]SDG^2 values'!$E$7,IF(AM20=5,'[14]SDG^2 values'!$F$7,1)))))</f>
        <v>1</v>
      </c>
      <c r="AY20" s="52">
        <f>IF(AN20=1,'[14]SDG^2 values'!$B$8,IF(AN20=2,'[14]SDG^2 values'!$C$8,IF(AN20=3,'[14]SDG^2 values'!$D$8,IF(AN20=4,'[14]SDG^2 values'!$E$8,IF(AN20=5,'[14]SDG^2 values'!$F$8,1)))))</f>
        <v>1</v>
      </c>
      <c r="AZ20" s="52">
        <f>IF(AO20=1,'[14]SDG^2 values'!$B$9,IF(AO20=2,'[14]SDG^2 values'!$C$9,IF(AO20=3,'[14]SDG^2 values'!$D$9,IF(AO20=4,'[14]SDG^2 values'!$E$9,IF(AO20=5,'[14]SDG^2 values'!$F$9,1)))))</f>
        <v>1.05</v>
      </c>
      <c r="BC20" s="7"/>
      <c r="BD20" s="7"/>
    </row>
    <row r="21" spans="2:56" ht="12.75">
      <c r="B21" s="2">
        <v>2929</v>
      </c>
      <c r="C21" s="37" t="s">
        <v>525</v>
      </c>
      <c r="D21" s="151" t="s">
        <v>525</v>
      </c>
      <c r="E21" s="152" t="s">
        <v>526</v>
      </c>
      <c r="F21" s="153" t="s">
        <v>402</v>
      </c>
      <c r="G21" s="144" t="str">
        <f>IF(OR(E21="4",F21="4"),INDEX([14]NamesElementary!$B$1:$B$65536,MATCH(B21,[14]NamesElementary!$A$1:$A$65536,0),1),INDEX([14]Names!$J$1:$J$65602,MATCH(B21,[14]Names!$F$1:$F$65602,0),1))</f>
        <v>solar glass, low-iron, at regional storage</v>
      </c>
      <c r="H21" s="125" t="str">
        <f>IF(OR(E21="4",F21="4"),"-",INDEX([14]Names!$K$1:$K$65602,MATCH(B21,[14]Names!$F$1:$F$65602,0),1))</f>
        <v>RER</v>
      </c>
      <c r="I21" s="154" t="str">
        <f>IF(OR(E21="4",F21="4"),INDEX([14]NamesElementary!$D$1:$D$65536,MATCH($B21,[14]NamesElementary!$A$1:$A$65536,0),1),"-")</f>
        <v>-</v>
      </c>
      <c r="J21" s="123" t="str">
        <f>IF(OR(E21="4",F21="4"),INDEX([14]NamesElementary!$E$1:$E$65536,MATCH($B21,[14]NamesElementary!$A$1:$A$65536,0),1),"-")</f>
        <v>-</v>
      </c>
      <c r="K21" s="124">
        <f>IF(OR(E21="4",F21="4"),"-",INDEX([14]Names!$N$1:$N$65602,MATCH(B21,[14]Names!$F$1:$F$65602,0),1))</f>
        <v>0</v>
      </c>
      <c r="L21" s="125" t="str">
        <f>IF(OR(E21="4",F21="4"),INDEX([14]NamesElementary!$G$1:$G$65536,MATCH(B21,[14]NamesElementary!$A$1:$A$65536,0),1),INDEX([14]Names!$O$1:$O$65602,MATCH(B21,[14]Names!$F$1:$F$65602,0),1))</f>
        <v>kg</v>
      </c>
      <c r="M21" s="155">
        <f>Y21</f>
        <v>19.190000000000001</v>
      </c>
      <c r="N21" s="29">
        <v>1</v>
      </c>
      <c r="O21" s="1">
        <f t="shared" si="0"/>
        <v>1.0807255723670659</v>
      </c>
      <c r="P21" s="31" t="str">
        <f t="shared" si="1"/>
        <v>(1,2,2,1,1,3); Fthenakis, literature</v>
      </c>
      <c r="Q21" s="155">
        <f t="shared" si="11"/>
        <v>19.190000000000001</v>
      </c>
      <c r="R21" s="29">
        <v>1</v>
      </c>
      <c r="S21" s="1">
        <f t="shared" si="2"/>
        <v>1.0807255723670659</v>
      </c>
      <c r="T21" s="31" t="str">
        <f t="shared" si="3"/>
        <v>(1,2,2,1,1,3); Fthenakis, literature</v>
      </c>
      <c r="U21" s="155">
        <f t="shared" si="9"/>
        <v>19.190000000000001</v>
      </c>
      <c r="V21" s="29">
        <v>1</v>
      </c>
      <c r="W21" s="1">
        <f t="shared" si="4"/>
        <v>1.0807255723670659</v>
      </c>
      <c r="X21" s="31" t="str">
        <f t="shared" si="5"/>
        <v>(1,2,2,1,1,3); Fthenakis, literature</v>
      </c>
      <c r="Y21" s="182">
        <f>10.05+9.14</f>
        <v>19.190000000000001</v>
      </c>
      <c r="Z21" s="259">
        <v>21.8</v>
      </c>
      <c r="AA21" s="259"/>
      <c r="AB21" s="259"/>
      <c r="AC21" s="259"/>
      <c r="AD21" s="253">
        <v>16.100000000000001</v>
      </c>
      <c r="AE21" s="253"/>
      <c r="AF21" s="253"/>
      <c r="AG21" s="253"/>
      <c r="AH21" s="253"/>
      <c r="AI21" s="115" t="s">
        <v>258</v>
      </c>
      <c r="AJ21" s="11">
        <f t="shared" si="12"/>
        <v>1</v>
      </c>
      <c r="AK21" s="11">
        <f t="shared" si="12"/>
        <v>2</v>
      </c>
      <c r="AL21" s="11">
        <v>2</v>
      </c>
      <c r="AM21" s="11">
        <f t="shared" si="12"/>
        <v>1</v>
      </c>
      <c r="AN21" s="11">
        <f t="shared" si="12"/>
        <v>1</v>
      </c>
      <c r="AO21" s="11">
        <f t="shared" si="12"/>
        <v>3</v>
      </c>
      <c r="AP21" s="50">
        <f>IF(OR($E21="4",$F21="4"),INDEX([14]NamesElementary!$J$1:$J$65536,MATCH($B21,[14]NamesElementary!$A$1:$A$65536,0),1),INDEX([14]Names!$W$1:$W$65602,MATCH($B21,[14]Names!$F$1:$F$65602,0),1))</f>
        <v>3</v>
      </c>
      <c r="AQ21" s="51">
        <f>INDEX([14]BasicUncertainty!$H$1:$H$65536,MATCH(AP21,[14]BasicUncertainty!$B$1:$B$65536,0),1)</f>
        <v>1.05</v>
      </c>
      <c r="AR21" s="87">
        <f t="shared" si="6"/>
        <v>1.0622454211725116</v>
      </c>
      <c r="AS21" s="88">
        <f t="shared" si="7"/>
        <v>1.0807255723670659</v>
      </c>
      <c r="AT21" s="89" t="str">
        <f t="shared" si="8"/>
        <v>(1,2,2,1,1,3)</v>
      </c>
      <c r="AU21" s="52">
        <f>IF(AJ21=1,'[14]SDG^2 values'!$B$4,IF(AJ21=2,'[14]SDG^2 values'!$C$4,IF(AJ21=3,'[14]SDG^2 values'!$D$4,IF(AJ21=4,'[14]SDG^2 values'!$E$4,IF(AJ21=5,'[14]SDG^2 values'!$F$4,1)))))</f>
        <v>1</v>
      </c>
      <c r="AV21" s="52">
        <f>IF(AK21=1,'[14]SDG^2 values'!$B$5,IF(AK21=2,'[14]SDG^2 values'!$C$5,IF(AK21=3,'[14]SDG^2 values'!$D$5,IF(AK21=4,'[14]SDG^2 values'!$E$5,IF(AK21=5,'[14]SDG^2 values'!$F$5,1)))))</f>
        <v>1.02</v>
      </c>
      <c r="AW21" s="52">
        <f>IF(AL21=1,'[14]SDG^2 values'!$B$6,IF(AL21=2,'[14]SDG^2 values'!$C$6,IF(AL21=3,'[14]SDG^2 values'!$D$6,IF(AL21=4,'[14]SDG^2 values'!$E$6,IF(AL21=5,'[14]SDG^2 values'!$F$6,1)))))</f>
        <v>1.03</v>
      </c>
      <c r="AX21" s="52">
        <f>IF(AM21=1,'[14]SDG^2 values'!$B$7,IF(AM21=2,'[14]SDG^2 values'!$C$7,IF(AM21=3,'[14]SDG^2 values'!$D$7,IF(AM21=4,'[14]SDG^2 values'!$E$7,IF(AM21=5,'[14]SDG^2 values'!$F$7,1)))))</f>
        <v>1</v>
      </c>
      <c r="AY21" s="52">
        <f>IF(AN21=1,'[14]SDG^2 values'!$B$8,IF(AN21=2,'[14]SDG^2 values'!$C$8,IF(AN21=3,'[14]SDG^2 values'!$D$8,IF(AN21=4,'[14]SDG^2 values'!$E$8,IF(AN21=5,'[14]SDG^2 values'!$F$8,1)))))</f>
        <v>1</v>
      </c>
      <c r="AZ21" s="52">
        <f>IF(AO21=1,'[14]SDG^2 values'!$B$9,IF(AO21=2,'[14]SDG^2 values'!$C$9,IF(AO21=3,'[14]SDG^2 values'!$D$9,IF(AO21=4,'[14]SDG^2 values'!$E$9,IF(AO21=5,'[14]SDG^2 values'!$F$9,1)))))</f>
        <v>1.05</v>
      </c>
      <c r="BB21" s="7" t="e">
        <f>#REF!*1.6*0.8*9</f>
        <v>#REF!</v>
      </c>
      <c r="BC21" s="7"/>
      <c r="BD21" s="7"/>
    </row>
    <row r="22" spans="2:56" ht="24">
      <c r="B22" s="2">
        <v>3822</v>
      </c>
      <c r="C22" s="37" t="s">
        <v>525</v>
      </c>
      <c r="D22" s="151" t="s">
        <v>525</v>
      </c>
      <c r="E22" s="152" t="s">
        <v>526</v>
      </c>
      <c r="F22" s="153" t="s">
        <v>402</v>
      </c>
      <c r="G22" s="144" t="str">
        <f>IF(OR(E22="4",F22="4"),INDEX([14]NamesElementary!$B$1:$B$65536,MATCH(B22,[14]NamesElementary!$A$1:$A$65536,0),1),INDEX([14]Names!$J$1:$J$65602,MATCH(B22,[14]Names!$F$1:$F$65602,0),1))</f>
        <v>glass fibre reinforced plastic, polyamide, injection moulding, at plant</v>
      </c>
      <c r="H22" s="125" t="str">
        <f>IF(OR(E22="4",F22="4"),"-",INDEX([14]Names!$K$1:$K$65602,MATCH(B22,[14]Names!$F$1:$F$65602,0),1))</f>
        <v>RER</v>
      </c>
      <c r="I22" s="154" t="str">
        <f>IF(OR(E22="4",F22="4"),INDEX([14]NamesElementary!$D$1:$D$65536,MATCH($B22,[14]NamesElementary!$A$1:$A$65536,0),1),"-")</f>
        <v>-</v>
      </c>
      <c r="J22" s="123" t="str">
        <f>IF(OR(E22="4",F22="4"),INDEX([14]NamesElementary!$E$1:$E$65536,MATCH($B22,[14]NamesElementary!$A$1:$A$65536,0),1),"-")</f>
        <v>-</v>
      </c>
      <c r="K22" s="124">
        <f>IF(OR(E22="4",F22="4"),"-",INDEX([14]Names!$N$1:$N$65602,MATCH(B22,[14]Names!$F$1:$F$65602,0),1))</f>
        <v>0</v>
      </c>
      <c r="L22" s="125" t="str">
        <f>IF(OR(E22="4",F22="4"),INDEX([14]NamesElementary!$G$1:$G$65536,MATCH(B22,[14]NamesElementary!$A$1:$A$65536,0),1),INDEX([14]Names!$O$1:$O$65602,MATCH(B22,[14]Names!$F$1:$F$65602,0),1))</f>
        <v>kg</v>
      </c>
      <c r="M22" s="155">
        <f>Y22</f>
        <v>0.10775789999999999</v>
      </c>
      <c r="N22" s="29">
        <v>1</v>
      </c>
      <c r="O22" s="1">
        <f t="shared" si="0"/>
        <v>1.0807255723670659</v>
      </c>
      <c r="P22" s="31" t="str">
        <f t="shared" si="1"/>
        <v>(1,2,2,1,1,3); Fthenakis, literature, sum up of several materials</v>
      </c>
      <c r="Q22" s="155">
        <f t="shared" si="11"/>
        <v>0.10775789999999999</v>
      </c>
      <c r="R22" s="29">
        <v>1</v>
      </c>
      <c r="S22" s="1">
        <f t="shared" si="2"/>
        <v>1.0807255723670659</v>
      </c>
      <c r="T22" s="31" t="str">
        <f t="shared" si="3"/>
        <v>(1,2,2,1,1,3); Fthenakis, literature, sum up of several materials</v>
      </c>
      <c r="U22" s="155">
        <f t="shared" si="9"/>
        <v>0.10775789999999999</v>
      </c>
      <c r="V22" s="29">
        <v>1</v>
      </c>
      <c r="W22" s="1">
        <f t="shared" si="4"/>
        <v>1.0807255723670659</v>
      </c>
      <c r="X22" s="31" t="str">
        <f t="shared" si="5"/>
        <v>(1,2,2,1,1,3); Fthenakis, literature, sum up of several materials</v>
      </c>
      <c r="Y22" s="182">
        <f>0.0501+0.0146+0.00938+0.00921+0.00799+0.00687+0.00462+0.00193+0.00177+0.0012+0.0000879</f>
        <v>0.10775789999999999</v>
      </c>
      <c r="Z22" s="259"/>
      <c r="AA22" s="259"/>
      <c r="AB22" s="259"/>
      <c r="AC22" s="259"/>
      <c r="AD22" s="253">
        <v>0.3</v>
      </c>
      <c r="AE22" s="253"/>
      <c r="AF22" s="253"/>
      <c r="AG22" s="253"/>
      <c r="AH22" s="253"/>
      <c r="AI22" s="115" t="s">
        <v>261</v>
      </c>
      <c r="AJ22" s="11">
        <f t="shared" si="12"/>
        <v>1</v>
      </c>
      <c r="AK22" s="11">
        <f t="shared" si="12"/>
        <v>2</v>
      </c>
      <c r="AL22" s="11">
        <v>2</v>
      </c>
      <c r="AM22" s="11">
        <f t="shared" si="12"/>
        <v>1</v>
      </c>
      <c r="AN22" s="11">
        <f t="shared" si="12"/>
        <v>1</v>
      </c>
      <c r="AO22" s="11">
        <f t="shared" si="12"/>
        <v>3</v>
      </c>
      <c r="AP22" s="50">
        <f>IF(OR($E22="4",$F22="4"),INDEX([14]NamesElementary!$J$1:$J$65536,MATCH($B22,[14]NamesElementary!$A$1:$A$65536,0),1),INDEX([14]Names!$W$1:$W$65602,MATCH($B22,[14]Names!$F$1:$F$65602,0),1))</f>
        <v>3</v>
      </c>
      <c r="AQ22" s="51">
        <f>INDEX([14]BasicUncertainty!$H$1:$H$65536,MATCH(AP22,[14]BasicUncertainty!$B$1:$B$65536,0),1)</f>
        <v>1.05</v>
      </c>
      <c r="AR22" s="87">
        <f t="shared" si="6"/>
        <v>1.0622454211725116</v>
      </c>
      <c r="AS22" s="88">
        <f t="shared" si="7"/>
        <v>1.0807255723670659</v>
      </c>
      <c r="AT22" s="89" t="str">
        <f t="shared" si="8"/>
        <v>(1,2,2,1,1,3)</v>
      </c>
      <c r="AU22" s="52">
        <f>IF(AJ22=1,'[14]SDG^2 values'!$B$4,IF(AJ22=2,'[14]SDG^2 values'!$C$4,IF(AJ22=3,'[14]SDG^2 values'!$D$4,IF(AJ22=4,'[14]SDG^2 values'!$E$4,IF(AJ22=5,'[14]SDG^2 values'!$F$4,1)))))</f>
        <v>1</v>
      </c>
      <c r="AV22" s="52">
        <f>IF(AK22=1,'[14]SDG^2 values'!$B$5,IF(AK22=2,'[14]SDG^2 values'!$C$5,IF(AK22=3,'[14]SDG^2 values'!$D$5,IF(AK22=4,'[14]SDG^2 values'!$E$5,IF(AK22=5,'[14]SDG^2 values'!$F$5,1)))))</f>
        <v>1.02</v>
      </c>
      <c r="AW22" s="52">
        <f>IF(AL22=1,'[14]SDG^2 values'!$B$6,IF(AL22=2,'[14]SDG^2 values'!$C$6,IF(AL22=3,'[14]SDG^2 values'!$D$6,IF(AL22=4,'[14]SDG^2 values'!$E$6,IF(AL22=5,'[14]SDG^2 values'!$F$6,1)))))</f>
        <v>1.03</v>
      </c>
      <c r="AX22" s="52">
        <f>IF(AM22=1,'[14]SDG^2 values'!$B$7,IF(AM22=2,'[14]SDG^2 values'!$C$7,IF(AM22=3,'[14]SDG^2 values'!$D$7,IF(AM22=4,'[14]SDG^2 values'!$E$7,IF(AM22=5,'[14]SDG^2 values'!$F$7,1)))))</f>
        <v>1</v>
      </c>
      <c r="AY22" s="52">
        <f>IF(AN22=1,'[14]SDG^2 values'!$B$8,IF(AN22=2,'[14]SDG^2 values'!$C$8,IF(AN22=3,'[14]SDG^2 values'!$D$8,IF(AN22=4,'[14]SDG^2 values'!$E$8,IF(AN22=5,'[14]SDG^2 values'!$F$8,1)))))</f>
        <v>1</v>
      </c>
      <c r="AZ22" s="52">
        <f>IF(AO22=1,'[14]SDG^2 values'!$B$9,IF(AO22=2,'[14]SDG^2 values'!$C$9,IF(AO22=3,'[14]SDG^2 values'!$D$9,IF(AO22=4,'[14]SDG^2 values'!$E$9,IF(AO22=5,'[14]SDG^2 values'!$F$9,1)))))</f>
        <v>1.05</v>
      </c>
      <c r="BC22" s="7"/>
      <c r="BD22" s="7"/>
    </row>
    <row r="23" spans="2:56" ht="12.75">
      <c r="B23" s="2">
        <v>1212</v>
      </c>
      <c r="C23" s="37" t="s">
        <v>525</v>
      </c>
      <c r="D23" s="151" t="s">
        <v>525</v>
      </c>
      <c r="E23" s="152" t="s">
        <v>526</v>
      </c>
      <c r="F23" s="153" t="s">
        <v>402</v>
      </c>
      <c r="G23" s="144" t="str">
        <f>IF(OR(E23="4",F23="4"),INDEX([14]NamesElementary!$B$1:$B$65536,MATCH(B23,[14]NamesElementary!$A$1:$A$65536,0),1),INDEX([14]Names!$J$1:$J$65602,MATCH(B23,[14]Names!$F$1:$F$65602,0),1))</f>
        <v>ethylvinylacetate, foil, at plant</v>
      </c>
      <c r="H23" s="125" t="str">
        <f>IF(OR(E23="4",F23="4"),"-",INDEX([14]Names!$K$1:$K$65602,MATCH(B23,[14]Names!$F$1:$F$65602,0),1))</f>
        <v>RER</v>
      </c>
      <c r="I23" s="154" t="str">
        <f>IF(OR(E23="4",F23="4"),INDEX([14]NamesElementary!$D$1:$D$65536,MATCH($B23,[14]NamesElementary!$A$1:$A$65536,0),1),"-")</f>
        <v>-</v>
      </c>
      <c r="J23" s="123" t="str">
        <f>IF(OR(E23="4",F23="4"),INDEX([14]NamesElementary!$E$1:$E$65536,MATCH($B23,[14]NamesElementary!$A$1:$A$65536,0),1),"-")</f>
        <v>-</v>
      </c>
      <c r="K23" s="124">
        <f>IF(OR(E23="4",F23="4"),"-",INDEX([14]Names!$N$1:$N$65602,MATCH(B23,[14]Names!$F$1:$F$65602,0),1))</f>
        <v>0</v>
      </c>
      <c r="L23" s="125" t="str">
        <f>IF(OR(E23="4",F23="4"),INDEX([14]NamesElementary!$G$1:$G$65536,MATCH(B23,[14]NamesElementary!$A$1:$A$65536,0),1),INDEX([14]Names!$O$1:$O$65602,MATCH(B23,[14]Names!$F$1:$F$65602,0),1))</f>
        <v>kg</v>
      </c>
      <c r="M23" s="155">
        <f>Y23</f>
        <v>0.6</v>
      </c>
      <c r="N23" s="29">
        <v>1</v>
      </c>
      <c r="O23" s="1">
        <f t="shared" si="0"/>
        <v>1.0807255723670659</v>
      </c>
      <c r="P23" s="31" t="str">
        <f t="shared" si="1"/>
        <v>(1,2,2,1,1,3); Fthenakis, literature</v>
      </c>
      <c r="Q23" s="155">
        <f t="shared" si="11"/>
        <v>0.6</v>
      </c>
      <c r="R23" s="29">
        <v>1</v>
      </c>
      <c r="S23" s="1">
        <f t="shared" si="2"/>
        <v>1.0807255723670659</v>
      </c>
      <c r="T23" s="31" t="str">
        <f t="shared" si="3"/>
        <v>(1,2,2,1,1,3); Fthenakis, literature</v>
      </c>
      <c r="U23" s="155">
        <f t="shared" si="9"/>
        <v>0.6</v>
      </c>
      <c r="V23" s="29">
        <v>1</v>
      </c>
      <c r="W23" s="1">
        <f t="shared" si="4"/>
        <v>1.0807255723670659</v>
      </c>
      <c r="X23" s="31" t="str">
        <f t="shared" si="5"/>
        <v>(1,2,2,1,1,3); Fthenakis, literature</v>
      </c>
      <c r="Y23" s="182">
        <v>0.6</v>
      </c>
      <c r="Z23" s="259"/>
      <c r="AA23" s="259"/>
      <c r="AB23" s="259"/>
      <c r="AC23" s="259"/>
      <c r="AD23" s="253">
        <v>1.6</v>
      </c>
      <c r="AE23" s="253"/>
      <c r="AF23" s="253"/>
      <c r="AG23" s="253"/>
      <c r="AH23" s="253"/>
      <c r="AI23" s="115" t="s">
        <v>258</v>
      </c>
      <c r="AJ23" s="11">
        <f t="shared" si="12"/>
        <v>1</v>
      </c>
      <c r="AK23" s="11">
        <f t="shared" si="12"/>
        <v>2</v>
      </c>
      <c r="AL23" s="11">
        <v>2</v>
      </c>
      <c r="AM23" s="11">
        <f t="shared" si="12"/>
        <v>1</v>
      </c>
      <c r="AN23" s="11">
        <f t="shared" si="12"/>
        <v>1</v>
      </c>
      <c r="AO23" s="11">
        <f t="shared" si="12"/>
        <v>3</v>
      </c>
      <c r="AP23" s="50">
        <f>IF(OR($E23="4",$F23="4"),INDEX([14]NamesElementary!$J$1:$J$65536,MATCH($B23,[14]NamesElementary!$A$1:$A$65536,0),1),INDEX([14]Names!$W$1:$W$65602,MATCH($B23,[14]Names!$F$1:$F$65602,0),1))</f>
        <v>3</v>
      </c>
      <c r="AQ23" s="51">
        <f>INDEX([14]BasicUncertainty!$H$1:$H$65536,MATCH(AP23,[14]BasicUncertainty!$B$1:$B$65536,0),1)</f>
        <v>1.05</v>
      </c>
      <c r="AR23" s="87">
        <f t="shared" si="6"/>
        <v>1.0622454211725116</v>
      </c>
      <c r="AS23" s="88">
        <f t="shared" si="7"/>
        <v>1.0807255723670659</v>
      </c>
      <c r="AT23" s="89" t="str">
        <f t="shared" si="8"/>
        <v>(1,2,2,1,1,3)</v>
      </c>
      <c r="AU23" s="52">
        <f>IF(AJ23=1,'[14]SDG^2 values'!$B$4,IF(AJ23=2,'[14]SDG^2 values'!$C$4,IF(AJ23=3,'[14]SDG^2 values'!$D$4,IF(AJ23=4,'[14]SDG^2 values'!$E$4,IF(AJ23=5,'[14]SDG^2 values'!$F$4,1)))))</f>
        <v>1</v>
      </c>
      <c r="AV23" s="52">
        <f>IF(AK23=1,'[14]SDG^2 values'!$B$5,IF(AK23=2,'[14]SDG^2 values'!$C$5,IF(AK23=3,'[14]SDG^2 values'!$D$5,IF(AK23=4,'[14]SDG^2 values'!$E$5,IF(AK23=5,'[14]SDG^2 values'!$F$5,1)))))</f>
        <v>1.02</v>
      </c>
      <c r="AW23" s="52">
        <f>IF(AL23=1,'[14]SDG^2 values'!$B$6,IF(AL23=2,'[14]SDG^2 values'!$C$6,IF(AL23=3,'[14]SDG^2 values'!$D$6,IF(AL23=4,'[14]SDG^2 values'!$E$6,IF(AL23=5,'[14]SDG^2 values'!$F$6,1)))))</f>
        <v>1.03</v>
      </c>
      <c r="AX23" s="52">
        <f>IF(AM23=1,'[14]SDG^2 values'!$B$7,IF(AM23=2,'[14]SDG^2 values'!$C$7,IF(AM23=3,'[14]SDG^2 values'!$D$7,IF(AM23=4,'[14]SDG^2 values'!$E$7,IF(AM23=5,'[14]SDG^2 values'!$F$7,1)))))</f>
        <v>1</v>
      </c>
      <c r="AY23" s="52">
        <f>IF(AN23=1,'[14]SDG^2 values'!$B$8,IF(AN23=2,'[14]SDG^2 values'!$C$8,IF(AN23=3,'[14]SDG^2 values'!$D$8,IF(AN23=4,'[14]SDG^2 values'!$E$8,IF(AN23=5,'[14]SDG^2 values'!$F$8,1)))))</f>
        <v>1</v>
      </c>
      <c r="AZ23" s="52">
        <f>IF(AO23=1,'[14]SDG^2 values'!$B$9,IF(AO23=2,'[14]SDG^2 values'!$C$9,IF(AO23=3,'[14]SDG^2 values'!$D$9,IF(AO23=4,'[14]SDG^2 values'!$E$9,IF(AO23=5,'[14]SDG^2 values'!$F$9,1)))))</f>
        <v>1.05</v>
      </c>
      <c r="BC23" s="7"/>
      <c r="BD23" s="7"/>
    </row>
    <row r="24" spans="2:56" ht="12.75">
      <c r="B24" s="226">
        <v>934</v>
      </c>
      <c r="C24" s="37" t="s">
        <v>476</v>
      </c>
      <c r="D24" s="151" t="s">
        <v>525</v>
      </c>
      <c r="E24" s="152" t="s">
        <v>526</v>
      </c>
      <c r="F24" s="153" t="s">
        <v>402</v>
      </c>
      <c r="G24" s="144" t="str">
        <f>IF(OR(E24="4",F24="4"),INDEX([14]NamesElementary!$B$1:$B$65536,MATCH(B24,[14]NamesElementary!$A$1:$A$65536,0),1),INDEX([14]Names!$J$1:$J$65602,MATCH(B24,[14]Names!$F$1:$F$65602,0),1))</f>
        <v>aluminium, primary, at plant</v>
      </c>
      <c r="H24" s="125" t="str">
        <f>IF(OR(E24="4",F24="4"),"-",INDEX([14]Names!$K$1:$K$65602,MATCH(B24,[14]Names!$F$1:$F$65602,0),1))</f>
        <v>RER</v>
      </c>
      <c r="I24" s="154" t="str">
        <f>IF(OR(E24="4",F24="4"),INDEX([14]NamesElementary!$D$1:$D$65536,MATCH($B24,[14]NamesElementary!$A$1:$A$65536,0),1),"-")</f>
        <v>-</v>
      </c>
      <c r="J24" s="123" t="str">
        <f>IF(OR(E24="4",F24="4"),INDEX([14]NamesElementary!$E$1:$E$65536,MATCH($B24,[14]NamesElementary!$A$1:$A$65536,0),1),"-")</f>
        <v>-</v>
      </c>
      <c r="K24" s="124">
        <f>IF(OR(E24="4",F24="4"),"-",INDEX([14]Names!$N$1:$N$65602,MATCH(B24,[14]Names!$F$1:$F$65602,0),1))</f>
        <v>0</v>
      </c>
      <c r="L24" s="125" t="str">
        <f>IF(OR(E24="4",F24="4"),INDEX([14]NamesElementary!$G$1:$G$65536,MATCH(B24,[14]NamesElementary!$A$1:$A$65536,0),1),INDEX([14]Names!$O$1:$O$65602,MATCH(B24,[14]Names!$F$1:$F$65602,0),1))</f>
        <v>kg</v>
      </c>
      <c r="M24" s="155">
        <f t="shared" ref="M24:M42" si="13">Y24</f>
        <v>1.4999999999999999E-2</v>
      </c>
      <c r="N24" s="29">
        <v>1</v>
      </c>
      <c r="O24" s="1">
        <f t="shared" si="0"/>
        <v>1.0807255723670659</v>
      </c>
      <c r="P24" s="31" t="str">
        <f t="shared" si="1"/>
        <v>(1,2,2,1,1,3); Fthenakis, literature</v>
      </c>
      <c r="Q24" s="155">
        <f t="shared" si="11"/>
        <v>1.4999999999999999E-2</v>
      </c>
      <c r="R24" s="29">
        <v>1</v>
      </c>
      <c r="S24" s="1">
        <f t="shared" si="2"/>
        <v>1.0807255723670659</v>
      </c>
      <c r="T24" s="31" t="str">
        <f t="shared" si="3"/>
        <v>(1,2,2,1,1,3); Fthenakis, literature</v>
      </c>
      <c r="U24" s="155">
        <f t="shared" si="9"/>
        <v>1.4999999999999999E-2</v>
      </c>
      <c r="V24" s="29">
        <v>1</v>
      </c>
      <c r="W24" s="1">
        <f t="shared" si="4"/>
        <v>1.0807255723670659</v>
      </c>
      <c r="X24" s="31" t="str">
        <f t="shared" si="5"/>
        <v>(1,2,2,1,1,3); Fthenakis, literature</v>
      </c>
      <c r="Y24" s="182">
        <v>1.4999999999999999E-2</v>
      </c>
      <c r="Z24" s="280" t="s">
        <v>676</v>
      </c>
      <c r="AA24" s="259"/>
      <c r="AB24" s="259"/>
      <c r="AD24" s="253"/>
      <c r="AE24" s="253"/>
      <c r="AF24" s="253"/>
      <c r="AG24" s="253"/>
      <c r="AH24" s="253"/>
      <c r="AI24" s="115" t="s">
        <v>258</v>
      </c>
      <c r="AJ24" s="11">
        <f t="shared" si="12"/>
        <v>1</v>
      </c>
      <c r="AK24" s="11">
        <f t="shared" si="12"/>
        <v>2</v>
      </c>
      <c r="AL24" s="11">
        <v>2</v>
      </c>
      <c r="AM24" s="11">
        <f t="shared" si="12"/>
        <v>1</v>
      </c>
      <c r="AN24" s="11">
        <f t="shared" si="12"/>
        <v>1</v>
      </c>
      <c r="AO24" s="11">
        <f t="shared" si="12"/>
        <v>3</v>
      </c>
      <c r="AP24" s="50">
        <f>IF(OR($E24="4",$F24="4"),INDEX([14]NamesElementary!$J$1:$J$65536,MATCH($B24,[14]NamesElementary!$A$1:$A$65536,0),1),INDEX([14]Names!$W$1:$W$65602,MATCH($B24,[14]Names!$F$1:$F$65602,0),1))</f>
        <v>3</v>
      </c>
      <c r="AQ24" s="51">
        <f>INDEX([14]BasicUncertainty!$H$1:$H$65536,MATCH(AP24,[14]BasicUncertainty!$B$1:$B$65536,0),1)</f>
        <v>1.05</v>
      </c>
      <c r="AR24" s="87">
        <f t="shared" si="6"/>
        <v>1.0622454211725116</v>
      </c>
      <c r="AS24" s="88">
        <f t="shared" si="7"/>
        <v>1.0807255723670659</v>
      </c>
      <c r="AT24" s="89" t="str">
        <f t="shared" si="8"/>
        <v>(1,2,2,1,1,3)</v>
      </c>
      <c r="AU24" s="52">
        <f>IF(AJ24=1,'[14]SDG^2 values'!$B$4,IF(AJ24=2,'[14]SDG^2 values'!$C$4,IF(AJ24=3,'[14]SDG^2 values'!$D$4,IF(AJ24=4,'[14]SDG^2 values'!$E$4,IF(AJ24=5,'[14]SDG^2 values'!$F$4,1)))))</f>
        <v>1</v>
      </c>
      <c r="AV24" s="52">
        <f>IF(AK24=1,'[14]SDG^2 values'!$B$5,IF(AK24=2,'[14]SDG^2 values'!$C$5,IF(AK24=3,'[14]SDG^2 values'!$D$5,IF(AK24=4,'[14]SDG^2 values'!$E$5,IF(AK24=5,'[14]SDG^2 values'!$F$5,1)))))</f>
        <v>1.02</v>
      </c>
      <c r="AW24" s="52">
        <f>IF(AL24=1,'[14]SDG^2 values'!$B$6,IF(AL24=2,'[14]SDG^2 values'!$C$6,IF(AL24=3,'[14]SDG^2 values'!$D$6,IF(AL24=4,'[14]SDG^2 values'!$E$6,IF(AL24=5,'[14]SDG^2 values'!$F$6,1)))))</f>
        <v>1.03</v>
      </c>
      <c r="AX24" s="52">
        <f>IF(AM24=1,'[14]SDG^2 values'!$B$7,IF(AM24=2,'[14]SDG^2 values'!$C$7,IF(AM24=3,'[14]SDG^2 values'!$D$7,IF(AM24=4,'[14]SDG^2 values'!$E$7,IF(AM24=5,'[14]SDG^2 values'!$F$7,1)))))</f>
        <v>1</v>
      </c>
      <c r="AY24" s="52">
        <f>IF(AN24=1,'[14]SDG^2 values'!$B$8,IF(AN24=2,'[14]SDG^2 values'!$C$8,IF(AN24=3,'[14]SDG^2 values'!$D$8,IF(AN24=4,'[14]SDG^2 values'!$E$8,IF(AN24=5,'[14]SDG^2 values'!$F$8,1)))))</f>
        <v>1</v>
      </c>
      <c r="AZ24" s="52">
        <f>IF(AO24=1,'[14]SDG^2 values'!$B$9,IF(AO24=2,'[14]SDG^2 values'!$C$9,IF(AO24=3,'[14]SDG^2 values'!$D$9,IF(AO24=4,'[14]SDG^2 values'!$E$9,IF(AO24=5,'[14]SDG^2 values'!$F$9,1)))))</f>
        <v>1.05</v>
      </c>
      <c r="BC24" s="7"/>
      <c r="BD24" s="7"/>
    </row>
    <row r="25" spans="2:56" ht="12.75">
      <c r="B25" s="226">
        <v>967</v>
      </c>
      <c r="C25" s="37"/>
      <c r="D25" s="151" t="s">
        <v>525</v>
      </c>
      <c r="E25" s="152" t="s">
        <v>526</v>
      </c>
      <c r="F25" s="153" t="s">
        <v>402</v>
      </c>
      <c r="G25" s="144" t="str">
        <f>IF(OR(E25="4",F25="4"),INDEX([14]NamesElementary!$B$1:$B$65536,MATCH(B25,[14]NamesElementary!$A$1:$A$65536,0),1),INDEX([14]Names!$J$1:$J$65602,MATCH(B25,[14]Names!$F$1:$F$65602,0),1))</f>
        <v>chromium, at regional storage</v>
      </c>
      <c r="H25" s="125" t="str">
        <f>IF(OR(E25="4",F25="4"),"-",INDEX([14]Names!$K$1:$K$65602,MATCH(B25,[14]Names!$F$1:$F$65602,0),1))</f>
        <v>RER</v>
      </c>
      <c r="I25" s="154" t="str">
        <f>IF(OR(E25="4",F25="4"),INDEX([14]NamesElementary!$D$1:$D$65536,MATCH($B25,[14]NamesElementary!$A$1:$A$65536,0),1),"-")</f>
        <v>-</v>
      </c>
      <c r="J25" s="123" t="str">
        <f>IF(OR(E25="4",F25="4"),INDEX([14]NamesElementary!$E$1:$E$65536,MATCH($B25,[14]NamesElementary!$A$1:$A$65536,0),1),"-")</f>
        <v>-</v>
      </c>
      <c r="K25" s="124">
        <f>IF(OR(E25="4",F25="4"),"-",INDEX([14]Names!$N$1:$N$65602,MATCH(B25,[14]Names!$F$1:$F$65602,0),1))</f>
        <v>0</v>
      </c>
      <c r="L25" s="125" t="str">
        <f>IF(OR(E25="4",F25="4"),INDEX([14]NamesElementary!$G$1:$G$65536,MATCH(B25,[14]NamesElementary!$A$1:$A$65536,0),1),INDEX([14]Names!$O$1:$O$65602,MATCH(B25,[14]Names!$F$1:$F$65602,0),1))</f>
        <v>kg</v>
      </c>
      <c r="M25" s="155">
        <f t="shared" si="13"/>
        <v>3.15E-3</v>
      </c>
      <c r="N25" s="29">
        <v>1</v>
      </c>
      <c r="O25" s="1">
        <f t="shared" si="0"/>
        <v>1.0807255723670659</v>
      </c>
      <c r="P25" s="31" t="str">
        <f t="shared" si="1"/>
        <v>(1,2,2,1,1,3); Fthenakis, literature</v>
      </c>
      <c r="Q25" s="155">
        <f t="shared" si="11"/>
        <v>3.15E-3</v>
      </c>
      <c r="R25" s="29">
        <v>1</v>
      </c>
      <c r="S25" s="1">
        <f t="shared" si="2"/>
        <v>1.0807255723670659</v>
      </c>
      <c r="T25" s="31" t="str">
        <f t="shared" si="3"/>
        <v>(1,2,2,1,1,3); Fthenakis, literature</v>
      </c>
      <c r="U25" s="155">
        <f t="shared" si="9"/>
        <v>3.15E-3</v>
      </c>
      <c r="V25" s="29">
        <v>1</v>
      </c>
      <c r="W25" s="1">
        <f t="shared" si="4"/>
        <v>1.0807255723670659</v>
      </c>
      <c r="X25" s="31" t="str">
        <f t="shared" si="5"/>
        <v>(1,2,2,1,1,3); Fthenakis, literature</v>
      </c>
      <c r="Y25" s="182">
        <v>3.15E-3</v>
      </c>
      <c r="Z25" s="281" t="s">
        <v>676</v>
      </c>
      <c r="AA25" s="259"/>
      <c r="AB25" s="259"/>
      <c r="AD25" s="253"/>
      <c r="AE25" s="253"/>
      <c r="AF25" s="253"/>
      <c r="AG25" s="253"/>
      <c r="AH25" s="253"/>
      <c r="AI25" s="115" t="s">
        <v>258</v>
      </c>
      <c r="AJ25" s="11">
        <f t="shared" ref="AJ25:AO32" si="14">AJ$10</f>
        <v>1</v>
      </c>
      <c r="AK25" s="11">
        <f t="shared" si="14"/>
        <v>2</v>
      </c>
      <c r="AL25" s="11">
        <v>2</v>
      </c>
      <c r="AM25" s="11">
        <f t="shared" si="14"/>
        <v>1</v>
      </c>
      <c r="AN25" s="11">
        <f t="shared" si="14"/>
        <v>1</v>
      </c>
      <c r="AO25" s="11">
        <f t="shared" si="14"/>
        <v>3</v>
      </c>
      <c r="AP25" s="50">
        <f>IF(OR($E25="4",$F25="4"),INDEX([14]NamesElementary!$J$1:$J$65536,MATCH($B25,[14]NamesElementary!$A$1:$A$65536,0),1),INDEX([14]Names!$W$1:$W$65602,MATCH($B25,[14]Names!$F$1:$F$65602,0),1))</f>
        <v>3</v>
      </c>
      <c r="AQ25" s="51">
        <f>INDEX([14]BasicUncertainty!$H$1:$H$65536,MATCH(AP25,[14]BasicUncertainty!$B$1:$B$65536,0),1)</f>
        <v>1.05</v>
      </c>
      <c r="AR25" s="87">
        <f t="shared" si="6"/>
        <v>1.0622454211725116</v>
      </c>
      <c r="AS25" s="88">
        <f t="shared" si="7"/>
        <v>1.0807255723670659</v>
      </c>
      <c r="AT25" s="89" t="str">
        <f t="shared" si="8"/>
        <v>(1,2,2,1,1,3)</v>
      </c>
      <c r="AU25" s="52">
        <f>IF(AJ25=1,'[14]SDG^2 values'!$B$4,IF(AJ25=2,'[14]SDG^2 values'!$C$4,IF(AJ25=3,'[14]SDG^2 values'!$D$4,IF(AJ25=4,'[14]SDG^2 values'!$E$4,IF(AJ25=5,'[14]SDG^2 values'!$F$4,1)))))</f>
        <v>1</v>
      </c>
      <c r="AV25" s="52">
        <f>IF(AK25=1,'[14]SDG^2 values'!$B$5,IF(AK25=2,'[14]SDG^2 values'!$C$5,IF(AK25=3,'[14]SDG^2 values'!$D$5,IF(AK25=4,'[14]SDG^2 values'!$E$5,IF(AK25=5,'[14]SDG^2 values'!$F$5,1)))))</f>
        <v>1.02</v>
      </c>
      <c r="AW25" s="52">
        <f>IF(AL25=1,'[14]SDG^2 values'!$B$6,IF(AL25=2,'[14]SDG^2 values'!$C$6,IF(AL25=3,'[14]SDG^2 values'!$D$6,IF(AL25=4,'[14]SDG^2 values'!$E$6,IF(AL25=5,'[14]SDG^2 values'!$F$6,1)))))</f>
        <v>1.03</v>
      </c>
      <c r="AX25" s="52">
        <f>IF(AM25=1,'[14]SDG^2 values'!$B$7,IF(AM25=2,'[14]SDG^2 values'!$C$7,IF(AM25=3,'[14]SDG^2 values'!$D$7,IF(AM25=4,'[14]SDG^2 values'!$E$7,IF(AM25=5,'[14]SDG^2 values'!$F$7,1)))))</f>
        <v>1</v>
      </c>
      <c r="AY25" s="52">
        <f>IF(AN25=1,'[14]SDG^2 values'!$B$8,IF(AN25=2,'[14]SDG^2 values'!$C$8,IF(AN25=3,'[14]SDG^2 values'!$D$8,IF(AN25=4,'[14]SDG^2 values'!$E$8,IF(AN25=5,'[14]SDG^2 values'!$F$8,1)))))</f>
        <v>1</v>
      </c>
      <c r="AZ25" s="52">
        <f>IF(AO25=1,'[14]SDG^2 values'!$B$9,IF(AO25=2,'[14]SDG^2 values'!$C$9,IF(AO25=3,'[14]SDG^2 values'!$D$9,IF(AO25=4,'[14]SDG^2 values'!$E$9,IF(AO25=5,'[14]SDG^2 values'!$F$9,1)))))</f>
        <v>1.05</v>
      </c>
      <c r="BC25" s="7"/>
      <c r="BD25" s="7"/>
    </row>
    <row r="26" spans="2:56" ht="24">
      <c r="B26" s="226">
        <v>32119</v>
      </c>
      <c r="C26" s="37"/>
      <c r="D26" s="151" t="s">
        <v>525</v>
      </c>
      <c r="E26" s="152" t="s">
        <v>526</v>
      </c>
      <c r="F26" s="153" t="s">
        <v>402</v>
      </c>
      <c r="G26" s="144" t="str">
        <f>IF(OR(E26="4",F26="4"),INDEX([14]NamesElementary!$B$1:$B$65536,MATCH(B26,[14]NamesElementary!$A$1:$A$65536,0),1),INDEX([14]Names!$J$1:$J$65602,MATCH(B26,[14]Names!$F$1:$F$65602,0),1))</f>
        <v>cadmium telluride, semiconductor-grade, at plant</v>
      </c>
      <c r="H26" s="125" t="str">
        <f>IF(OR(E26="4",F26="4"),"-",INDEX([14]Names!$K$1:$K$65602,MATCH(B26,[14]Names!$F$1:$F$65602,0),1))</f>
        <v>US</v>
      </c>
      <c r="I26" s="154" t="str">
        <f>IF(OR(E26="4",F26="4"),INDEX([14]NamesElementary!$D$1:$D$65536,MATCH($B26,[14]NamesElementary!$A$1:$A$65536,0),1),"-")</f>
        <v>-</v>
      </c>
      <c r="J26" s="123" t="str">
        <f>IF(OR(E26="4",F26="4"),INDEX([14]NamesElementary!$E$1:$E$65536,MATCH($B26,[14]NamesElementary!$A$1:$A$65536,0),1),"-")</f>
        <v>-</v>
      </c>
      <c r="K26" s="124">
        <f>IF(OR(E26="4",F26="4"),"-",INDEX([14]Names!$N$1:$N$65602,MATCH(B26,[14]Names!$F$1:$F$65602,0),1))</f>
        <v>0</v>
      </c>
      <c r="L26" s="125" t="str">
        <f>IF(OR(E26="4",F26="4"),INDEX([14]NamesElementary!$G$1:$G$65536,MATCH(B26,[14]NamesElementary!$A$1:$A$65536,0),1),INDEX([14]Names!$O$1:$O$65602,MATCH(B26,[14]Names!$F$1:$F$65602,0),1))</f>
        <v>kg</v>
      </c>
      <c r="M26" s="155">
        <f t="shared" si="13"/>
        <v>4.3396000000000004E-2</v>
      </c>
      <c r="N26" s="29">
        <v>1</v>
      </c>
      <c r="O26" s="1">
        <f t="shared" si="0"/>
        <v>1.0807255723670659</v>
      </c>
      <c r="P26" s="31" t="str">
        <f t="shared" si="1"/>
        <v>(1,2,2,1,1,3); Fthenakis, literature, incl. Part of Cd compound powder</v>
      </c>
      <c r="Q26" s="155">
        <f t="shared" si="11"/>
        <v>4.3396000000000004E-2</v>
      </c>
      <c r="R26" s="29">
        <v>1</v>
      </c>
      <c r="S26" s="1">
        <f t="shared" si="2"/>
        <v>1.0807255723670659</v>
      </c>
      <c r="T26" s="31" t="str">
        <f t="shared" si="3"/>
        <v>(1,2,2,1,1,3); Fthenakis, literature, incl. Part of Cd compound powder</v>
      </c>
      <c r="U26" s="155">
        <f t="shared" si="9"/>
        <v>4.3396000000000004E-2</v>
      </c>
      <c r="V26" s="29">
        <v>1</v>
      </c>
      <c r="W26" s="1">
        <f t="shared" si="4"/>
        <v>1.0807255723670659</v>
      </c>
      <c r="X26" s="31" t="str">
        <f t="shared" si="5"/>
        <v>(1,2,2,1,1,3); Fthenakis, literature, incl. Part of Cd compound powder</v>
      </c>
      <c r="Y26" s="182">
        <f>0.0403+0.00285+50%*0.000492</f>
        <v>4.3396000000000004E-2</v>
      </c>
      <c r="Z26" s="281" t="s">
        <v>676</v>
      </c>
      <c r="AA26" s="259" t="e">
        <f>880/10000000*AA$54</f>
        <v>#REF!</v>
      </c>
      <c r="AB26" s="259" t="e">
        <f>3720/10000000*AB$54</f>
        <v>#REF!</v>
      </c>
      <c r="AD26" s="253"/>
      <c r="AE26" s="253"/>
      <c r="AF26" s="253"/>
      <c r="AG26" s="253"/>
      <c r="AH26" s="253"/>
      <c r="AI26" s="115" t="s">
        <v>715</v>
      </c>
      <c r="AJ26" s="11">
        <f t="shared" si="14"/>
        <v>1</v>
      </c>
      <c r="AK26" s="11">
        <f t="shared" si="14"/>
        <v>2</v>
      </c>
      <c r="AL26" s="11">
        <v>2</v>
      </c>
      <c r="AM26" s="11">
        <f t="shared" si="14"/>
        <v>1</v>
      </c>
      <c r="AN26" s="11">
        <f t="shared" si="14"/>
        <v>1</v>
      </c>
      <c r="AO26" s="11">
        <f t="shared" si="14"/>
        <v>3</v>
      </c>
      <c r="AP26" s="50">
        <f>IF(OR($E26="4",$F26="4"),INDEX([14]NamesElementary!$J$1:$J$65536,MATCH($B26,[14]NamesElementary!$A$1:$A$65536,0),1),INDEX([14]Names!$W$1:$W$65602,MATCH($B26,[14]Names!$F$1:$F$65602,0),1))</f>
        <v>3</v>
      </c>
      <c r="AQ26" s="51">
        <f>INDEX([14]BasicUncertainty!$H$1:$H$65536,MATCH(AP26,[14]BasicUncertainty!$B$1:$B$65536,0),1)</f>
        <v>1.05</v>
      </c>
      <c r="AR26" s="87">
        <f t="shared" si="6"/>
        <v>1.0622454211725116</v>
      </c>
      <c r="AS26" s="88">
        <f t="shared" si="7"/>
        <v>1.0807255723670659</v>
      </c>
      <c r="AT26" s="89" t="str">
        <f t="shared" si="8"/>
        <v>(1,2,2,1,1,3)</v>
      </c>
      <c r="AU26" s="52">
        <f>IF(AJ26=1,'[14]SDG^2 values'!$B$4,IF(AJ26=2,'[14]SDG^2 values'!$C$4,IF(AJ26=3,'[14]SDG^2 values'!$D$4,IF(AJ26=4,'[14]SDG^2 values'!$E$4,IF(AJ26=5,'[14]SDG^2 values'!$F$4,1)))))</f>
        <v>1</v>
      </c>
      <c r="AV26" s="52">
        <f>IF(AK26=1,'[14]SDG^2 values'!$B$5,IF(AK26=2,'[14]SDG^2 values'!$C$5,IF(AK26=3,'[14]SDG^2 values'!$D$5,IF(AK26=4,'[14]SDG^2 values'!$E$5,IF(AK26=5,'[14]SDG^2 values'!$F$5,1)))))</f>
        <v>1.02</v>
      </c>
      <c r="AW26" s="52">
        <f>IF(AL26=1,'[14]SDG^2 values'!$B$6,IF(AL26=2,'[14]SDG^2 values'!$C$6,IF(AL26=3,'[14]SDG^2 values'!$D$6,IF(AL26=4,'[14]SDG^2 values'!$E$6,IF(AL26=5,'[14]SDG^2 values'!$F$6,1)))))</f>
        <v>1.03</v>
      </c>
      <c r="AX26" s="52">
        <f>IF(AM26=1,'[14]SDG^2 values'!$B$7,IF(AM26=2,'[14]SDG^2 values'!$C$7,IF(AM26=3,'[14]SDG^2 values'!$D$7,IF(AM26=4,'[14]SDG^2 values'!$E$7,IF(AM26=5,'[14]SDG^2 values'!$F$7,1)))))</f>
        <v>1</v>
      </c>
      <c r="AY26" s="52">
        <f>IF(AN26=1,'[14]SDG^2 values'!$B$8,IF(AN26=2,'[14]SDG^2 values'!$C$8,IF(AN26=3,'[14]SDG^2 values'!$D$8,IF(AN26=4,'[14]SDG^2 values'!$E$8,IF(AN26=5,'[14]SDG^2 values'!$F$8,1)))))</f>
        <v>1</v>
      </c>
      <c r="AZ26" s="52">
        <f>IF(AO26=1,'[14]SDG^2 values'!$B$9,IF(AO26=2,'[14]SDG^2 values'!$C$9,IF(AO26=3,'[14]SDG^2 values'!$D$9,IF(AO26=4,'[14]SDG^2 values'!$E$9,IF(AO26=5,'[14]SDG^2 values'!$F$9,1)))))</f>
        <v>1.05</v>
      </c>
      <c r="BC26" s="7"/>
      <c r="BD26" s="7"/>
    </row>
    <row r="27" spans="2:56" ht="24">
      <c r="B27" s="120">
        <v>32117</v>
      </c>
      <c r="C27" s="37"/>
      <c r="D27" s="151" t="s">
        <v>525</v>
      </c>
      <c r="E27" s="152" t="s">
        <v>526</v>
      </c>
      <c r="F27" s="153" t="s">
        <v>402</v>
      </c>
      <c r="G27" s="144" t="str">
        <f>IF(OR(E27="4",F27="4"),INDEX([14]NamesElementary!$B$1:$B$65536,MATCH(B27,[14]NamesElementary!$A$1:$A$65536,0),1),INDEX([14]Names!$J$1:$J$65602,MATCH(B27,[14]Names!$F$1:$F$65602,0),1))</f>
        <v>cadmium sulphide, semiconductor-grade, at plant</v>
      </c>
      <c r="H27" s="125" t="str">
        <f>IF(OR(E27="4",F27="4"),"-",INDEX([14]Names!$K$1:$K$65602,MATCH(B27,[14]Names!$F$1:$F$65602,0),1))</f>
        <v>US</v>
      </c>
      <c r="I27" s="154" t="str">
        <f>IF(OR(E27="4",F27="4"),INDEX([14]NamesElementary!$D$1:$D$65536,MATCH($B27,[14]NamesElementary!$A$1:$A$65536,0),1),"-")</f>
        <v>-</v>
      </c>
      <c r="J27" s="123" t="str">
        <f>IF(OR(E27="4",F27="4"),INDEX([14]NamesElementary!$E$1:$E$65536,MATCH($B27,[14]NamesElementary!$A$1:$A$65536,0),1),"-")</f>
        <v>-</v>
      </c>
      <c r="K27" s="124">
        <f>IF(OR(E27="4",F27="4"),"-",INDEX([14]Names!$N$1:$N$65602,MATCH(B27,[14]Names!$F$1:$F$65602,0),1))</f>
        <v>0</v>
      </c>
      <c r="L27" s="125" t="str">
        <f>IF(OR(E27="4",F27="4"),INDEX([14]NamesElementary!$G$1:$G$65536,MATCH(B27,[14]NamesElementary!$A$1:$A$65536,0),1),INDEX([14]Names!$O$1:$O$65602,MATCH(B27,[14]Names!$F$1:$F$65602,0),1))</f>
        <v>kg</v>
      </c>
      <c r="M27" s="155">
        <f t="shared" si="13"/>
        <v>3.516E-3</v>
      </c>
      <c r="N27" s="29">
        <v>1</v>
      </c>
      <c r="O27" s="1">
        <f t="shared" si="0"/>
        <v>1.0807255723670659</v>
      </c>
      <c r="P27" s="31" t="str">
        <f t="shared" si="1"/>
        <v>(1,2,2,1,1,3); Fthenakis, literature, incl. Part of Cd compound powder</v>
      </c>
      <c r="Q27" s="155">
        <f t="shared" si="11"/>
        <v>3.516E-3</v>
      </c>
      <c r="R27" s="29">
        <v>1</v>
      </c>
      <c r="S27" s="1">
        <f t="shared" si="2"/>
        <v>1.0807255723670659</v>
      </c>
      <c r="T27" s="31" t="str">
        <f t="shared" si="3"/>
        <v>(1,2,2,1,1,3); Fthenakis, literature, incl. Part of Cd compound powder</v>
      </c>
      <c r="U27" s="155">
        <f t="shared" si="9"/>
        <v>3.516E-3</v>
      </c>
      <c r="V27" s="29">
        <v>1</v>
      </c>
      <c r="W27" s="1">
        <f t="shared" si="4"/>
        <v>1.0807255723670659</v>
      </c>
      <c r="X27" s="31" t="str">
        <f t="shared" si="5"/>
        <v>(1,2,2,1,1,3); Fthenakis, literature, incl. Part of Cd compound powder</v>
      </c>
      <c r="Y27" s="182">
        <f>0.00327+50%*0.000492</f>
        <v>3.516E-3</v>
      </c>
      <c r="Z27" s="281">
        <v>6.5000000000000002E-2</v>
      </c>
      <c r="AA27" s="259" t="e">
        <f>1156/10000000*AA$54</f>
        <v>#REF!</v>
      </c>
      <c r="AB27" s="259" t="e">
        <f>200/10000000*AB$54</f>
        <v>#REF!</v>
      </c>
      <c r="AD27" s="253"/>
      <c r="AE27" s="253"/>
      <c r="AF27" s="253"/>
      <c r="AG27" s="253"/>
      <c r="AH27" s="253"/>
      <c r="AI27" s="115" t="str">
        <f>AI26</f>
        <v>Fthenakis, literature, incl. Part of Cd compound powder</v>
      </c>
      <c r="AJ27" s="11">
        <f t="shared" si="14"/>
        <v>1</v>
      </c>
      <c r="AK27" s="11">
        <f t="shared" si="14"/>
        <v>2</v>
      </c>
      <c r="AL27" s="11">
        <v>2</v>
      </c>
      <c r="AM27" s="11">
        <f t="shared" si="14"/>
        <v>1</v>
      </c>
      <c r="AN27" s="11">
        <f t="shared" si="14"/>
        <v>1</v>
      </c>
      <c r="AO27" s="11">
        <f t="shared" si="14"/>
        <v>3</v>
      </c>
      <c r="AP27" s="50">
        <f>IF(OR($E27="4",$F27="4"),INDEX([14]NamesElementary!$J$1:$J$65536,MATCH($B27,[14]NamesElementary!$A$1:$A$65536,0),1),INDEX([14]Names!$W$1:$W$65602,MATCH($B27,[14]Names!$F$1:$F$65602,0),1))</f>
        <v>3</v>
      </c>
      <c r="AQ27" s="51">
        <f>INDEX([14]BasicUncertainty!$H$1:$H$65536,MATCH(AP27,[14]BasicUncertainty!$B$1:$B$65536,0),1)</f>
        <v>1.05</v>
      </c>
      <c r="AR27" s="87">
        <f t="shared" si="6"/>
        <v>1.0622454211725116</v>
      </c>
      <c r="AS27" s="88">
        <f t="shared" si="7"/>
        <v>1.0807255723670659</v>
      </c>
      <c r="AT27" s="89" t="str">
        <f t="shared" si="8"/>
        <v>(1,2,2,1,1,3)</v>
      </c>
      <c r="AU27" s="52">
        <f>IF(AJ27=1,'[14]SDG^2 values'!$B$4,IF(AJ27=2,'[14]SDG^2 values'!$C$4,IF(AJ27=3,'[14]SDG^2 values'!$D$4,IF(AJ27=4,'[14]SDG^2 values'!$E$4,IF(AJ27=5,'[14]SDG^2 values'!$F$4,1)))))</f>
        <v>1</v>
      </c>
      <c r="AV27" s="52">
        <f>IF(AK27=1,'[14]SDG^2 values'!$B$5,IF(AK27=2,'[14]SDG^2 values'!$C$5,IF(AK27=3,'[14]SDG^2 values'!$D$5,IF(AK27=4,'[14]SDG^2 values'!$E$5,IF(AK27=5,'[14]SDG^2 values'!$F$5,1)))))</f>
        <v>1.02</v>
      </c>
      <c r="AW27" s="52">
        <f>IF(AL27=1,'[14]SDG^2 values'!$B$6,IF(AL27=2,'[14]SDG^2 values'!$C$6,IF(AL27=3,'[14]SDG^2 values'!$D$6,IF(AL27=4,'[14]SDG^2 values'!$E$6,IF(AL27=5,'[14]SDG^2 values'!$F$6,1)))))</f>
        <v>1.03</v>
      </c>
      <c r="AX27" s="52">
        <f>IF(AM27=1,'[14]SDG^2 values'!$B$7,IF(AM27=2,'[14]SDG^2 values'!$C$7,IF(AM27=3,'[14]SDG^2 values'!$D$7,IF(AM27=4,'[14]SDG^2 values'!$E$7,IF(AM27=5,'[14]SDG^2 values'!$F$7,1)))))</f>
        <v>1</v>
      </c>
      <c r="AY27" s="52">
        <f>IF(AN27=1,'[14]SDG^2 values'!$B$8,IF(AN27=2,'[14]SDG^2 values'!$C$8,IF(AN27=3,'[14]SDG^2 values'!$D$8,IF(AN27=4,'[14]SDG^2 values'!$E$8,IF(AN27=5,'[14]SDG^2 values'!$F$8,1)))))</f>
        <v>1</v>
      </c>
      <c r="AZ27" s="52">
        <f>IF(AO27=1,'[14]SDG^2 values'!$B$9,IF(AO27=2,'[14]SDG^2 values'!$C$9,IF(AO27=3,'[14]SDG^2 values'!$D$9,IF(AO27=4,'[14]SDG^2 values'!$E$9,IF(AO27=5,'[14]SDG^2 values'!$F$9,1)))))</f>
        <v>1.05</v>
      </c>
      <c r="BC27" s="7"/>
      <c r="BD27" s="7"/>
    </row>
    <row r="28" spans="2:56" ht="12.75">
      <c r="B28" s="120">
        <v>2796</v>
      </c>
      <c r="C28" s="37"/>
      <c r="D28" s="151" t="s">
        <v>525</v>
      </c>
      <c r="E28" s="152" t="s">
        <v>526</v>
      </c>
      <c r="F28" s="153" t="s">
        <v>402</v>
      </c>
      <c r="G28" s="144" t="str">
        <f>IF(OR(E28="4",F28="4"),INDEX([14]NamesElementary!$B$1:$B$65536,MATCH(B28,[14]NamesElementary!$A$1:$A$65536,0),1),INDEX([14]Names!$J$1:$J$65602,MATCH(B28,[14]Names!$F$1:$F$65602,0),1))</f>
        <v>tin, at regional storage</v>
      </c>
      <c r="H28" s="125" t="str">
        <f>IF(OR(E28="4",F28="4"),"-",INDEX([14]Names!$K$1:$K$65602,MATCH(B28,[14]Names!$F$1:$F$65602,0),1))</f>
        <v>RER</v>
      </c>
      <c r="I28" s="154" t="str">
        <f>IF(OR(E28="4",F28="4"),INDEX([14]NamesElementary!$D$1:$D$65536,MATCH($B28,[14]NamesElementary!$A$1:$A$65536,0),1),"-")</f>
        <v>-</v>
      </c>
      <c r="J28" s="123" t="str">
        <f>IF(OR(E28="4",F28="4"),INDEX([14]NamesElementary!$E$1:$E$65536,MATCH($B28,[14]NamesElementary!$A$1:$A$65536,0),1),"-")</f>
        <v>-</v>
      </c>
      <c r="K28" s="124">
        <f>IF(OR(E28="4",F28="4"),"-",INDEX([14]Names!$N$1:$N$65602,MATCH(B28,[14]Names!$F$1:$F$65602,0),1))</f>
        <v>0</v>
      </c>
      <c r="L28" s="125" t="str">
        <f>IF(OR(E28="4",F28="4"),INDEX([14]NamesElementary!$G$1:$G$65536,MATCH(B28,[14]NamesElementary!$A$1:$A$65536,0),1),INDEX([14]Names!$O$1:$O$65602,MATCH(B28,[14]Names!$F$1:$F$65602,0),1))</f>
        <v>kg</v>
      </c>
      <c r="M28" s="155">
        <f t="shared" si="13"/>
        <v>0</v>
      </c>
      <c r="N28" s="29">
        <v>1</v>
      </c>
      <c r="O28" s="1">
        <f t="shared" si="0"/>
        <v>1.0807255723670659</v>
      </c>
      <c r="P28" s="31" t="str">
        <f t="shared" si="1"/>
        <v>(1,2,2,1,1,3); Not used</v>
      </c>
      <c r="Q28" s="155">
        <f t="shared" si="11"/>
        <v>0</v>
      </c>
      <c r="R28" s="29">
        <v>1</v>
      </c>
      <c r="S28" s="1">
        <f t="shared" si="2"/>
        <v>1.0807255723670659</v>
      </c>
      <c r="T28" s="31" t="str">
        <f t="shared" si="3"/>
        <v>(1,2,2,1,1,3); Not used</v>
      </c>
      <c r="U28" s="155">
        <f t="shared" si="9"/>
        <v>0</v>
      </c>
      <c r="V28" s="29">
        <v>1</v>
      </c>
      <c r="W28" s="1">
        <f t="shared" si="4"/>
        <v>1.0807255723670659</v>
      </c>
      <c r="X28" s="31" t="str">
        <f t="shared" si="5"/>
        <v>(1,2,2,1,1,3); Not used</v>
      </c>
      <c r="Y28" s="182">
        <v>0</v>
      </c>
      <c r="Z28" s="282" t="s">
        <v>676</v>
      </c>
      <c r="AA28" s="259"/>
      <c r="AB28" s="276" t="e">
        <f>(Z27-AB52)</f>
        <v>#REF!</v>
      </c>
      <c r="AD28" s="253"/>
      <c r="AE28" s="253"/>
      <c r="AF28" s="253"/>
      <c r="AG28" s="253"/>
      <c r="AH28" s="253"/>
      <c r="AI28" s="115" t="s">
        <v>262</v>
      </c>
      <c r="AJ28" s="11">
        <f t="shared" si="14"/>
        <v>1</v>
      </c>
      <c r="AK28" s="11">
        <f t="shared" si="14"/>
        <v>2</v>
      </c>
      <c r="AL28" s="11">
        <v>2</v>
      </c>
      <c r="AM28" s="11">
        <f t="shared" si="14"/>
        <v>1</v>
      </c>
      <c r="AN28" s="11">
        <f t="shared" si="14"/>
        <v>1</v>
      </c>
      <c r="AO28" s="11">
        <f t="shared" si="14"/>
        <v>3</v>
      </c>
      <c r="AP28" s="50">
        <f>IF(OR($E28="4",$F28="4"),INDEX([14]NamesElementary!$J$1:$J$65536,MATCH($B28,[14]NamesElementary!$A$1:$A$65536,0),1),INDEX([14]Names!$W$1:$W$65602,MATCH($B28,[14]Names!$F$1:$F$65602,0),1))</f>
        <v>3</v>
      </c>
      <c r="AQ28" s="51">
        <f>INDEX([14]BasicUncertainty!$H$1:$H$65536,MATCH(AP28,[14]BasicUncertainty!$B$1:$B$65536,0),1)</f>
        <v>1.05</v>
      </c>
      <c r="AR28" s="87">
        <f t="shared" si="6"/>
        <v>1.0622454211725116</v>
      </c>
      <c r="AS28" s="88">
        <f t="shared" si="7"/>
        <v>1.0807255723670659</v>
      </c>
      <c r="AT28" s="89" t="str">
        <f t="shared" si="8"/>
        <v>(1,2,2,1,1,3)</v>
      </c>
      <c r="AU28" s="52">
        <f>IF(AJ28=1,'[14]SDG^2 values'!$B$4,IF(AJ28=2,'[14]SDG^2 values'!$C$4,IF(AJ28=3,'[14]SDG^2 values'!$D$4,IF(AJ28=4,'[14]SDG^2 values'!$E$4,IF(AJ28=5,'[14]SDG^2 values'!$F$4,1)))))</f>
        <v>1</v>
      </c>
      <c r="AV28" s="52">
        <f>IF(AK28=1,'[14]SDG^2 values'!$B$5,IF(AK28=2,'[14]SDG^2 values'!$C$5,IF(AK28=3,'[14]SDG^2 values'!$D$5,IF(AK28=4,'[14]SDG^2 values'!$E$5,IF(AK28=5,'[14]SDG^2 values'!$F$5,1)))))</f>
        <v>1.02</v>
      </c>
      <c r="AW28" s="52">
        <f>IF(AL28=1,'[14]SDG^2 values'!$B$6,IF(AL28=2,'[14]SDG^2 values'!$C$6,IF(AL28=3,'[14]SDG^2 values'!$D$6,IF(AL28=4,'[14]SDG^2 values'!$E$6,IF(AL28=5,'[14]SDG^2 values'!$F$6,1)))))</f>
        <v>1.03</v>
      </c>
      <c r="AX28" s="52">
        <f>IF(AM28=1,'[14]SDG^2 values'!$B$7,IF(AM28=2,'[14]SDG^2 values'!$C$7,IF(AM28=3,'[14]SDG^2 values'!$D$7,IF(AM28=4,'[14]SDG^2 values'!$E$7,IF(AM28=5,'[14]SDG^2 values'!$F$7,1)))))</f>
        <v>1</v>
      </c>
      <c r="AY28" s="52">
        <f>IF(AN28=1,'[14]SDG^2 values'!$B$8,IF(AN28=2,'[14]SDG^2 values'!$C$8,IF(AN28=3,'[14]SDG^2 values'!$D$8,IF(AN28=4,'[14]SDG^2 values'!$E$8,IF(AN28=5,'[14]SDG^2 values'!$F$8,1)))))</f>
        <v>1</v>
      </c>
      <c r="AZ28" s="52">
        <f>IF(AO28=1,'[14]SDG^2 values'!$B$9,IF(AO28=2,'[14]SDG^2 values'!$C$9,IF(AO28=3,'[14]SDG^2 values'!$D$9,IF(AO28=4,'[14]SDG^2 values'!$E$9,IF(AO28=5,'[14]SDG^2 values'!$F$9,1)))))</f>
        <v>1.05</v>
      </c>
      <c r="BC28" s="7"/>
      <c r="BD28" s="7"/>
    </row>
    <row r="29" spans="2:56" ht="12.75">
      <c r="B29" s="157">
        <v>1183</v>
      </c>
      <c r="C29" s="37" t="s">
        <v>151</v>
      </c>
      <c r="D29" s="151" t="s">
        <v>525</v>
      </c>
      <c r="E29" s="152" t="s">
        <v>526</v>
      </c>
      <c r="F29" s="153" t="s">
        <v>402</v>
      </c>
      <c r="G29" s="144" t="str">
        <f>IF(OR(E29="4",F29="4"),INDEX([14]NamesElementary!$B$1:$B$65536,MATCH(B29,[14]NamesElementary!$A$1:$A$65536,0),1),INDEX([14]Names!$J$1:$J$65602,MATCH(B29,[14]Names!$F$1:$F$65602,0),1))</f>
        <v>acetone, liquid, at plant</v>
      </c>
      <c r="H29" s="125" t="str">
        <f>IF(OR(E29="4",F29="4"),"-",INDEX([14]Names!$K$1:$K$65602,MATCH(B29,[14]Names!$F$1:$F$65602,0),1))</f>
        <v>RER</v>
      </c>
      <c r="I29" s="154" t="str">
        <f>IF(OR(E29="4",F29="4"),INDEX([14]NamesElementary!$D$1:$D$65536,MATCH($B29,[14]NamesElementary!$A$1:$A$65536,0),1),"-")</f>
        <v>-</v>
      </c>
      <c r="J29" s="123" t="str">
        <f>IF(OR(E29="4",F29="4"),INDEX([14]NamesElementary!$E$1:$E$65536,MATCH($B29,[14]NamesElementary!$A$1:$A$65536,0),1),"-")</f>
        <v>-</v>
      </c>
      <c r="K29" s="124">
        <f>IF(OR(E29="4",F29="4"),"-",INDEX([14]Names!$N$1:$N$65602,MATCH(B29,[14]Names!$F$1:$F$65602,0),1))</f>
        <v>0</v>
      </c>
      <c r="L29" s="125" t="str">
        <f>IF(OR(E29="4",F29="4"),INDEX([14]NamesElementary!$G$1:$G$65536,MATCH(B29,[14]NamesElementary!$A$1:$A$65536,0),1),INDEX([14]Names!$O$1:$O$65602,MATCH(B29,[14]Names!$F$1:$F$65602,0),1))</f>
        <v>kg</v>
      </c>
      <c r="M29" s="155">
        <f t="shared" si="13"/>
        <v>8.9099999999999995E-3</v>
      </c>
      <c r="N29" s="29">
        <v>1</v>
      </c>
      <c r="O29" s="1">
        <f t="shared" si="0"/>
        <v>1.0807255723670659</v>
      </c>
      <c r="P29" s="31" t="str">
        <f t="shared" si="1"/>
        <v>(1,2,2,1,1,3); Fthenakis, literature</v>
      </c>
      <c r="Q29" s="155">
        <f t="shared" si="11"/>
        <v>8.9099999999999995E-3</v>
      </c>
      <c r="R29" s="29">
        <v>1</v>
      </c>
      <c r="S29" s="1">
        <f t="shared" si="2"/>
        <v>1.0807255723670659</v>
      </c>
      <c r="T29" s="31" t="str">
        <f t="shared" si="3"/>
        <v>(1,2,2,1,1,3); Fthenakis, literature</v>
      </c>
      <c r="U29" s="155">
        <f t="shared" si="9"/>
        <v>8.9099999999999995E-3</v>
      </c>
      <c r="V29" s="29">
        <v>1</v>
      </c>
      <c r="W29" s="1">
        <f t="shared" si="4"/>
        <v>1.0807255723670659</v>
      </c>
      <c r="X29" s="31" t="str">
        <f t="shared" si="5"/>
        <v>(1,2,2,1,1,3); Fthenakis, literature</v>
      </c>
      <c r="Y29" s="277">
        <v>8.9099999999999995E-3</v>
      </c>
      <c r="Z29" s="280">
        <v>0.85</v>
      </c>
      <c r="AA29" s="259"/>
      <c r="AB29" s="259"/>
      <c r="AC29" s="259"/>
      <c r="AD29" s="253">
        <f>0.0207</f>
        <v>2.07E-2</v>
      </c>
      <c r="AE29" s="253"/>
      <c r="AF29" s="253"/>
      <c r="AG29" s="253"/>
      <c r="AH29" s="253"/>
      <c r="AI29" s="115" t="s">
        <v>258</v>
      </c>
      <c r="AJ29" s="11">
        <f t="shared" si="14"/>
        <v>1</v>
      </c>
      <c r="AK29" s="11">
        <f t="shared" si="14"/>
        <v>2</v>
      </c>
      <c r="AL29" s="11">
        <v>2</v>
      </c>
      <c r="AM29" s="11">
        <f t="shared" si="14"/>
        <v>1</v>
      </c>
      <c r="AN29" s="11">
        <f t="shared" si="14"/>
        <v>1</v>
      </c>
      <c r="AO29" s="11">
        <f t="shared" si="14"/>
        <v>3</v>
      </c>
      <c r="AP29" s="50">
        <f>IF(OR($E29="4",$F29="4"),INDEX([14]NamesElementary!$J$1:$J$65536,MATCH($B29,[14]NamesElementary!$A$1:$A$65536,0),1),INDEX([14]Names!$W$1:$W$65602,MATCH($B29,[14]Names!$F$1:$F$65602,0),1))</f>
        <v>3</v>
      </c>
      <c r="AQ29" s="51">
        <f>INDEX([14]BasicUncertainty!$H$1:$H$65536,MATCH(AP29,[14]BasicUncertainty!$B$1:$B$65536,0),1)</f>
        <v>1.05</v>
      </c>
      <c r="AR29" s="87">
        <f t="shared" si="6"/>
        <v>1.0622454211725116</v>
      </c>
      <c r="AS29" s="88">
        <f t="shared" si="7"/>
        <v>1.0807255723670659</v>
      </c>
      <c r="AT29" s="89" t="str">
        <f t="shared" si="8"/>
        <v>(1,2,2,1,1,3)</v>
      </c>
      <c r="AU29" s="52">
        <f>IF(AJ29=1,'[14]SDG^2 values'!$B$4,IF(AJ29=2,'[14]SDG^2 values'!$C$4,IF(AJ29=3,'[14]SDG^2 values'!$D$4,IF(AJ29=4,'[14]SDG^2 values'!$E$4,IF(AJ29=5,'[14]SDG^2 values'!$F$4,1)))))</f>
        <v>1</v>
      </c>
      <c r="AV29" s="52">
        <f>IF(AK29=1,'[14]SDG^2 values'!$B$5,IF(AK29=2,'[14]SDG^2 values'!$C$5,IF(AK29=3,'[14]SDG^2 values'!$D$5,IF(AK29=4,'[14]SDG^2 values'!$E$5,IF(AK29=5,'[14]SDG^2 values'!$F$5,1)))))</f>
        <v>1.02</v>
      </c>
      <c r="AW29" s="52">
        <f>IF(AL29=1,'[14]SDG^2 values'!$B$6,IF(AL29=2,'[14]SDG^2 values'!$C$6,IF(AL29=3,'[14]SDG^2 values'!$D$6,IF(AL29=4,'[14]SDG^2 values'!$E$6,IF(AL29=5,'[14]SDG^2 values'!$F$6,1)))))</f>
        <v>1.03</v>
      </c>
      <c r="AX29" s="52">
        <f>IF(AM29=1,'[14]SDG^2 values'!$B$7,IF(AM29=2,'[14]SDG^2 values'!$C$7,IF(AM29=3,'[14]SDG^2 values'!$D$7,IF(AM29=4,'[14]SDG^2 values'!$E$7,IF(AM29=5,'[14]SDG^2 values'!$F$7,1)))))</f>
        <v>1</v>
      </c>
      <c r="AY29" s="52">
        <f>IF(AN29=1,'[14]SDG^2 values'!$B$8,IF(AN29=2,'[14]SDG^2 values'!$C$8,IF(AN29=3,'[14]SDG^2 values'!$D$8,IF(AN29=4,'[14]SDG^2 values'!$E$8,IF(AN29=5,'[14]SDG^2 values'!$F$8,1)))))</f>
        <v>1</v>
      </c>
      <c r="AZ29" s="52">
        <f>IF(AO29=1,'[14]SDG^2 values'!$B$9,IF(AO29=2,'[14]SDG^2 values'!$C$9,IF(AO29=3,'[14]SDG^2 values'!$D$9,IF(AO29=4,'[14]SDG^2 values'!$E$9,IF(AO29=5,'[14]SDG^2 values'!$F$9,1)))))</f>
        <v>1.05</v>
      </c>
      <c r="BA29" s="182">
        <v>1</v>
      </c>
      <c r="BB29" s="7">
        <f>1*0.7857</f>
        <v>0.78569999999999995</v>
      </c>
      <c r="BC29" s="7"/>
      <c r="BD29" s="7"/>
    </row>
    <row r="30" spans="2:56" ht="12.75">
      <c r="B30" s="120">
        <v>1239</v>
      </c>
      <c r="C30" s="37" t="s">
        <v>150</v>
      </c>
      <c r="D30" s="151" t="s">
        <v>525</v>
      </c>
      <c r="E30" s="152" t="s">
        <v>526</v>
      </c>
      <c r="F30" s="153" t="s">
        <v>402</v>
      </c>
      <c r="G30" s="144" t="str">
        <f>IF(OR(E30="4",F30="4"),INDEX([14]NamesElementary!$B$1:$B$65536,MATCH(B30,[14]NamesElementary!$A$1:$A$65536,0),1),INDEX([14]Names!$J$1:$J$65602,MATCH(B30,[14]Names!$F$1:$F$65602,0),1))</f>
        <v>nitric acid, 50% in H2O, at plant</v>
      </c>
      <c r="H30" s="125" t="str">
        <f>IF(OR(E30="4",F30="4"),"-",INDEX([14]Names!$K$1:$K$65602,MATCH(B30,[14]Names!$F$1:$F$65602,0),1))</f>
        <v>RER</v>
      </c>
      <c r="I30" s="154" t="str">
        <f>IF(OR(E30="4",F30="4"),INDEX([14]NamesElementary!$D$1:$D$65536,MATCH($B30,[14]NamesElementary!$A$1:$A$65536,0),1),"-")</f>
        <v>-</v>
      </c>
      <c r="J30" s="123" t="str">
        <f>IF(OR(E30="4",F30="4"),INDEX([14]NamesElementary!$E$1:$E$65536,MATCH($B30,[14]NamesElementary!$A$1:$A$65536,0),1),"-")</f>
        <v>-</v>
      </c>
      <c r="K30" s="124">
        <f>IF(OR(E30="4",F30="4"),"-",INDEX([14]Names!$N$1:$N$65602,MATCH(B30,[14]Names!$F$1:$F$65602,0),1))</f>
        <v>0</v>
      </c>
      <c r="L30" s="125" t="str">
        <f>IF(OR(E30="4",F30="4"),INDEX([14]NamesElementary!$G$1:$G$65536,MATCH(B30,[14]NamesElementary!$A$1:$A$65536,0),1),INDEX([14]Names!$O$1:$O$65602,MATCH(B30,[14]Names!$F$1:$F$65602,0),1))</f>
        <v>kg</v>
      </c>
      <c r="M30" s="155">
        <f t="shared" si="13"/>
        <v>5.7200000000000001E-2</v>
      </c>
      <c r="N30" s="29">
        <v>1</v>
      </c>
      <c r="O30" s="1">
        <f t="shared" si="0"/>
        <v>1.0807255723670659</v>
      </c>
      <c r="P30" s="31" t="str">
        <f t="shared" si="1"/>
        <v>(1,2,2,1,1,3); Fthenakis, literature</v>
      </c>
      <c r="Q30" s="155">
        <f t="shared" si="11"/>
        <v>5.7200000000000001E-2</v>
      </c>
      <c r="R30" s="29">
        <v>1</v>
      </c>
      <c r="S30" s="1">
        <f t="shared" si="2"/>
        <v>1.0807255723670659</v>
      </c>
      <c r="T30" s="31" t="str">
        <f t="shared" si="3"/>
        <v>(1,2,2,1,1,3); Fthenakis, literature</v>
      </c>
      <c r="U30" s="155">
        <f t="shared" si="9"/>
        <v>5.7200000000000001E-2</v>
      </c>
      <c r="V30" s="29">
        <v>1</v>
      </c>
      <c r="W30" s="1">
        <f t="shared" si="4"/>
        <v>1.0807255723670659</v>
      </c>
      <c r="X30" s="31" t="str">
        <f t="shared" si="5"/>
        <v>(1,2,2,1,1,3); Fthenakis, literature</v>
      </c>
      <c r="Y30" s="284">
        <v>5.7200000000000001E-2</v>
      </c>
      <c r="Z30" s="281" t="s">
        <v>676</v>
      </c>
      <c r="AA30" s="259"/>
      <c r="AB30" s="259"/>
      <c r="AC30" s="259"/>
      <c r="AD30" s="253"/>
      <c r="AE30" s="253"/>
      <c r="AF30" s="253"/>
      <c r="AG30" s="253"/>
      <c r="AH30" s="253"/>
      <c r="AI30" s="115" t="s">
        <v>258</v>
      </c>
      <c r="AJ30" s="11">
        <f t="shared" si="14"/>
        <v>1</v>
      </c>
      <c r="AK30" s="11">
        <f t="shared" si="14"/>
        <v>2</v>
      </c>
      <c r="AL30" s="11">
        <v>2</v>
      </c>
      <c r="AM30" s="11">
        <f t="shared" si="14"/>
        <v>1</v>
      </c>
      <c r="AN30" s="11">
        <f t="shared" si="14"/>
        <v>1</v>
      </c>
      <c r="AO30" s="11">
        <f t="shared" si="14"/>
        <v>3</v>
      </c>
      <c r="AP30" s="50">
        <f>IF(OR($E30="4",$F30="4"),INDEX([14]NamesElementary!$J$1:$J$65536,MATCH($B30,[14]NamesElementary!$A$1:$A$65536,0),1),INDEX([14]Names!$W$1:$W$65602,MATCH($B30,[14]Names!$F$1:$F$65602,0),1))</f>
        <v>3</v>
      </c>
      <c r="AQ30" s="51">
        <f>INDEX([14]BasicUncertainty!$H$1:$H$65536,MATCH(AP30,[14]BasicUncertainty!$B$1:$B$65536,0),1)</f>
        <v>1.05</v>
      </c>
      <c r="AR30" s="87">
        <f t="shared" si="6"/>
        <v>1.0622454211725116</v>
      </c>
      <c r="AS30" s="88">
        <f t="shared" si="7"/>
        <v>1.0807255723670659</v>
      </c>
      <c r="AT30" s="89" t="str">
        <f t="shared" si="8"/>
        <v>(1,2,2,1,1,3)</v>
      </c>
      <c r="AU30" s="52">
        <f>IF(AJ30=1,'[14]SDG^2 values'!$B$4,IF(AJ30=2,'[14]SDG^2 values'!$C$4,IF(AJ30=3,'[14]SDG^2 values'!$D$4,IF(AJ30=4,'[14]SDG^2 values'!$E$4,IF(AJ30=5,'[14]SDG^2 values'!$F$4,1)))))</f>
        <v>1</v>
      </c>
      <c r="AV30" s="52">
        <f>IF(AK30=1,'[14]SDG^2 values'!$B$5,IF(AK30=2,'[14]SDG^2 values'!$C$5,IF(AK30=3,'[14]SDG^2 values'!$D$5,IF(AK30=4,'[14]SDG^2 values'!$E$5,IF(AK30=5,'[14]SDG^2 values'!$F$5,1)))))</f>
        <v>1.02</v>
      </c>
      <c r="AW30" s="52">
        <f>IF(AL30=1,'[14]SDG^2 values'!$B$6,IF(AL30=2,'[14]SDG^2 values'!$C$6,IF(AL30=3,'[14]SDG^2 values'!$D$6,IF(AL30=4,'[14]SDG^2 values'!$E$6,IF(AL30=5,'[14]SDG^2 values'!$F$6,1)))))</f>
        <v>1.03</v>
      </c>
      <c r="AX30" s="52">
        <f>IF(AM30=1,'[14]SDG^2 values'!$B$7,IF(AM30=2,'[14]SDG^2 values'!$C$7,IF(AM30=3,'[14]SDG^2 values'!$D$7,IF(AM30=4,'[14]SDG^2 values'!$E$7,IF(AM30=5,'[14]SDG^2 values'!$F$7,1)))))</f>
        <v>1</v>
      </c>
      <c r="AY30" s="52">
        <f>IF(AN30=1,'[14]SDG^2 values'!$B$8,IF(AN30=2,'[14]SDG^2 values'!$C$8,IF(AN30=3,'[14]SDG^2 values'!$D$8,IF(AN30=4,'[14]SDG^2 values'!$E$8,IF(AN30=5,'[14]SDG^2 values'!$F$8,1)))))</f>
        <v>1</v>
      </c>
      <c r="AZ30" s="52">
        <f>IF(AO30=1,'[14]SDG^2 values'!$B$9,IF(AO30=2,'[14]SDG^2 values'!$C$9,IF(AO30=3,'[14]SDG^2 values'!$D$9,IF(AO30=4,'[14]SDG^2 values'!$E$9,IF(AO30=5,'[14]SDG^2 values'!$F$9,1)))))</f>
        <v>1.05</v>
      </c>
      <c r="BA30" s="182">
        <v>60</v>
      </c>
      <c r="BB30" s="7">
        <f>60*0.791</f>
        <v>47.46</v>
      </c>
      <c r="BC30" s="7"/>
      <c r="BD30" s="7"/>
    </row>
    <row r="31" spans="2:56" ht="12.75">
      <c r="B31" s="120">
        <v>1289</v>
      </c>
      <c r="C31" s="168" t="s">
        <v>525</v>
      </c>
      <c r="D31" s="151" t="s">
        <v>525</v>
      </c>
      <c r="E31" s="152" t="s">
        <v>526</v>
      </c>
      <c r="F31" s="153" t="s">
        <v>402</v>
      </c>
      <c r="G31" s="144" t="str">
        <f>IF(OR(E31="4",F31="4"),INDEX([14]NamesElementary!$B$1:$B$65536,MATCH(B31,[14]NamesElementary!$A$1:$A$65536,0),1),INDEX([14]Names!$J$1:$J$65602,MATCH(B31,[14]Names!$F$1:$F$65602,0),1))</f>
        <v>sulphuric acid, liquid, at plant</v>
      </c>
      <c r="H31" s="125" t="str">
        <f>IF(OR(E31="4",F31="4"),"-",INDEX([14]Names!$K$1:$K$65602,MATCH(B31,[14]Names!$F$1:$F$65602,0),1))</f>
        <v>RER</v>
      </c>
      <c r="I31" s="154" t="str">
        <f>IF(OR(E31="4",F31="4"),INDEX([14]NamesElementary!$D$1:$D$65536,MATCH($B31,[14]NamesElementary!$A$1:$A$65536,0),1),"-")</f>
        <v>-</v>
      </c>
      <c r="J31" s="123" t="str">
        <f>IF(OR(E31="4",F31="4"),INDEX([14]NamesElementary!$E$1:$E$65536,MATCH($B31,[14]NamesElementary!$A$1:$A$65536,0),1),"-")</f>
        <v>-</v>
      </c>
      <c r="K31" s="124">
        <f>IF(OR(E31="4",F31="4"),"-",INDEX([14]Names!$N$1:$N$65602,MATCH(B31,[14]Names!$F$1:$F$65602,0),1))</f>
        <v>0</v>
      </c>
      <c r="L31" s="125" t="str">
        <f>IF(OR(E31="4",F31="4"),INDEX([14]NamesElementary!$G$1:$G$65536,MATCH(B31,[14]NamesElementary!$A$1:$A$65536,0),1),INDEX([14]Names!$O$1:$O$65602,MATCH(B31,[14]Names!$F$1:$F$65602,0),1))</f>
        <v>kg</v>
      </c>
      <c r="M31" s="155">
        <f t="shared" si="13"/>
        <v>3.9300000000000002E-2</v>
      </c>
      <c r="N31" s="29">
        <v>1</v>
      </c>
      <c r="O31" s="1">
        <f t="shared" si="0"/>
        <v>1.0807255723670659</v>
      </c>
      <c r="P31" s="31" t="str">
        <f t="shared" si="1"/>
        <v>(1,2,2,1,1,3); Fthenakis, literature</v>
      </c>
      <c r="Q31" s="155">
        <f t="shared" si="11"/>
        <v>3.9300000000000002E-2</v>
      </c>
      <c r="R31" s="29">
        <v>1</v>
      </c>
      <c r="S31" s="1">
        <f t="shared" si="2"/>
        <v>1.0807255723670659</v>
      </c>
      <c r="T31" s="31" t="str">
        <f t="shared" si="3"/>
        <v>(1,2,2,1,1,3); Fthenakis, literature</v>
      </c>
      <c r="U31" s="155">
        <f t="shared" si="9"/>
        <v>3.9300000000000002E-2</v>
      </c>
      <c r="V31" s="29">
        <v>1</v>
      </c>
      <c r="W31" s="1">
        <f t="shared" si="4"/>
        <v>1.0807255723670659</v>
      </c>
      <c r="X31" s="31" t="str">
        <f t="shared" si="5"/>
        <v>(1,2,2,1,1,3); Fthenakis, literature</v>
      </c>
      <c r="Y31" s="284">
        <v>3.9300000000000002E-2</v>
      </c>
      <c r="Z31" s="281" t="s">
        <v>676</v>
      </c>
      <c r="AA31" s="259"/>
      <c r="AB31" s="259"/>
      <c r="AC31" s="259"/>
      <c r="AD31" s="253"/>
      <c r="AE31" s="253"/>
      <c r="AF31" s="253"/>
      <c r="AG31" s="253"/>
      <c r="AH31" s="253"/>
      <c r="AI31" s="115" t="s">
        <v>258</v>
      </c>
      <c r="AJ31" s="11">
        <f t="shared" si="14"/>
        <v>1</v>
      </c>
      <c r="AK31" s="11">
        <f t="shared" si="14"/>
        <v>2</v>
      </c>
      <c r="AL31" s="11">
        <v>2</v>
      </c>
      <c r="AM31" s="11">
        <f t="shared" si="14"/>
        <v>1</v>
      </c>
      <c r="AN31" s="11">
        <f t="shared" si="14"/>
        <v>1</v>
      </c>
      <c r="AO31" s="11">
        <f t="shared" si="14"/>
        <v>3</v>
      </c>
      <c r="AP31" s="50">
        <f>IF(OR($E31="4",$F31="4"),INDEX([14]NamesElementary!$J$1:$J$65536,MATCH($B31,[14]NamesElementary!$A$1:$A$65536,0),1),INDEX([14]Names!$W$1:$W$65602,MATCH($B31,[14]Names!$F$1:$F$65602,0),1))</f>
        <v>3</v>
      </c>
      <c r="AQ31" s="51">
        <f>INDEX([14]BasicUncertainty!$H$1:$H$65536,MATCH(AP31,[14]BasicUncertainty!$B$1:$B$65536,0),1)</f>
        <v>1.05</v>
      </c>
      <c r="AR31" s="87">
        <f t="shared" si="6"/>
        <v>1.0622454211725116</v>
      </c>
      <c r="AS31" s="88">
        <f t="shared" si="7"/>
        <v>1.0807255723670659</v>
      </c>
      <c r="AT31" s="89" t="str">
        <f t="shared" si="8"/>
        <v>(1,2,2,1,1,3)</v>
      </c>
      <c r="AU31" s="52">
        <f>IF(AJ31=1,'[14]SDG^2 values'!$B$4,IF(AJ31=2,'[14]SDG^2 values'!$C$4,IF(AJ31=3,'[14]SDG^2 values'!$D$4,IF(AJ31=4,'[14]SDG^2 values'!$E$4,IF(AJ31=5,'[14]SDG^2 values'!$F$4,1)))))</f>
        <v>1</v>
      </c>
      <c r="AV31" s="52">
        <f>IF(AK31=1,'[14]SDG^2 values'!$B$5,IF(AK31=2,'[14]SDG^2 values'!$C$5,IF(AK31=3,'[14]SDG^2 values'!$D$5,IF(AK31=4,'[14]SDG^2 values'!$E$5,IF(AK31=5,'[14]SDG^2 values'!$F$5,1)))))</f>
        <v>1.02</v>
      </c>
      <c r="AW31" s="52">
        <f>IF(AL31=1,'[14]SDG^2 values'!$B$6,IF(AL31=2,'[14]SDG^2 values'!$C$6,IF(AL31=3,'[14]SDG^2 values'!$D$6,IF(AL31=4,'[14]SDG^2 values'!$E$6,IF(AL31=5,'[14]SDG^2 values'!$F$6,1)))))</f>
        <v>1.03</v>
      </c>
      <c r="AX31" s="52">
        <f>IF(AM31=1,'[14]SDG^2 values'!$B$7,IF(AM31=2,'[14]SDG^2 values'!$C$7,IF(AM31=3,'[14]SDG^2 values'!$D$7,IF(AM31=4,'[14]SDG^2 values'!$E$7,IF(AM31=5,'[14]SDG^2 values'!$F$7,1)))))</f>
        <v>1</v>
      </c>
      <c r="AY31" s="52">
        <f>IF(AN31=1,'[14]SDG^2 values'!$B$8,IF(AN31=2,'[14]SDG^2 values'!$C$8,IF(AN31=3,'[14]SDG^2 values'!$D$8,IF(AN31=4,'[14]SDG^2 values'!$E$8,IF(AN31=5,'[14]SDG^2 values'!$F$8,1)))))</f>
        <v>1</v>
      </c>
      <c r="AZ31" s="52">
        <f>IF(AO31=1,'[14]SDG^2 values'!$B$9,IF(AO31=2,'[14]SDG^2 values'!$C$9,IF(AO31=3,'[14]SDG^2 values'!$D$9,IF(AO31=4,'[14]SDG^2 values'!$E$9,IF(AO31=5,'[14]SDG^2 values'!$F$9,1)))))</f>
        <v>1.05</v>
      </c>
      <c r="BA31" s="182">
        <v>40</v>
      </c>
      <c r="BB31" s="7">
        <f>0.8945*40</f>
        <v>35.78</v>
      </c>
      <c r="BC31" s="7"/>
      <c r="BD31" s="7"/>
    </row>
    <row r="32" spans="2:56" ht="12.75">
      <c r="B32" s="120">
        <v>1103</v>
      </c>
      <c r="C32" s="168" t="s">
        <v>525</v>
      </c>
      <c r="D32" s="151" t="s">
        <v>525</v>
      </c>
      <c r="E32" s="152" t="s">
        <v>526</v>
      </c>
      <c r="F32" s="153" t="s">
        <v>402</v>
      </c>
      <c r="G32" s="144" t="str">
        <f>IF(OR(E32="4",F32="4"),INDEX([14]NamesElementary!$B$1:$B$65536,MATCH(B32,[14]NamesElementary!$A$1:$A$65536,0),1),INDEX([14]Names!$J$1:$J$65602,MATCH(B32,[14]Names!$F$1:$F$65602,0),1))</f>
        <v>silica sand, at plant</v>
      </c>
      <c r="H32" s="125" t="str">
        <f>IF(OR(E32="4",F32="4"),"-",INDEX([14]Names!$K$1:$K$65602,MATCH(B32,[14]Names!$F$1:$F$65602,0),1))</f>
        <v>DE</v>
      </c>
      <c r="I32" s="154" t="str">
        <f>IF(OR(E32="4",F32="4"),INDEX([14]NamesElementary!$D$1:$D$65536,MATCH($B32,[14]NamesElementary!$A$1:$A$65536,0),1),"-")</f>
        <v>-</v>
      </c>
      <c r="J32" s="123" t="str">
        <f>IF(OR(E32="4",F32="4"),INDEX([14]NamesElementary!$E$1:$E$65536,MATCH($B32,[14]NamesElementary!$A$1:$A$65536,0),1),"-")</f>
        <v>-</v>
      </c>
      <c r="K32" s="124">
        <f>IF(OR(E32="4",F32="4"),"-",INDEX([14]Names!$N$1:$N$65602,MATCH(B32,[14]Names!$F$1:$F$65602,0),1))</f>
        <v>0</v>
      </c>
      <c r="L32" s="125" t="str">
        <f>IF(OR(E32="4",F32="4"),INDEX([14]NamesElementary!$G$1:$G$65536,MATCH(B32,[14]NamesElementary!$A$1:$A$65536,0),1),INDEX([14]Names!$O$1:$O$65602,MATCH(B32,[14]Names!$F$1:$F$65602,0),1))</f>
        <v>kg</v>
      </c>
      <c r="M32" s="155">
        <f t="shared" si="13"/>
        <v>4.6800000000000001E-2</v>
      </c>
      <c r="N32" s="29">
        <v>1</v>
      </c>
      <c r="O32" s="1">
        <f t="shared" si="0"/>
        <v>1.0807255723670659</v>
      </c>
      <c r="P32" s="31" t="str">
        <f t="shared" si="1"/>
        <v>(1,2,2,1,1,3); Fthenakis, literature</v>
      </c>
      <c r="Q32" s="155">
        <f t="shared" si="11"/>
        <v>4.6800000000000001E-2</v>
      </c>
      <c r="R32" s="29">
        <v>1</v>
      </c>
      <c r="S32" s="1">
        <f t="shared" si="2"/>
        <v>1.0807255723670659</v>
      </c>
      <c r="T32" s="31" t="str">
        <f t="shared" si="3"/>
        <v>(1,2,2,1,1,3); Fthenakis, literature</v>
      </c>
      <c r="U32" s="155">
        <f t="shared" si="9"/>
        <v>4.6800000000000001E-2</v>
      </c>
      <c r="V32" s="29">
        <v>1</v>
      </c>
      <c r="W32" s="1">
        <f t="shared" si="4"/>
        <v>1.0807255723670659</v>
      </c>
      <c r="X32" s="31" t="str">
        <f t="shared" si="5"/>
        <v>(1,2,2,1,1,3); Fthenakis, literature</v>
      </c>
      <c r="Y32" s="284">
        <v>4.6800000000000001E-2</v>
      </c>
      <c r="Z32" s="281"/>
      <c r="AA32" s="259"/>
      <c r="AB32" s="259"/>
      <c r="AC32" s="259"/>
      <c r="AD32" s="253"/>
      <c r="AE32" s="253"/>
      <c r="AF32" s="253"/>
      <c r="AG32" s="253"/>
      <c r="AH32" s="253"/>
      <c r="AI32" s="115" t="s">
        <v>258</v>
      </c>
      <c r="AJ32" s="11">
        <f t="shared" si="14"/>
        <v>1</v>
      </c>
      <c r="AK32" s="11">
        <f t="shared" si="14"/>
        <v>2</v>
      </c>
      <c r="AL32" s="11">
        <v>2</v>
      </c>
      <c r="AM32" s="11">
        <f t="shared" si="14"/>
        <v>1</v>
      </c>
      <c r="AN32" s="11">
        <f t="shared" si="14"/>
        <v>1</v>
      </c>
      <c r="AO32" s="11">
        <f t="shared" si="14"/>
        <v>3</v>
      </c>
      <c r="AP32" s="50">
        <f>IF(OR($E32="4",$F32="4"),INDEX([14]NamesElementary!$J$1:$J$65536,MATCH($B32,[14]NamesElementary!$A$1:$A$65536,0),1),INDEX([14]Names!$W$1:$W$65602,MATCH($B32,[14]Names!$F$1:$F$65602,0),1))</f>
        <v>3</v>
      </c>
      <c r="AQ32" s="51">
        <f>INDEX([14]BasicUncertainty!$H$1:$H$65536,MATCH(AP32,[14]BasicUncertainty!$B$1:$B$65536,0),1)</f>
        <v>1.05</v>
      </c>
      <c r="AR32" s="87">
        <f t="shared" si="6"/>
        <v>1.0622454211725116</v>
      </c>
      <c r="AS32" s="88">
        <f t="shared" si="7"/>
        <v>1.0807255723670659</v>
      </c>
      <c r="AT32" s="89" t="str">
        <f t="shared" si="8"/>
        <v>(1,2,2,1,1,3)</v>
      </c>
      <c r="AU32" s="52">
        <f>IF(AJ32=1,'[14]SDG^2 values'!$B$4,IF(AJ32=2,'[14]SDG^2 values'!$C$4,IF(AJ32=3,'[14]SDG^2 values'!$D$4,IF(AJ32=4,'[14]SDG^2 values'!$E$4,IF(AJ32=5,'[14]SDG^2 values'!$F$4,1)))))</f>
        <v>1</v>
      </c>
      <c r="AV32" s="52">
        <f>IF(AK32=1,'[14]SDG^2 values'!$B$5,IF(AK32=2,'[14]SDG^2 values'!$C$5,IF(AK32=3,'[14]SDG^2 values'!$D$5,IF(AK32=4,'[14]SDG^2 values'!$E$5,IF(AK32=5,'[14]SDG^2 values'!$F$5,1)))))</f>
        <v>1.02</v>
      </c>
      <c r="AW32" s="52">
        <f>IF(AL32=1,'[14]SDG^2 values'!$B$6,IF(AL32=2,'[14]SDG^2 values'!$C$6,IF(AL32=3,'[14]SDG^2 values'!$D$6,IF(AL32=4,'[14]SDG^2 values'!$E$6,IF(AL32=5,'[14]SDG^2 values'!$F$6,1)))))</f>
        <v>1.03</v>
      </c>
      <c r="AX32" s="52">
        <f>IF(AM32=1,'[14]SDG^2 values'!$B$7,IF(AM32=2,'[14]SDG^2 values'!$C$7,IF(AM32=3,'[14]SDG^2 values'!$D$7,IF(AM32=4,'[14]SDG^2 values'!$E$7,IF(AM32=5,'[14]SDG^2 values'!$F$7,1)))))</f>
        <v>1</v>
      </c>
      <c r="AY32" s="52">
        <f>IF(AN32=1,'[14]SDG^2 values'!$B$8,IF(AN32=2,'[14]SDG^2 values'!$C$8,IF(AN32=3,'[14]SDG^2 values'!$D$8,IF(AN32=4,'[14]SDG^2 values'!$E$8,IF(AN32=5,'[14]SDG^2 values'!$F$8,1)))))</f>
        <v>1</v>
      </c>
      <c r="AZ32" s="52">
        <f>IF(AO32=1,'[14]SDG^2 values'!$B$9,IF(AO32=2,'[14]SDG^2 values'!$C$9,IF(AO32=3,'[14]SDG^2 values'!$D$9,IF(AO32=4,'[14]SDG^2 values'!$E$9,IF(AO32=5,'[14]SDG^2 values'!$F$9,1)))))</f>
        <v>1.05</v>
      </c>
      <c r="BC32" s="7"/>
      <c r="BD32" s="7"/>
    </row>
    <row r="33" spans="2:56" ht="12.75">
      <c r="B33" s="120">
        <v>1281</v>
      </c>
      <c r="C33" s="168" t="s">
        <v>525</v>
      </c>
      <c r="D33" s="151" t="s">
        <v>525</v>
      </c>
      <c r="E33" s="152" t="s">
        <v>526</v>
      </c>
      <c r="F33" s="153" t="s">
        <v>402</v>
      </c>
      <c r="G33" s="144" t="str">
        <f>IF(OR(E33="4",F33="4"),INDEX([14]NamesElementary!$B$1:$B$65536,MATCH(B33,[14]NamesElementary!$A$1:$A$65536,0),1),INDEX([14]Names!$J$1:$J$65602,MATCH(B33,[14]Names!$F$1:$F$65602,0),1))</f>
        <v>sodium chloride, powder, at plant</v>
      </c>
      <c r="H33" s="125" t="str">
        <f>IF(OR(E33="4",F33="4"),"-",INDEX([14]Names!$K$1:$K$65602,MATCH(B33,[14]Names!$F$1:$F$65602,0),1))</f>
        <v>RER</v>
      </c>
      <c r="I33" s="154" t="str">
        <f>IF(OR(E33="4",F33="4"),INDEX([14]NamesElementary!$D$1:$D$65536,MATCH($B33,[14]NamesElementary!$A$1:$A$65536,0),1),"-")</f>
        <v>-</v>
      </c>
      <c r="J33" s="123" t="str">
        <f>IF(OR(E33="4",F33="4"),INDEX([14]NamesElementary!$E$1:$E$65536,MATCH($B33,[14]NamesElementary!$A$1:$A$65536,0),1),"-")</f>
        <v>-</v>
      </c>
      <c r="K33" s="124">
        <f>IF(OR(E33="4",F33="4"),"-",INDEX([14]Names!$N$1:$N$65602,MATCH(B33,[14]Names!$F$1:$F$65602,0),1))</f>
        <v>0</v>
      </c>
      <c r="L33" s="125" t="str">
        <f>IF(OR(E33="4",F33="4"),INDEX([14]NamesElementary!$G$1:$G$65536,MATCH(B33,[14]NamesElementary!$A$1:$A$65536,0),1),INDEX([14]Names!$O$1:$O$65602,MATCH(B33,[14]Names!$F$1:$F$65602,0),1))</f>
        <v>kg</v>
      </c>
      <c r="M33" s="155">
        <f t="shared" si="13"/>
        <v>4.53E-2</v>
      </c>
      <c r="N33" s="29">
        <v>1</v>
      </c>
      <c r="O33" s="1">
        <f t="shared" si="0"/>
        <v>1.0807255723670659</v>
      </c>
      <c r="P33" s="31" t="str">
        <f t="shared" si="1"/>
        <v>(1,2,2,1,1,3); Fthenakis, literature</v>
      </c>
      <c r="Q33" s="155">
        <f t="shared" si="11"/>
        <v>4.53E-2</v>
      </c>
      <c r="R33" s="29">
        <v>1</v>
      </c>
      <c r="S33" s="1">
        <f t="shared" si="2"/>
        <v>1.0807255723670659</v>
      </c>
      <c r="T33" s="31" t="str">
        <f t="shared" si="3"/>
        <v>(1,2,2,1,1,3); Fthenakis, literature</v>
      </c>
      <c r="U33" s="155">
        <f t="shared" si="9"/>
        <v>4.53E-2</v>
      </c>
      <c r="V33" s="29">
        <v>1</v>
      </c>
      <c r="W33" s="1">
        <f t="shared" si="4"/>
        <v>1.0807255723670659</v>
      </c>
      <c r="X33" s="31" t="str">
        <f t="shared" si="5"/>
        <v>(1,2,2,1,1,3); Fthenakis, literature</v>
      </c>
      <c r="Y33" s="284">
        <v>4.53E-2</v>
      </c>
      <c r="Z33" s="281"/>
      <c r="AA33" s="259"/>
      <c r="AB33" s="259"/>
      <c r="AC33" s="259"/>
      <c r="AD33" s="253"/>
      <c r="AE33" s="253"/>
      <c r="AF33" s="253"/>
      <c r="AG33" s="253"/>
      <c r="AH33" s="253"/>
      <c r="AI33" s="115" t="s">
        <v>258</v>
      </c>
      <c r="AJ33" s="11">
        <f t="shared" ref="AJ33:AO42" si="15">AJ$10</f>
        <v>1</v>
      </c>
      <c r="AK33" s="11">
        <f t="shared" si="15"/>
        <v>2</v>
      </c>
      <c r="AL33" s="11">
        <v>2</v>
      </c>
      <c r="AM33" s="11">
        <f t="shared" si="15"/>
        <v>1</v>
      </c>
      <c r="AN33" s="11">
        <f t="shared" si="15"/>
        <v>1</v>
      </c>
      <c r="AO33" s="11">
        <f t="shared" si="15"/>
        <v>3</v>
      </c>
      <c r="AP33" s="50">
        <f>IF(OR($E33="4",$F33="4"),INDEX([14]NamesElementary!$J$1:$J$65536,MATCH($B33,[14]NamesElementary!$A$1:$A$65536,0),1),INDEX([14]Names!$W$1:$W$65602,MATCH($B33,[14]Names!$F$1:$F$65602,0),1))</f>
        <v>3</v>
      </c>
      <c r="AQ33" s="51">
        <f>INDEX([14]BasicUncertainty!$H$1:$H$65536,MATCH(AP33,[14]BasicUncertainty!$B$1:$B$65536,0),1)</f>
        <v>1.05</v>
      </c>
      <c r="AR33" s="87">
        <f t="shared" si="6"/>
        <v>1.0622454211725116</v>
      </c>
      <c r="AS33" s="88">
        <f t="shared" si="7"/>
        <v>1.0807255723670659</v>
      </c>
      <c r="AT33" s="89" t="str">
        <f t="shared" si="8"/>
        <v>(1,2,2,1,1,3)</v>
      </c>
      <c r="AU33" s="52">
        <f>IF(AJ33=1,'[14]SDG^2 values'!$B$4,IF(AJ33=2,'[14]SDG^2 values'!$C$4,IF(AJ33=3,'[14]SDG^2 values'!$D$4,IF(AJ33=4,'[14]SDG^2 values'!$E$4,IF(AJ33=5,'[14]SDG^2 values'!$F$4,1)))))</f>
        <v>1</v>
      </c>
      <c r="AV33" s="52">
        <f>IF(AK33=1,'[14]SDG^2 values'!$B$5,IF(AK33=2,'[14]SDG^2 values'!$C$5,IF(AK33=3,'[14]SDG^2 values'!$D$5,IF(AK33=4,'[14]SDG^2 values'!$E$5,IF(AK33=5,'[14]SDG^2 values'!$F$5,1)))))</f>
        <v>1.02</v>
      </c>
      <c r="AW33" s="52">
        <f>IF(AL33=1,'[14]SDG^2 values'!$B$6,IF(AL33=2,'[14]SDG^2 values'!$C$6,IF(AL33=3,'[14]SDG^2 values'!$D$6,IF(AL33=4,'[14]SDG^2 values'!$E$6,IF(AL33=5,'[14]SDG^2 values'!$F$6,1)))))</f>
        <v>1.03</v>
      </c>
      <c r="AX33" s="52">
        <f>IF(AM33=1,'[14]SDG^2 values'!$B$7,IF(AM33=2,'[14]SDG^2 values'!$C$7,IF(AM33=3,'[14]SDG^2 values'!$D$7,IF(AM33=4,'[14]SDG^2 values'!$E$7,IF(AM33=5,'[14]SDG^2 values'!$F$7,1)))))</f>
        <v>1</v>
      </c>
      <c r="AY33" s="52">
        <f>IF(AN33=1,'[14]SDG^2 values'!$B$8,IF(AN33=2,'[14]SDG^2 values'!$C$8,IF(AN33=3,'[14]SDG^2 values'!$D$8,IF(AN33=4,'[14]SDG^2 values'!$E$8,IF(AN33=5,'[14]SDG^2 values'!$F$8,1)))))</f>
        <v>1</v>
      </c>
      <c r="AZ33" s="52">
        <f>IF(AO33=1,'[14]SDG^2 values'!$B$9,IF(AO33=2,'[14]SDG^2 values'!$C$9,IF(AO33=3,'[14]SDG^2 values'!$D$9,IF(AO33=4,'[14]SDG^2 values'!$E$9,IF(AO33=5,'[14]SDG^2 values'!$F$9,1)))))</f>
        <v>1.05</v>
      </c>
      <c r="BC33" s="7"/>
      <c r="BD33" s="7"/>
    </row>
    <row r="34" spans="2:56" ht="12.75">
      <c r="B34" s="120">
        <v>1218</v>
      </c>
      <c r="C34" s="168" t="s">
        <v>525</v>
      </c>
      <c r="D34" s="151" t="s">
        <v>525</v>
      </c>
      <c r="E34" s="152" t="s">
        <v>526</v>
      </c>
      <c r="F34" s="153" t="s">
        <v>402</v>
      </c>
      <c r="G34" s="144" t="str">
        <f>IF(OR(E34="4",F34="4"),INDEX([14]NamesElementary!$B$1:$B$65536,MATCH(B34,[14]NamesElementary!$A$1:$A$65536,0),1),INDEX([14]Names!$J$1:$J$65602,MATCH(B34,[14]Names!$F$1:$F$65602,0),1))</f>
        <v>hydrogen peroxide, 50% in H2O, at plant</v>
      </c>
      <c r="H34" s="125" t="str">
        <f>IF(OR(E34="4",F34="4"),"-",INDEX([14]Names!$K$1:$K$65602,MATCH(B34,[14]Names!$F$1:$F$65602,0),1))</f>
        <v>RER</v>
      </c>
      <c r="I34" s="154" t="str">
        <f>IF(OR(E34="4",F34="4"),INDEX([14]NamesElementary!$D$1:$D$65536,MATCH($B34,[14]NamesElementary!$A$1:$A$65536,0),1),"-")</f>
        <v>-</v>
      </c>
      <c r="J34" s="123" t="str">
        <f>IF(OR(E34="4",F34="4"),INDEX([14]NamesElementary!$E$1:$E$65536,MATCH($B34,[14]NamesElementary!$A$1:$A$65536,0),1),"-")</f>
        <v>-</v>
      </c>
      <c r="K34" s="124">
        <f>IF(OR(E34="4",F34="4"),"-",INDEX([14]Names!$N$1:$N$65602,MATCH(B34,[14]Names!$F$1:$F$65602,0),1))</f>
        <v>0</v>
      </c>
      <c r="L34" s="125" t="str">
        <f>IF(OR(E34="4",F34="4"),INDEX([14]NamesElementary!$G$1:$G$65536,MATCH(B34,[14]NamesElementary!$A$1:$A$65536,0),1),INDEX([14]Names!$O$1:$O$65602,MATCH(B34,[14]Names!$F$1:$F$65602,0),1))</f>
        <v>kg</v>
      </c>
      <c r="M34" s="155">
        <f t="shared" si="13"/>
        <v>1.67E-2</v>
      </c>
      <c r="N34" s="29">
        <v>1</v>
      </c>
      <c r="O34" s="1">
        <f t="shared" si="0"/>
        <v>1.0807255723670659</v>
      </c>
      <c r="P34" s="31" t="str">
        <f t="shared" si="1"/>
        <v>(1,2,2,1,1,3); Fthenakis, literature</v>
      </c>
      <c r="Q34" s="155">
        <f t="shared" si="11"/>
        <v>1.67E-2</v>
      </c>
      <c r="R34" s="29">
        <v>1</v>
      </c>
      <c r="S34" s="1">
        <f t="shared" si="2"/>
        <v>1.0807255723670659</v>
      </c>
      <c r="T34" s="31" t="str">
        <f t="shared" si="3"/>
        <v>(1,2,2,1,1,3); Fthenakis, literature</v>
      </c>
      <c r="U34" s="155">
        <f t="shared" si="9"/>
        <v>1.67E-2</v>
      </c>
      <c r="V34" s="29">
        <v>1</v>
      </c>
      <c r="W34" s="1">
        <f t="shared" si="4"/>
        <v>1.0807255723670659</v>
      </c>
      <c r="X34" s="31" t="str">
        <f t="shared" si="5"/>
        <v>(1,2,2,1,1,3); Fthenakis, literature</v>
      </c>
      <c r="Y34" s="284">
        <v>1.67E-2</v>
      </c>
      <c r="Z34" s="281"/>
      <c r="AA34" s="259"/>
      <c r="AB34" s="259"/>
      <c r="AC34" s="259"/>
      <c r="AD34" s="253"/>
      <c r="AE34" s="253"/>
      <c r="AF34" s="253"/>
      <c r="AG34" s="253"/>
      <c r="AH34" s="253"/>
      <c r="AI34" s="115" t="s">
        <v>258</v>
      </c>
      <c r="AJ34" s="11">
        <f t="shared" si="15"/>
        <v>1</v>
      </c>
      <c r="AK34" s="11">
        <f t="shared" si="15"/>
        <v>2</v>
      </c>
      <c r="AL34" s="11">
        <v>2</v>
      </c>
      <c r="AM34" s="11">
        <f t="shared" si="15"/>
        <v>1</v>
      </c>
      <c r="AN34" s="11">
        <f t="shared" si="15"/>
        <v>1</v>
      </c>
      <c r="AO34" s="11">
        <f t="shared" si="15"/>
        <v>3</v>
      </c>
      <c r="AP34" s="50">
        <f>IF(OR($E34="4",$F34="4"),INDEX([14]NamesElementary!$J$1:$J$65536,MATCH($B34,[14]NamesElementary!$A$1:$A$65536,0),1),INDEX([14]Names!$W$1:$W$65602,MATCH($B34,[14]Names!$F$1:$F$65602,0),1))</f>
        <v>3</v>
      </c>
      <c r="AQ34" s="51">
        <f>INDEX([14]BasicUncertainty!$H$1:$H$65536,MATCH(AP34,[14]BasicUncertainty!$B$1:$B$65536,0),1)</f>
        <v>1.05</v>
      </c>
      <c r="AR34" s="87">
        <f t="shared" si="6"/>
        <v>1.0622454211725116</v>
      </c>
      <c r="AS34" s="88">
        <f t="shared" si="7"/>
        <v>1.0807255723670659</v>
      </c>
      <c r="AT34" s="89" t="str">
        <f t="shared" si="8"/>
        <v>(1,2,2,1,1,3)</v>
      </c>
      <c r="AU34" s="52">
        <f>IF(AJ34=1,'[14]SDG^2 values'!$B$4,IF(AJ34=2,'[14]SDG^2 values'!$C$4,IF(AJ34=3,'[14]SDG^2 values'!$D$4,IF(AJ34=4,'[14]SDG^2 values'!$E$4,IF(AJ34=5,'[14]SDG^2 values'!$F$4,1)))))</f>
        <v>1</v>
      </c>
      <c r="AV34" s="52">
        <f>IF(AK34=1,'[14]SDG^2 values'!$B$5,IF(AK34=2,'[14]SDG^2 values'!$C$5,IF(AK34=3,'[14]SDG^2 values'!$D$5,IF(AK34=4,'[14]SDG^2 values'!$E$5,IF(AK34=5,'[14]SDG^2 values'!$F$5,1)))))</f>
        <v>1.02</v>
      </c>
      <c r="AW34" s="52">
        <f>IF(AL34=1,'[14]SDG^2 values'!$B$6,IF(AL34=2,'[14]SDG^2 values'!$C$6,IF(AL34=3,'[14]SDG^2 values'!$D$6,IF(AL34=4,'[14]SDG^2 values'!$E$6,IF(AL34=5,'[14]SDG^2 values'!$F$6,1)))))</f>
        <v>1.03</v>
      </c>
      <c r="AX34" s="52">
        <f>IF(AM34=1,'[14]SDG^2 values'!$B$7,IF(AM34=2,'[14]SDG^2 values'!$C$7,IF(AM34=3,'[14]SDG^2 values'!$D$7,IF(AM34=4,'[14]SDG^2 values'!$E$7,IF(AM34=5,'[14]SDG^2 values'!$F$7,1)))))</f>
        <v>1</v>
      </c>
      <c r="AY34" s="52">
        <f>IF(AN34=1,'[14]SDG^2 values'!$B$8,IF(AN34=2,'[14]SDG^2 values'!$C$8,IF(AN34=3,'[14]SDG^2 values'!$D$8,IF(AN34=4,'[14]SDG^2 values'!$E$8,IF(AN34=5,'[14]SDG^2 values'!$F$8,1)))))</f>
        <v>1</v>
      </c>
      <c r="AZ34" s="52">
        <f>IF(AO34=1,'[14]SDG^2 values'!$B$9,IF(AO34=2,'[14]SDG^2 values'!$C$9,IF(AO34=3,'[14]SDG^2 values'!$D$9,IF(AO34=4,'[14]SDG^2 values'!$E$9,IF(AO34=5,'[14]SDG^2 values'!$F$9,1)))))</f>
        <v>1.05</v>
      </c>
      <c r="BC34" s="7"/>
      <c r="BD34" s="7"/>
    </row>
    <row r="35" spans="2:56" ht="12.75">
      <c r="B35" s="120">
        <v>1279</v>
      </c>
      <c r="C35" s="168" t="s">
        <v>525</v>
      </c>
      <c r="D35" s="151" t="s">
        <v>525</v>
      </c>
      <c r="E35" s="152" t="s">
        <v>526</v>
      </c>
      <c r="F35" s="153" t="s">
        <v>402</v>
      </c>
      <c r="G35" s="144" t="str">
        <f>IF(OR(E35="4",F35="4"),INDEX([14]NamesElementary!$B$1:$B$65536,MATCH(B35,[14]NamesElementary!$A$1:$A$65536,0),1),INDEX([14]Names!$J$1:$J$65602,MATCH(B35,[14]Names!$F$1:$F$65602,0),1))</f>
        <v>soda, powder, at plant</v>
      </c>
      <c r="H35" s="125" t="str">
        <f>IF(OR(E35="4",F35="4"),"-",INDEX([14]Names!$K$1:$K$65602,MATCH(B35,[14]Names!$F$1:$F$65602,0),1))</f>
        <v>RER</v>
      </c>
      <c r="I35" s="154" t="str">
        <f>IF(OR(E35="4",F35="4"),INDEX([14]NamesElementary!$D$1:$D$65536,MATCH($B35,[14]NamesElementary!$A$1:$A$65536,0),1),"-")</f>
        <v>-</v>
      </c>
      <c r="J35" s="123" t="str">
        <f>IF(OR(E35="4",F35="4"),INDEX([14]NamesElementary!$E$1:$E$65536,MATCH($B35,[14]NamesElementary!$A$1:$A$65536,0),1),"-")</f>
        <v>-</v>
      </c>
      <c r="K35" s="124">
        <f>IF(OR(E35="4",F35="4"),"-",INDEX([14]Names!$N$1:$N$65602,MATCH(B35,[14]Names!$F$1:$F$65602,0),1))</f>
        <v>0</v>
      </c>
      <c r="L35" s="125" t="str">
        <f>IF(OR(E35="4",F35="4"),INDEX([14]NamesElementary!$G$1:$G$65536,MATCH(B35,[14]NamesElementary!$A$1:$A$65536,0),1),INDEX([14]Names!$O$1:$O$65602,MATCH(B35,[14]Names!$F$1:$F$65602,0),1))</f>
        <v>kg</v>
      </c>
      <c r="M35" s="155">
        <f t="shared" si="13"/>
        <v>1.5100000000000001E-2</v>
      </c>
      <c r="N35" s="29">
        <v>1</v>
      </c>
      <c r="O35" s="1">
        <f t="shared" si="0"/>
        <v>1.0807255723670659</v>
      </c>
      <c r="P35" s="31" t="str">
        <f t="shared" si="1"/>
        <v>(1,2,2,1,1,3); Fthenakis, literature</v>
      </c>
      <c r="Q35" s="155">
        <f t="shared" si="11"/>
        <v>1.5100000000000001E-2</v>
      </c>
      <c r="R35" s="29">
        <v>1</v>
      </c>
      <c r="S35" s="1">
        <f t="shared" si="2"/>
        <v>1.0807255723670659</v>
      </c>
      <c r="T35" s="31" t="str">
        <f t="shared" si="3"/>
        <v>(1,2,2,1,1,3); Fthenakis, literature</v>
      </c>
      <c r="U35" s="155">
        <f t="shared" si="9"/>
        <v>1.5100000000000001E-2</v>
      </c>
      <c r="V35" s="29">
        <v>1</v>
      </c>
      <c r="W35" s="1">
        <f t="shared" si="4"/>
        <v>1.0807255723670659</v>
      </c>
      <c r="X35" s="31" t="str">
        <f t="shared" si="5"/>
        <v>(1,2,2,1,1,3); Fthenakis, literature</v>
      </c>
      <c r="Y35" s="284">
        <v>1.5100000000000001E-2</v>
      </c>
      <c r="Z35" s="281"/>
      <c r="AA35" s="259"/>
      <c r="AB35" s="259"/>
      <c r="AC35" s="259"/>
      <c r="AD35" s="253"/>
      <c r="AE35" s="253"/>
      <c r="AF35" s="253"/>
      <c r="AG35" s="253"/>
      <c r="AH35" s="253"/>
      <c r="AI35" s="115" t="s">
        <v>258</v>
      </c>
      <c r="AJ35" s="11">
        <f t="shared" si="15"/>
        <v>1</v>
      </c>
      <c r="AK35" s="11">
        <f t="shared" si="15"/>
        <v>2</v>
      </c>
      <c r="AL35" s="11">
        <v>2</v>
      </c>
      <c r="AM35" s="11">
        <f t="shared" si="15"/>
        <v>1</v>
      </c>
      <c r="AN35" s="11">
        <f t="shared" si="15"/>
        <v>1</v>
      </c>
      <c r="AO35" s="11">
        <f t="shared" si="15"/>
        <v>3</v>
      </c>
      <c r="AP35" s="50">
        <f>IF(OR($E35="4",$F35="4"),INDEX([14]NamesElementary!$J$1:$J$65536,MATCH($B35,[14]NamesElementary!$A$1:$A$65536,0),1),INDEX([14]Names!$W$1:$W$65602,MATCH($B35,[14]Names!$F$1:$F$65602,0),1))</f>
        <v>3</v>
      </c>
      <c r="AQ35" s="51">
        <f>INDEX([14]BasicUncertainty!$H$1:$H$65536,MATCH(AP35,[14]BasicUncertainty!$B$1:$B$65536,0),1)</f>
        <v>1.05</v>
      </c>
      <c r="AR35" s="87">
        <f t="shared" si="6"/>
        <v>1.0622454211725116</v>
      </c>
      <c r="AS35" s="88">
        <f t="shared" si="7"/>
        <v>1.0807255723670659</v>
      </c>
      <c r="AT35" s="89" t="str">
        <f t="shared" si="8"/>
        <v>(1,2,2,1,1,3)</v>
      </c>
      <c r="AU35" s="52">
        <f>IF(AJ35=1,'[14]SDG^2 values'!$B$4,IF(AJ35=2,'[14]SDG^2 values'!$C$4,IF(AJ35=3,'[14]SDG^2 values'!$D$4,IF(AJ35=4,'[14]SDG^2 values'!$E$4,IF(AJ35=5,'[14]SDG^2 values'!$F$4,1)))))</f>
        <v>1</v>
      </c>
      <c r="AV35" s="52">
        <f>IF(AK35=1,'[14]SDG^2 values'!$B$5,IF(AK35=2,'[14]SDG^2 values'!$C$5,IF(AK35=3,'[14]SDG^2 values'!$D$5,IF(AK35=4,'[14]SDG^2 values'!$E$5,IF(AK35=5,'[14]SDG^2 values'!$F$5,1)))))</f>
        <v>1.02</v>
      </c>
      <c r="AW35" s="52">
        <f>IF(AL35=1,'[14]SDG^2 values'!$B$6,IF(AL35=2,'[14]SDG^2 values'!$C$6,IF(AL35=3,'[14]SDG^2 values'!$D$6,IF(AL35=4,'[14]SDG^2 values'!$E$6,IF(AL35=5,'[14]SDG^2 values'!$F$6,1)))))</f>
        <v>1.03</v>
      </c>
      <c r="AX35" s="52">
        <f>IF(AM35=1,'[14]SDG^2 values'!$B$7,IF(AM35=2,'[14]SDG^2 values'!$C$7,IF(AM35=3,'[14]SDG^2 values'!$D$7,IF(AM35=4,'[14]SDG^2 values'!$E$7,IF(AM35=5,'[14]SDG^2 values'!$F$7,1)))))</f>
        <v>1</v>
      </c>
      <c r="AY35" s="52">
        <f>IF(AN35=1,'[14]SDG^2 values'!$B$8,IF(AN35=2,'[14]SDG^2 values'!$C$8,IF(AN35=3,'[14]SDG^2 values'!$D$8,IF(AN35=4,'[14]SDG^2 values'!$E$8,IF(AN35=5,'[14]SDG^2 values'!$F$8,1)))))</f>
        <v>1</v>
      </c>
      <c r="AZ35" s="52">
        <f>IF(AO35=1,'[14]SDG^2 values'!$B$9,IF(AO35=2,'[14]SDG^2 values'!$C$9,IF(AO35=3,'[14]SDG^2 values'!$D$9,IF(AO35=4,'[14]SDG^2 values'!$E$9,IF(AO35=5,'[14]SDG^2 values'!$F$9,1)))))</f>
        <v>1.05</v>
      </c>
      <c r="BC35" s="7"/>
      <c r="BD35" s="7"/>
    </row>
    <row r="36" spans="2:56" ht="12.75">
      <c r="B36" s="120">
        <v>2814</v>
      </c>
      <c r="C36" s="168" t="s">
        <v>525</v>
      </c>
      <c r="D36" s="151" t="s">
        <v>525</v>
      </c>
      <c r="E36" s="152" t="s">
        <v>526</v>
      </c>
      <c r="F36" s="153" t="s">
        <v>402</v>
      </c>
      <c r="G36" s="144" t="str">
        <f>IF(OR(E36="4",F36="4"),INDEX([14]NamesElementary!$B$1:$B$65536,MATCH(B36,[14]NamesElementary!$A$1:$A$65536,0),1),INDEX([14]Names!$J$1:$J$65602,MATCH(B36,[14]Names!$F$1:$F$65602,0),1))</f>
        <v>isopropanol, at plant</v>
      </c>
      <c r="H36" s="125" t="str">
        <f>IF(OR(E36="4",F36="4"),"-",INDEX([14]Names!$K$1:$K$65602,MATCH(B36,[14]Names!$F$1:$F$65602,0),1))</f>
        <v>RER</v>
      </c>
      <c r="I36" s="154" t="str">
        <f>IF(OR(E36="4",F36="4"),INDEX([14]NamesElementary!$D$1:$D$65536,MATCH($B36,[14]NamesElementary!$A$1:$A$65536,0),1),"-")</f>
        <v>-</v>
      </c>
      <c r="J36" s="123" t="str">
        <f>IF(OR(E36="4",F36="4"),INDEX([14]NamesElementary!$E$1:$E$65536,MATCH($B36,[14]NamesElementary!$A$1:$A$65536,0),1),"-")</f>
        <v>-</v>
      </c>
      <c r="K36" s="124">
        <f>IF(OR(E36="4",F36="4"),"-",INDEX([14]Names!$N$1:$N$65602,MATCH(B36,[14]Names!$F$1:$F$65602,0),1))</f>
        <v>0</v>
      </c>
      <c r="L36" s="125" t="str">
        <f>IF(OR(E36="4",F36="4"),INDEX([14]NamesElementary!$G$1:$G$65536,MATCH(B36,[14]NamesElementary!$A$1:$A$65536,0),1),INDEX([14]Names!$O$1:$O$65602,MATCH(B36,[14]Names!$F$1:$F$65602,0),1))</f>
        <v>kg</v>
      </c>
      <c r="M36" s="155">
        <f t="shared" si="13"/>
        <v>2.0799999999999998E-3</v>
      </c>
      <c r="N36" s="29">
        <v>1</v>
      </c>
      <c r="O36" s="1">
        <f t="shared" si="0"/>
        <v>1.0807255723670659</v>
      </c>
      <c r="P36" s="31" t="str">
        <f t="shared" si="1"/>
        <v>(1,2,2,1,1,3); Fthenakis, literature</v>
      </c>
      <c r="Q36" s="155">
        <f t="shared" si="11"/>
        <v>2.0799999999999998E-3</v>
      </c>
      <c r="R36" s="29">
        <v>1</v>
      </c>
      <c r="S36" s="1">
        <f t="shared" si="2"/>
        <v>1.0807255723670659</v>
      </c>
      <c r="T36" s="31" t="str">
        <f t="shared" si="3"/>
        <v>(1,2,2,1,1,3); Fthenakis, literature</v>
      </c>
      <c r="U36" s="155">
        <f t="shared" si="9"/>
        <v>2.0799999999999998E-3</v>
      </c>
      <c r="V36" s="29">
        <v>1</v>
      </c>
      <c r="W36" s="1">
        <f t="shared" si="4"/>
        <v>1.0807255723670659</v>
      </c>
      <c r="X36" s="31" t="str">
        <f t="shared" si="5"/>
        <v>(1,2,2,1,1,3); Fthenakis, literature</v>
      </c>
      <c r="Y36" s="284">
        <v>2.0799999999999998E-3</v>
      </c>
      <c r="Z36" s="281" t="s">
        <v>676</v>
      </c>
      <c r="AA36" s="259"/>
      <c r="AB36" s="259"/>
      <c r="AC36" s="259"/>
      <c r="AD36" s="253"/>
      <c r="AE36" s="253"/>
      <c r="AF36" s="253"/>
      <c r="AG36" s="253"/>
      <c r="AH36" s="253"/>
      <c r="AI36" s="115" t="s">
        <v>258</v>
      </c>
      <c r="AJ36" s="11">
        <f t="shared" si="15"/>
        <v>1</v>
      </c>
      <c r="AK36" s="11">
        <f t="shared" si="15"/>
        <v>2</v>
      </c>
      <c r="AL36" s="11">
        <v>2</v>
      </c>
      <c r="AM36" s="11">
        <f t="shared" si="15"/>
        <v>1</v>
      </c>
      <c r="AN36" s="11">
        <f t="shared" si="15"/>
        <v>1</v>
      </c>
      <c r="AO36" s="11">
        <f t="shared" si="15"/>
        <v>3</v>
      </c>
      <c r="AP36" s="50">
        <f>IF(OR($E36="4",$F36="4"),INDEX([14]NamesElementary!$J$1:$J$65536,MATCH($B36,[14]NamesElementary!$A$1:$A$65536,0),1),INDEX([14]Names!$W$1:$W$65602,MATCH($B36,[14]Names!$F$1:$F$65602,0),1))</f>
        <v>3</v>
      </c>
      <c r="AQ36" s="51">
        <f>INDEX([14]BasicUncertainty!$H$1:$H$65536,MATCH(AP36,[14]BasicUncertainty!$B$1:$B$65536,0),1)</f>
        <v>1.05</v>
      </c>
      <c r="AR36" s="87">
        <f t="shared" si="6"/>
        <v>1.0622454211725116</v>
      </c>
      <c r="AS36" s="88">
        <f t="shared" si="7"/>
        <v>1.0807255723670659</v>
      </c>
      <c r="AT36" s="89" t="str">
        <f t="shared" si="8"/>
        <v>(1,2,2,1,1,3)</v>
      </c>
      <c r="AU36" s="52">
        <f>IF(AJ36=1,'[14]SDG^2 values'!$B$4,IF(AJ36=2,'[14]SDG^2 values'!$C$4,IF(AJ36=3,'[14]SDG^2 values'!$D$4,IF(AJ36=4,'[14]SDG^2 values'!$E$4,IF(AJ36=5,'[14]SDG^2 values'!$F$4,1)))))</f>
        <v>1</v>
      </c>
      <c r="AV36" s="52">
        <f>IF(AK36=1,'[14]SDG^2 values'!$B$5,IF(AK36=2,'[14]SDG^2 values'!$C$5,IF(AK36=3,'[14]SDG^2 values'!$D$5,IF(AK36=4,'[14]SDG^2 values'!$E$5,IF(AK36=5,'[14]SDG^2 values'!$F$5,1)))))</f>
        <v>1.02</v>
      </c>
      <c r="AW36" s="52">
        <f>IF(AL36=1,'[14]SDG^2 values'!$B$6,IF(AL36=2,'[14]SDG^2 values'!$C$6,IF(AL36=3,'[14]SDG^2 values'!$D$6,IF(AL36=4,'[14]SDG^2 values'!$E$6,IF(AL36=5,'[14]SDG^2 values'!$F$6,1)))))</f>
        <v>1.03</v>
      </c>
      <c r="AX36" s="52">
        <f>IF(AM36=1,'[14]SDG^2 values'!$B$7,IF(AM36=2,'[14]SDG^2 values'!$C$7,IF(AM36=3,'[14]SDG^2 values'!$D$7,IF(AM36=4,'[14]SDG^2 values'!$E$7,IF(AM36=5,'[14]SDG^2 values'!$F$7,1)))))</f>
        <v>1</v>
      </c>
      <c r="AY36" s="52">
        <f>IF(AN36=1,'[14]SDG^2 values'!$B$8,IF(AN36=2,'[14]SDG^2 values'!$C$8,IF(AN36=3,'[14]SDG^2 values'!$D$8,IF(AN36=4,'[14]SDG^2 values'!$E$8,IF(AN36=5,'[14]SDG^2 values'!$F$8,1)))))</f>
        <v>1</v>
      </c>
      <c r="AZ36" s="52">
        <f>IF(AO36=1,'[14]SDG^2 values'!$B$9,IF(AO36=2,'[14]SDG^2 values'!$C$9,IF(AO36=3,'[14]SDG^2 values'!$D$9,IF(AO36=4,'[14]SDG^2 values'!$E$9,IF(AO36=5,'[14]SDG^2 values'!$F$9,1)))))</f>
        <v>1.05</v>
      </c>
      <c r="BA36" s="182">
        <v>240</v>
      </c>
      <c r="BC36" s="7"/>
      <c r="BD36" s="7"/>
    </row>
    <row r="37" spans="2:56" ht="24">
      <c r="B37" s="120">
        <v>1280</v>
      </c>
      <c r="C37" s="168" t="s">
        <v>525</v>
      </c>
      <c r="D37" s="151" t="s">
        <v>525</v>
      </c>
      <c r="E37" s="152" t="s">
        <v>526</v>
      </c>
      <c r="F37" s="153" t="s">
        <v>402</v>
      </c>
      <c r="G37" s="144" t="str">
        <f>IF(OR(E37="4",F37="4"),INDEX([14]NamesElementary!$B$1:$B$65536,MATCH(B37,[14]NamesElementary!$A$1:$A$65536,0),1),INDEX([14]Names!$J$1:$J$65602,MATCH(B37,[14]Names!$F$1:$F$65602,0),1))</f>
        <v>sodium hydroxide, 50% in H2O, production mix, at plant</v>
      </c>
      <c r="H37" s="125" t="str">
        <f>IF(OR(E37="4",F37="4"),"-",INDEX([14]Names!$K$1:$K$65602,MATCH(B37,[14]Names!$F$1:$F$65602,0),1))</f>
        <v>RER</v>
      </c>
      <c r="I37" s="154" t="str">
        <f>IF(OR(E37="4",F37="4"),INDEX([14]NamesElementary!$D$1:$D$65536,MATCH($B37,[14]NamesElementary!$A$1:$A$65536,0),1),"-")</f>
        <v>-</v>
      </c>
      <c r="J37" s="123" t="str">
        <f>IF(OR(E37="4",F37="4"),INDEX([14]NamesElementary!$E$1:$E$65536,MATCH($B37,[14]NamesElementary!$A$1:$A$65536,0),1),"-")</f>
        <v>-</v>
      </c>
      <c r="K37" s="124">
        <f>IF(OR(E37="4",F37="4"),"-",INDEX([14]Names!$N$1:$N$65602,MATCH(B37,[14]Names!$F$1:$F$65602,0),1))</f>
        <v>0</v>
      </c>
      <c r="L37" s="125" t="str">
        <f>IF(OR(E37="4",F37="4"),INDEX([14]NamesElementary!$G$1:$G$65536,MATCH(B37,[14]NamesElementary!$A$1:$A$65536,0),1),INDEX([14]Names!$O$1:$O$65602,MATCH(B37,[14]Names!$F$1:$F$65602,0),1))</f>
        <v>kg</v>
      </c>
      <c r="M37" s="155">
        <f t="shared" si="13"/>
        <v>4.9299999999999997E-2</v>
      </c>
      <c r="N37" s="29">
        <v>1</v>
      </c>
      <c r="O37" s="1">
        <f t="shared" si="0"/>
        <v>1.0807255723670659</v>
      </c>
      <c r="P37" s="31" t="str">
        <f t="shared" si="1"/>
        <v>(1,2,2,1,1,3); Fthenakis, literature</v>
      </c>
      <c r="Q37" s="155">
        <f t="shared" si="11"/>
        <v>4.9299999999999997E-2</v>
      </c>
      <c r="R37" s="29">
        <v>1</v>
      </c>
      <c r="S37" s="1">
        <f t="shared" si="2"/>
        <v>1.0807255723670659</v>
      </c>
      <c r="T37" s="31" t="str">
        <f t="shared" si="3"/>
        <v>(1,2,2,1,1,3); Fthenakis, literature</v>
      </c>
      <c r="U37" s="155">
        <f t="shared" si="9"/>
        <v>4.9299999999999997E-2</v>
      </c>
      <c r="V37" s="29">
        <v>1</v>
      </c>
      <c r="W37" s="1">
        <f t="shared" si="4"/>
        <v>1.0807255723670659</v>
      </c>
      <c r="X37" s="31" t="str">
        <f t="shared" si="5"/>
        <v>(1,2,2,1,1,3); Fthenakis, literature</v>
      </c>
      <c r="Y37" s="284">
        <v>4.9299999999999997E-2</v>
      </c>
      <c r="Z37" s="282" t="s">
        <v>676</v>
      </c>
      <c r="AA37" s="259"/>
      <c r="AB37" s="259"/>
      <c r="AC37" s="259"/>
      <c r="AD37" s="253"/>
      <c r="AE37" s="253"/>
      <c r="AF37" s="253"/>
      <c r="AG37" s="253"/>
      <c r="AH37" s="253"/>
      <c r="AI37" s="115" t="s">
        <v>258</v>
      </c>
      <c r="AJ37" s="11">
        <f t="shared" si="15"/>
        <v>1</v>
      </c>
      <c r="AK37" s="11">
        <f t="shared" si="15"/>
        <v>2</v>
      </c>
      <c r="AL37" s="11">
        <v>2</v>
      </c>
      <c r="AM37" s="11">
        <f t="shared" si="15"/>
        <v>1</v>
      </c>
      <c r="AN37" s="11">
        <f t="shared" si="15"/>
        <v>1</v>
      </c>
      <c r="AO37" s="11">
        <f t="shared" si="15"/>
        <v>3</v>
      </c>
      <c r="AP37" s="50">
        <f>IF(OR($E37="4",$F37="4"),INDEX([14]NamesElementary!$J$1:$J$65536,MATCH($B37,[14]NamesElementary!$A$1:$A$65536,0),1),INDEX([14]Names!$W$1:$W$65602,MATCH($B37,[14]Names!$F$1:$F$65602,0),1))</f>
        <v>3</v>
      </c>
      <c r="AQ37" s="51">
        <f>INDEX([14]BasicUncertainty!$H$1:$H$65536,MATCH(AP37,[14]BasicUncertainty!$B$1:$B$65536,0),1)</f>
        <v>1.05</v>
      </c>
      <c r="AR37" s="87">
        <f t="shared" si="6"/>
        <v>1.0622454211725116</v>
      </c>
      <c r="AS37" s="88">
        <f t="shared" si="7"/>
        <v>1.0807255723670659</v>
      </c>
      <c r="AT37" s="89" t="str">
        <f t="shared" si="8"/>
        <v>(1,2,2,1,1,3)</v>
      </c>
      <c r="AU37" s="52">
        <f>IF(AJ37=1,'[14]SDG^2 values'!$B$4,IF(AJ37=2,'[14]SDG^2 values'!$C$4,IF(AJ37=3,'[14]SDG^2 values'!$D$4,IF(AJ37=4,'[14]SDG^2 values'!$E$4,IF(AJ37=5,'[14]SDG^2 values'!$F$4,1)))))</f>
        <v>1</v>
      </c>
      <c r="AV37" s="52">
        <f>IF(AK37=1,'[14]SDG^2 values'!$B$5,IF(AK37=2,'[14]SDG^2 values'!$C$5,IF(AK37=3,'[14]SDG^2 values'!$D$5,IF(AK37=4,'[14]SDG^2 values'!$E$5,IF(AK37=5,'[14]SDG^2 values'!$F$5,1)))))</f>
        <v>1.02</v>
      </c>
      <c r="AW37" s="52">
        <f>IF(AL37=1,'[14]SDG^2 values'!$B$6,IF(AL37=2,'[14]SDG^2 values'!$C$6,IF(AL37=3,'[14]SDG^2 values'!$D$6,IF(AL37=4,'[14]SDG^2 values'!$E$6,IF(AL37=5,'[14]SDG^2 values'!$F$6,1)))))</f>
        <v>1.03</v>
      </c>
      <c r="AX37" s="52">
        <f>IF(AM37=1,'[14]SDG^2 values'!$B$7,IF(AM37=2,'[14]SDG^2 values'!$C$7,IF(AM37=3,'[14]SDG^2 values'!$D$7,IF(AM37=4,'[14]SDG^2 values'!$E$7,IF(AM37=5,'[14]SDG^2 values'!$F$7,1)))))</f>
        <v>1</v>
      </c>
      <c r="AY37" s="52">
        <f>IF(AN37=1,'[14]SDG^2 values'!$B$8,IF(AN37=2,'[14]SDG^2 values'!$C$8,IF(AN37=3,'[14]SDG^2 values'!$D$8,IF(AN37=4,'[14]SDG^2 values'!$E$8,IF(AN37=5,'[14]SDG^2 values'!$F$8,1)))))</f>
        <v>1</v>
      </c>
      <c r="AZ37" s="52">
        <f>IF(AO37=1,'[14]SDG^2 values'!$B$9,IF(AO37=2,'[14]SDG^2 values'!$C$9,IF(AO37=3,'[14]SDG^2 values'!$D$9,IF(AO37=4,'[14]SDG^2 values'!$E$9,IF(AO37=5,'[14]SDG^2 values'!$F$9,1)))))</f>
        <v>1.05</v>
      </c>
      <c r="BA37" s="182">
        <f>40+2+2</f>
        <v>44</v>
      </c>
      <c r="BC37" s="7"/>
      <c r="BD37" s="7"/>
    </row>
    <row r="38" spans="2:56" ht="24">
      <c r="B38" s="120">
        <v>781</v>
      </c>
      <c r="C38" s="168" t="s">
        <v>525</v>
      </c>
      <c r="D38" s="151" t="s">
        <v>525</v>
      </c>
      <c r="E38" s="152" t="s">
        <v>526</v>
      </c>
      <c r="F38" s="153" t="s">
        <v>402</v>
      </c>
      <c r="G38" s="144" t="str">
        <f>IF(OR(E38="4",F38="4"),INDEX([14]NamesElementary!$B$1:$B$65536,MATCH(B38,[14]NamesElementary!$A$1:$A$65536,0),1),INDEX([14]Names!$J$1:$J$65602,MATCH(B38,[14]Names!$F$1:$F$65602,0),1))</f>
        <v>chemicals inorganic, at plant</v>
      </c>
      <c r="H38" s="125" t="str">
        <f>IF(OR(E38="4",F38="4"),"-",INDEX([14]Names!$K$1:$K$65602,MATCH(B38,[14]Names!$F$1:$F$65602,0),1))</f>
        <v>GLO</v>
      </c>
      <c r="I38" s="154" t="str">
        <f>IF(OR(E38="4",F38="4"),INDEX([14]NamesElementary!$D$1:$D$65536,MATCH($B38,[14]NamesElementary!$A$1:$A$65536,0),1),"-")</f>
        <v>-</v>
      </c>
      <c r="J38" s="123" t="str">
        <f>IF(OR(E38="4",F38="4"),INDEX([14]NamesElementary!$E$1:$E$65536,MATCH($B38,[14]NamesElementary!$A$1:$A$65536,0),1),"-")</f>
        <v>-</v>
      </c>
      <c r="K38" s="124">
        <f>IF(OR(E38="4",F38="4"),"-",INDEX([14]Names!$N$1:$N$65602,MATCH(B38,[14]Names!$F$1:$F$65602,0),1))</f>
        <v>0</v>
      </c>
      <c r="L38" s="125" t="str">
        <f>IF(OR(E38="4",F38="4"),INDEX([14]NamesElementary!$G$1:$G$65536,MATCH(B38,[14]NamesElementary!$A$1:$A$65536,0),1),INDEX([14]Names!$O$1:$O$65602,MATCH(B38,[14]Names!$F$1:$F$65602,0),1))</f>
        <v>kg</v>
      </c>
      <c r="M38" s="155">
        <f t="shared" si="13"/>
        <v>3.5013259717453039E-2</v>
      </c>
      <c r="N38" s="29">
        <v>1</v>
      </c>
      <c r="O38" s="1">
        <f t="shared" si="0"/>
        <v>1.0807255723670659</v>
      </c>
      <c r="P38" s="31" t="str">
        <f t="shared" si="1"/>
        <v>(1,2,2,1,1,3); Fthenakis, literature, sum up of several chemicals</v>
      </c>
      <c r="Q38" s="155">
        <f t="shared" si="11"/>
        <v>3.5013259717453039E-2</v>
      </c>
      <c r="R38" s="29">
        <v>1</v>
      </c>
      <c r="S38" s="1">
        <f t="shared" si="2"/>
        <v>1.0807255723670659</v>
      </c>
      <c r="T38" s="31" t="str">
        <f t="shared" si="3"/>
        <v>(1,2,2,1,1,3); Fthenakis, literature, sum up of several chemicals</v>
      </c>
      <c r="U38" s="155">
        <f t="shared" si="9"/>
        <v>3.5013259717453039E-2</v>
      </c>
      <c r="V38" s="29">
        <v>1</v>
      </c>
      <c r="W38" s="1">
        <f t="shared" si="4"/>
        <v>1.0807255723670659</v>
      </c>
      <c r="X38" s="31" t="str">
        <f t="shared" si="5"/>
        <v>(1,2,2,1,1,3); Fthenakis, literature, sum up of several chemicals</v>
      </c>
      <c r="Y38" s="284">
        <v>3.5013259717453039E-2</v>
      </c>
      <c r="Z38" s="259"/>
      <c r="AA38" s="259"/>
      <c r="AB38" s="259"/>
      <c r="AC38" s="259"/>
      <c r="AD38" s="253"/>
      <c r="AE38" s="253"/>
      <c r="AF38" s="253"/>
      <c r="AG38" s="253"/>
      <c r="AH38" s="253"/>
      <c r="AI38" s="115" t="s">
        <v>259</v>
      </c>
      <c r="AJ38" s="11">
        <f t="shared" si="15"/>
        <v>1</v>
      </c>
      <c r="AK38" s="11">
        <f t="shared" si="15"/>
        <v>2</v>
      </c>
      <c r="AL38" s="11">
        <v>2</v>
      </c>
      <c r="AM38" s="11">
        <f t="shared" si="15"/>
        <v>1</v>
      </c>
      <c r="AN38" s="11">
        <f t="shared" si="15"/>
        <v>1</v>
      </c>
      <c r="AO38" s="11">
        <f t="shared" si="15"/>
        <v>3</v>
      </c>
      <c r="AP38" s="50">
        <f>IF(OR($E38="4",$F38="4"),INDEX([14]NamesElementary!$J$1:$J$65536,MATCH($B38,[14]NamesElementary!$A$1:$A$65536,0),1),INDEX([14]Names!$W$1:$W$65602,MATCH($B38,[14]Names!$F$1:$F$65602,0),1))</f>
        <v>3</v>
      </c>
      <c r="AQ38" s="51">
        <f>INDEX([14]BasicUncertainty!$H$1:$H$65536,MATCH(AP38,[14]BasicUncertainty!$B$1:$B$65536,0),1)</f>
        <v>1.05</v>
      </c>
      <c r="AR38" s="87">
        <f t="shared" si="6"/>
        <v>1.0622454211725116</v>
      </c>
      <c r="AS38" s="88">
        <f t="shared" si="7"/>
        <v>1.0807255723670659</v>
      </c>
      <c r="AT38" s="89" t="str">
        <f t="shared" si="8"/>
        <v>(1,2,2,1,1,3)</v>
      </c>
      <c r="AU38" s="52">
        <f>IF(AJ38=1,'[14]SDG^2 values'!$B$4,IF(AJ38=2,'[14]SDG^2 values'!$C$4,IF(AJ38=3,'[14]SDG^2 values'!$D$4,IF(AJ38=4,'[14]SDG^2 values'!$E$4,IF(AJ38=5,'[14]SDG^2 values'!$F$4,1)))))</f>
        <v>1</v>
      </c>
      <c r="AV38" s="52">
        <f>IF(AK38=1,'[14]SDG^2 values'!$B$5,IF(AK38=2,'[14]SDG^2 values'!$C$5,IF(AK38=3,'[14]SDG^2 values'!$D$5,IF(AK38=4,'[14]SDG^2 values'!$E$5,IF(AK38=5,'[14]SDG^2 values'!$F$5,1)))))</f>
        <v>1.02</v>
      </c>
      <c r="AW38" s="52">
        <f>IF(AL38=1,'[14]SDG^2 values'!$B$6,IF(AL38=2,'[14]SDG^2 values'!$C$6,IF(AL38=3,'[14]SDG^2 values'!$D$6,IF(AL38=4,'[14]SDG^2 values'!$E$6,IF(AL38=5,'[14]SDG^2 values'!$F$6,1)))))</f>
        <v>1.03</v>
      </c>
      <c r="AX38" s="52">
        <f>IF(AM38=1,'[14]SDG^2 values'!$B$7,IF(AM38=2,'[14]SDG^2 values'!$C$7,IF(AM38=3,'[14]SDG^2 values'!$D$7,IF(AM38=4,'[14]SDG^2 values'!$E$7,IF(AM38=5,'[14]SDG^2 values'!$F$7,1)))))</f>
        <v>1</v>
      </c>
      <c r="AY38" s="52">
        <f>IF(AN38=1,'[14]SDG^2 values'!$B$8,IF(AN38=2,'[14]SDG^2 values'!$C$8,IF(AN38=3,'[14]SDG^2 values'!$D$8,IF(AN38=4,'[14]SDG^2 values'!$E$8,IF(AN38=5,'[14]SDG^2 values'!$F$8,1)))))</f>
        <v>1</v>
      </c>
      <c r="AZ38" s="52">
        <f>IF(AO38=1,'[14]SDG^2 values'!$B$9,IF(AO38=2,'[14]SDG^2 values'!$C$9,IF(AO38=3,'[14]SDG^2 values'!$D$9,IF(AO38=4,'[14]SDG^2 values'!$E$9,IF(AO38=5,'[14]SDG^2 values'!$F$9,1)))))</f>
        <v>1.05</v>
      </c>
      <c r="BC38" s="7"/>
      <c r="BD38" s="7"/>
    </row>
    <row r="39" spans="2:56" ht="24">
      <c r="B39" s="120">
        <v>782</v>
      </c>
      <c r="C39" s="168" t="s">
        <v>525</v>
      </c>
      <c r="D39" s="151" t="s">
        <v>525</v>
      </c>
      <c r="E39" s="152" t="s">
        <v>526</v>
      </c>
      <c r="F39" s="153" t="s">
        <v>402</v>
      </c>
      <c r="G39" s="144" t="str">
        <f>IF(OR(E39="4",F39="4"),INDEX([14]NamesElementary!$B$1:$B$65536,MATCH(B39,[14]NamesElementary!$A$1:$A$65536,0),1),INDEX([14]Names!$J$1:$J$65602,MATCH(B39,[14]Names!$F$1:$F$65602,0),1))</f>
        <v>chemicals organic, at plant</v>
      </c>
      <c r="H39" s="125" t="str">
        <f>IF(OR(E39="4",F39="4"),"-",INDEX([14]Names!$K$1:$K$65602,MATCH(B39,[14]Names!$F$1:$F$65602,0),1))</f>
        <v>GLO</v>
      </c>
      <c r="I39" s="154" t="str">
        <f>IF(OR(E39="4",F39="4"),INDEX([14]NamesElementary!$D$1:$D$65536,MATCH($B39,[14]NamesElementary!$A$1:$A$65536,0),1),"-")</f>
        <v>-</v>
      </c>
      <c r="J39" s="123" t="str">
        <f>IF(OR(E39="4",F39="4"),INDEX([14]NamesElementary!$E$1:$E$65536,MATCH($B39,[14]NamesElementary!$A$1:$A$65536,0),1),"-")</f>
        <v>-</v>
      </c>
      <c r="K39" s="124">
        <f>IF(OR(E39="4",F39="4"),"-",INDEX([14]Names!$N$1:$N$65602,MATCH(B39,[14]Names!$F$1:$F$65602,0),1))</f>
        <v>0</v>
      </c>
      <c r="L39" s="125" t="str">
        <f>IF(OR(E39="4",F39="4"),INDEX([14]NamesElementary!$G$1:$G$65536,MATCH(B39,[14]NamesElementary!$A$1:$A$65536,0),1),INDEX([14]Names!$O$1:$O$65602,MATCH(B39,[14]Names!$F$1:$F$65602,0),1))</f>
        <v>kg</v>
      </c>
      <c r="M39" s="155">
        <f t="shared" si="13"/>
        <v>9.741852450711113E-3</v>
      </c>
      <c r="N39" s="29">
        <v>1</v>
      </c>
      <c r="O39" s="1">
        <f t="shared" si="0"/>
        <v>1.0807255723670659</v>
      </c>
      <c r="P39" s="31" t="str">
        <f t="shared" si="1"/>
        <v>(1,2,2,1,1,3); Fthenakis, literature, sum up of several chemicals</v>
      </c>
      <c r="Q39" s="155">
        <f t="shared" si="11"/>
        <v>9.741852450711113E-3</v>
      </c>
      <c r="R39" s="29">
        <v>1</v>
      </c>
      <c r="S39" s="1">
        <f t="shared" si="2"/>
        <v>1.0807255723670659</v>
      </c>
      <c r="T39" s="31" t="str">
        <f t="shared" si="3"/>
        <v>(1,2,2,1,1,3); Fthenakis, literature, sum up of several chemicals</v>
      </c>
      <c r="U39" s="155">
        <f t="shared" si="9"/>
        <v>9.741852450711113E-3</v>
      </c>
      <c r="V39" s="29">
        <v>1</v>
      </c>
      <c r="W39" s="1">
        <f t="shared" si="4"/>
        <v>1.0807255723670659</v>
      </c>
      <c r="X39" s="31" t="str">
        <f t="shared" si="5"/>
        <v>(1,2,2,1,1,3); Fthenakis, literature, sum up of several chemicals</v>
      </c>
      <c r="Y39" s="285">
        <v>9.741852450711113E-3</v>
      </c>
      <c r="Z39" s="259"/>
      <c r="AA39" s="259"/>
      <c r="AB39" s="259"/>
      <c r="AC39" s="259"/>
      <c r="AD39" s="253"/>
      <c r="AE39" s="253"/>
      <c r="AF39" s="253"/>
      <c r="AG39" s="253"/>
      <c r="AH39" s="253"/>
      <c r="AI39" s="115" t="s">
        <v>259</v>
      </c>
      <c r="AJ39" s="11">
        <f t="shared" si="15"/>
        <v>1</v>
      </c>
      <c r="AK39" s="11">
        <f t="shared" si="15"/>
        <v>2</v>
      </c>
      <c r="AL39" s="11">
        <v>2</v>
      </c>
      <c r="AM39" s="11">
        <f t="shared" si="15"/>
        <v>1</v>
      </c>
      <c r="AN39" s="11">
        <f t="shared" si="15"/>
        <v>1</v>
      </c>
      <c r="AO39" s="11">
        <f t="shared" si="15"/>
        <v>3</v>
      </c>
      <c r="AP39" s="50">
        <f>IF(OR($E39="4",$F39="4"),INDEX([14]NamesElementary!$J$1:$J$65536,MATCH($B39,[14]NamesElementary!$A$1:$A$65536,0),1),INDEX([14]Names!$W$1:$W$65602,MATCH($B39,[14]Names!$F$1:$F$65602,0),1))</f>
        <v>3</v>
      </c>
      <c r="AQ39" s="51">
        <f>INDEX([14]BasicUncertainty!$H$1:$H$65536,MATCH(AP39,[14]BasicUncertainty!$B$1:$B$65536,0),1)</f>
        <v>1.05</v>
      </c>
      <c r="AR39" s="87">
        <f t="shared" si="6"/>
        <v>1.0622454211725116</v>
      </c>
      <c r="AS39" s="88">
        <f t="shared" si="7"/>
        <v>1.0807255723670659</v>
      </c>
      <c r="AT39" s="89" t="str">
        <f t="shared" si="8"/>
        <v>(1,2,2,1,1,3)</v>
      </c>
      <c r="AU39" s="52">
        <f>IF(AJ39=1,'[14]SDG^2 values'!$B$4,IF(AJ39=2,'[14]SDG^2 values'!$C$4,IF(AJ39=3,'[14]SDG^2 values'!$D$4,IF(AJ39=4,'[14]SDG^2 values'!$E$4,IF(AJ39=5,'[14]SDG^2 values'!$F$4,1)))))</f>
        <v>1</v>
      </c>
      <c r="AV39" s="52">
        <f>IF(AK39=1,'[14]SDG^2 values'!$B$5,IF(AK39=2,'[14]SDG^2 values'!$C$5,IF(AK39=3,'[14]SDG^2 values'!$D$5,IF(AK39=4,'[14]SDG^2 values'!$E$5,IF(AK39=5,'[14]SDG^2 values'!$F$5,1)))))</f>
        <v>1.02</v>
      </c>
      <c r="AW39" s="52">
        <f>IF(AL39=1,'[14]SDG^2 values'!$B$6,IF(AL39=2,'[14]SDG^2 values'!$C$6,IF(AL39=3,'[14]SDG^2 values'!$D$6,IF(AL39=4,'[14]SDG^2 values'!$E$6,IF(AL39=5,'[14]SDG^2 values'!$F$6,1)))))</f>
        <v>1.03</v>
      </c>
      <c r="AX39" s="52">
        <f>IF(AM39=1,'[14]SDG^2 values'!$B$7,IF(AM39=2,'[14]SDG^2 values'!$C$7,IF(AM39=3,'[14]SDG^2 values'!$D$7,IF(AM39=4,'[14]SDG^2 values'!$E$7,IF(AM39=5,'[14]SDG^2 values'!$F$7,1)))))</f>
        <v>1</v>
      </c>
      <c r="AY39" s="52">
        <f>IF(AN39=1,'[14]SDG^2 values'!$B$8,IF(AN39=2,'[14]SDG^2 values'!$C$8,IF(AN39=3,'[14]SDG^2 values'!$D$8,IF(AN39=4,'[14]SDG^2 values'!$E$8,IF(AN39=5,'[14]SDG^2 values'!$F$8,1)))))</f>
        <v>1</v>
      </c>
      <c r="AZ39" s="52">
        <f>IF(AO39=1,'[14]SDG^2 values'!$B$9,IF(AO39=2,'[14]SDG^2 values'!$C$9,IF(AO39=3,'[14]SDG^2 values'!$D$9,IF(AO39=4,'[14]SDG^2 values'!$E$9,IF(AO39=5,'[14]SDG^2 values'!$F$9,1)))))</f>
        <v>1.05</v>
      </c>
      <c r="BC39" s="7"/>
      <c r="BD39" s="7"/>
    </row>
    <row r="40" spans="2:56" ht="12.75">
      <c r="B40" s="226">
        <v>1777</v>
      </c>
      <c r="C40" s="168" t="s">
        <v>525</v>
      </c>
      <c r="D40" s="151" t="s">
        <v>525</v>
      </c>
      <c r="E40" s="152" t="s">
        <v>526</v>
      </c>
      <c r="F40" s="153" t="s">
        <v>402</v>
      </c>
      <c r="G40" s="144" t="str">
        <f>IF(OR(E40="4",F40="4"),INDEX([14]NamesElementary!$B$1:$B$65536,MATCH(B40,[14]NamesElementary!$A$1:$A$65536,0),1),INDEX([14]Names!$J$1:$J$65602,MATCH(B40,[14]Names!$F$1:$F$65602,0),1))</f>
        <v>nitrogen, liquid, at plant</v>
      </c>
      <c r="H40" s="125" t="str">
        <f>IF(OR(E40="4",F40="4"),"-",INDEX([14]Names!$K$1:$K$65602,MATCH(B40,[14]Names!$F$1:$F$65602,0),1))</f>
        <v>RER</v>
      </c>
      <c r="I40" s="154" t="str">
        <f>IF(OR(E40="4",F40="4"),INDEX([14]NamesElementary!$D$1:$D$65536,MATCH($B40,[14]NamesElementary!$A$1:$A$65536,0),1),"-")</f>
        <v>-</v>
      </c>
      <c r="J40" s="123" t="str">
        <f>IF(OR(E40="4",F40="4"),INDEX([14]NamesElementary!$E$1:$E$65536,MATCH($B40,[14]NamesElementary!$A$1:$A$65536,0),1),"-")</f>
        <v>-</v>
      </c>
      <c r="K40" s="124">
        <f>IF(OR(E40="4",F40="4"),"-",INDEX([14]Names!$N$1:$N$65602,MATCH(B40,[14]Names!$F$1:$F$65602,0),1))</f>
        <v>0</v>
      </c>
      <c r="L40" s="125" t="str">
        <f>IF(OR(E40="4",F40="4"),INDEX([14]NamesElementary!$G$1:$G$65536,MATCH(B40,[14]NamesElementary!$A$1:$A$65536,0),1),INDEX([14]Names!$O$1:$O$65602,MATCH(B40,[14]Names!$F$1:$F$65602,0),1))</f>
        <v>kg</v>
      </c>
      <c r="M40" s="155">
        <f t="shared" si="13"/>
        <v>7.3200000000000001E-2</v>
      </c>
      <c r="N40" s="29">
        <v>1</v>
      </c>
      <c r="O40" s="1">
        <f t="shared" si="0"/>
        <v>1.0807255723670659</v>
      </c>
      <c r="P40" s="31" t="str">
        <f t="shared" si="1"/>
        <v>(1,2,2,1,1,3); Fthenakis, literature</v>
      </c>
      <c r="Q40" s="155">
        <f t="shared" si="11"/>
        <v>7.3200000000000001E-2</v>
      </c>
      <c r="R40" s="29">
        <v>1</v>
      </c>
      <c r="S40" s="1">
        <f t="shared" si="2"/>
        <v>1.0807255723670659</v>
      </c>
      <c r="T40" s="31" t="str">
        <f t="shared" si="3"/>
        <v>(1,2,2,1,1,3); Fthenakis, literature</v>
      </c>
      <c r="U40" s="155">
        <f t="shared" si="9"/>
        <v>7.3200000000000001E-2</v>
      </c>
      <c r="V40" s="29">
        <v>1</v>
      </c>
      <c r="W40" s="1">
        <f t="shared" si="4"/>
        <v>1.0807255723670659</v>
      </c>
      <c r="X40" s="31" t="str">
        <f t="shared" si="5"/>
        <v>(1,2,2,1,1,3); Fthenakis, literature</v>
      </c>
      <c r="Y40" s="182">
        <v>7.3200000000000001E-2</v>
      </c>
      <c r="Z40" s="259"/>
      <c r="AA40" s="259"/>
      <c r="AB40" s="259"/>
      <c r="AC40" s="259"/>
      <c r="AD40" s="253"/>
      <c r="AE40" s="253"/>
      <c r="AF40" s="253"/>
      <c r="AG40" s="253"/>
      <c r="AH40" s="253"/>
      <c r="AI40" s="115" t="s">
        <v>258</v>
      </c>
      <c r="AJ40" s="11">
        <f t="shared" si="15"/>
        <v>1</v>
      </c>
      <c r="AK40" s="11">
        <f t="shared" si="15"/>
        <v>2</v>
      </c>
      <c r="AL40" s="11">
        <v>2</v>
      </c>
      <c r="AM40" s="11">
        <f t="shared" si="15"/>
        <v>1</v>
      </c>
      <c r="AN40" s="11">
        <f t="shared" si="15"/>
        <v>1</v>
      </c>
      <c r="AO40" s="11">
        <f t="shared" si="15"/>
        <v>3</v>
      </c>
      <c r="AP40" s="50">
        <f>IF(OR($E40="4",$F40="4"),INDEX([14]NamesElementary!$J$1:$J$65536,MATCH($B40,[14]NamesElementary!$A$1:$A$65536,0),1),INDEX([14]Names!$W$1:$W$65602,MATCH($B40,[14]Names!$F$1:$F$65602,0),1))</f>
        <v>3</v>
      </c>
      <c r="AQ40" s="51">
        <f>INDEX([14]BasicUncertainty!$H$1:$H$65536,MATCH(AP40,[14]BasicUncertainty!$B$1:$B$65536,0),1)</f>
        <v>1.05</v>
      </c>
      <c r="AR40" s="87">
        <f t="shared" si="6"/>
        <v>1.0622454211725116</v>
      </c>
      <c r="AS40" s="88">
        <f t="shared" si="7"/>
        <v>1.0807255723670659</v>
      </c>
      <c r="AT40" s="89" t="str">
        <f t="shared" si="8"/>
        <v>(1,2,2,1,1,3)</v>
      </c>
      <c r="AU40" s="52">
        <f>IF(AJ40=1,'[14]SDG^2 values'!$B$4,IF(AJ40=2,'[14]SDG^2 values'!$C$4,IF(AJ40=3,'[14]SDG^2 values'!$D$4,IF(AJ40=4,'[14]SDG^2 values'!$E$4,IF(AJ40=5,'[14]SDG^2 values'!$F$4,1)))))</f>
        <v>1</v>
      </c>
      <c r="AV40" s="52">
        <f>IF(AK40=1,'[14]SDG^2 values'!$B$5,IF(AK40=2,'[14]SDG^2 values'!$C$5,IF(AK40=3,'[14]SDG^2 values'!$D$5,IF(AK40=4,'[14]SDG^2 values'!$E$5,IF(AK40=5,'[14]SDG^2 values'!$F$5,1)))))</f>
        <v>1.02</v>
      </c>
      <c r="AW40" s="52">
        <f>IF(AL40=1,'[14]SDG^2 values'!$B$6,IF(AL40=2,'[14]SDG^2 values'!$C$6,IF(AL40=3,'[14]SDG^2 values'!$D$6,IF(AL40=4,'[14]SDG^2 values'!$E$6,IF(AL40=5,'[14]SDG^2 values'!$F$6,1)))))</f>
        <v>1.03</v>
      </c>
      <c r="AX40" s="52">
        <f>IF(AM40=1,'[14]SDG^2 values'!$B$7,IF(AM40=2,'[14]SDG^2 values'!$C$7,IF(AM40=3,'[14]SDG^2 values'!$D$7,IF(AM40=4,'[14]SDG^2 values'!$E$7,IF(AM40=5,'[14]SDG^2 values'!$F$7,1)))))</f>
        <v>1</v>
      </c>
      <c r="AY40" s="52">
        <f>IF(AN40=1,'[14]SDG^2 values'!$B$8,IF(AN40=2,'[14]SDG^2 values'!$C$8,IF(AN40=3,'[14]SDG^2 values'!$D$8,IF(AN40=4,'[14]SDG^2 values'!$E$8,IF(AN40=5,'[14]SDG^2 values'!$F$8,1)))))</f>
        <v>1</v>
      </c>
      <c r="AZ40" s="52">
        <f>IF(AO40=1,'[14]SDG^2 values'!$B$9,IF(AO40=2,'[14]SDG^2 values'!$C$9,IF(AO40=3,'[14]SDG^2 values'!$D$9,IF(AO40=4,'[14]SDG^2 values'!$E$9,IF(AO40=5,'[14]SDG^2 values'!$F$9,1)))))</f>
        <v>1.05</v>
      </c>
      <c r="BC40" s="7"/>
      <c r="BD40" s="7"/>
    </row>
    <row r="41" spans="2:56" ht="12.75">
      <c r="B41" s="226">
        <v>33089</v>
      </c>
      <c r="C41" s="168" t="s">
        <v>525</v>
      </c>
      <c r="D41" s="151" t="s">
        <v>525</v>
      </c>
      <c r="E41" s="152" t="s">
        <v>526</v>
      </c>
      <c r="F41" s="153" t="s">
        <v>402</v>
      </c>
      <c r="G41" s="144" t="str">
        <f>IF(OR(E41="4",F41="4"),INDEX([14]NamesElementary!$B$1:$B$65536,MATCH(B41,[14]NamesElementary!$A$1:$A$65536,0),1),INDEX([14]Names!$J$1:$J$65602,MATCH(B41,[14]Names!$F$1:$F$65602,0),1))</f>
        <v>helium, at plant</v>
      </c>
      <c r="H41" s="125" t="str">
        <f>IF(OR(E41="4",F41="4"),"-",INDEX([14]Names!$K$1:$K$65602,MATCH(B41,[14]Names!$F$1:$F$65602,0),1))</f>
        <v>GLO</v>
      </c>
      <c r="I41" s="154" t="str">
        <f>IF(OR(E41="4",F41="4"),INDEX([14]NamesElementary!$D$1:$D$65536,MATCH($B41,[14]NamesElementary!$A$1:$A$65536,0),1),"-")</f>
        <v>-</v>
      </c>
      <c r="J41" s="123" t="str">
        <f>IF(OR(E41="4",F41="4"),INDEX([14]NamesElementary!$E$1:$E$65536,MATCH($B41,[14]NamesElementary!$A$1:$A$65536,0),1),"-")</f>
        <v>-</v>
      </c>
      <c r="K41" s="124">
        <f>IF(OR(E41="4",F41="4"),"-",INDEX([14]Names!$N$1:$N$65602,MATCH(B41,[14]Names!$F$1:$F$65602,0),1))</f>
        <v>0</v>
      </c>
      <c r="L41" s="125" t="str">
        <f>IF(OR(E41="4",F41="4"),INDEX([14]NamesElementary!$G$1:$G$65536,MATCH(B41,[14]NamesElementary!$A$1:$A$65536,0),1),INDEX([14]Names!$O$1:$O$65602,MATCH(B41,[14]Names!$F$1:$F$65602,0),1))</f>
        <v>kg</v>
      </c>
      <c r="M41" s="155">
        <f t="shared" si="13"/>
        <v>3.6400000000000002E-2</v>
      </c>
      <c r="N41" s="29">
        <v>1</v>
      </c>
      <c r="O41" s="1">
        <f t="shared" si="0"/>
        <v>1.0807255723670659</v>
      </c>
      <c r="P41" s="31" t="str">
        <f t="shared" si="1"/>
        <v>(1,2,2,1,1,3); Fthenakis, literature</v>
      </c>
      <c r="Q41" s="155">
        <f t="shared" si="11"/>
        <v>3.6400000000000002E-2</v>
      </c>
      <c r="R41" s="29">
        <v>1</v>
      </c>
      <c r="S41" s="1">
        <f t="shared" si="2"/>
        <v>1.0807255723670659</v>
      </c>
      <c r="T41" s="31" t="str">
        <f t="shared" si="3"/>
        <v>(1,2,2,1,1,3); Fthenakis, literature</v>
      </c>
      <c r="U41" s="155">
        <f t="shared" si="9"/>
        <v>3.6400000000000002E-2</v>
      </c>
      <c r="V41" s="29">
        <v>1</v>
      </c>
      <c r="W41" s="1">
        <f t="shared" si="4"/>
        <v>1.0807255723670659</v>
      </c>
      <c r="X41" s="31" t="str">
        <f t="shared" si="5"/>
        <v>(1,2,2,1,1,3); Fthenakis, literature</v>
      </c>
      <c r="Y41" s="182">
        <v>3.6400000000000002E-2</v>
      </c>
      <c r="Z41" s="259"/>
      <c r="AA41" s="259"/>
      <c r="AB41" s="259"/>
      <c r="AC41" s="259"/>
      <c r="AD41" s="253"/>
      <c r="AE41" s="253"/>
      <c r="AF41" s="253"/>
      <c r="AG41" s="253"/>
      <c r="AH41" s="253"/>
      <c r="AI41" s="115" t="s">
        <v>258</v>
      </c>
      <c r="AJ41" s="11">
        <f t="shared" si="15"/>
        <v>1</v>
      </c>
      <c r="AK41" s="11">
        <f t="shared" si="15"/>
        <v>2</v>
      </c>
      <c r="AL41" s="11">
        <v>2</v>
      </c>
      <c r="AM41" s="11">
        <f t="shared" si="15"/>
        <v>1</v>
      </c>
      <c r="AN41" s="11">
        <f t="shared" si="15"/>
        <v>1</v>
      </c>
      <c r="AO41" s="11">
        <f t="shared" si="15"/>
        <v>3</v>
      </c>
      <c r="AP41" s="50">
        <f>IF(OR($E41="4",$F41="4"),INDEX([14]NamesElementary!$J$1:$J$65536,MATCH($B41,[14]NamesElementary!$A$1:$A$65536,0),1),INDEX([14]Names!$W$1:$W$65602,MATCH($B41,[14]Names!$F$1:$F$65602,0),1))</f>
        <v>3</v>
      </c>
      <c r="AQ41" s="51">
        <f>INDEX([14]BasicUncertainty!$H$1:$H$65536,MATCH(AP41,[14]BasicUncertainty!$B$1:$B$65536,0),1)</f>
        <v>1.05</v>
      </c>
      <c r="AR41" s="87">
        <f t="shared" si="6"/>
        <v>1.0622454211725116</v>
      </c>
      <c r="AS41" s="88">
        <f t="shared" si="7"/>
        <v>1.0807255723670659</v>
      </c>
      <c r="AT41" s="89" t="str">
        <f t="shared" si="8"/>
        <v>(1,2,2,1,1,3)</v>
      </c>
      <c r="AU41" s="52">
        <f>IF(AJ41=1,'[14]SDG^2 values'!$B$4,IF(AJ41=2,'[14]SDG^2 values'!$C$4,IF(AJ41=3,'[14]SDG^2 values'!$D$4,IF(AJ41=4,'[14]SDG^2 values'!$E$4,IF(AJ41=5,'[14]SDG^2 values'!$F$4,1)))))</f>
        <v>1</v>
      </c>
      <c r="AV41" s="52">
        <f>IF(AK41=1,'[14]SDG^2 values'!$B$5,IF(AK41=2,'[14]SDG^2 values'!$C$5,IF(AK41=3,'[14]SDG^2 values'!$D$5,IF(AK41=4,'[14]SDG^2 values'!$E$5,IF(AK41=5,'[14]SDG^2 values'!$F$5,1)))))</f>
        <v>1.02</v>
      </c>
      <c r="AW41" s="52">
        <f>IF(AL41=1,'[14]SDG^2 values'!$B$6,IF(AL41=2,'[14]SDG^2 values'!$C$6,IF(AL41=3,'[14]SDG^2 values'!$D$6,IF(AL41=4,'[14]SDG^2 values'!$E$6,IF(AL41=5,'[14]SDG^2 values'!$F$6,1)))))</f>
        <v>1.03</v>
      </c>
      <c r="AX41" s="52">
        <f>IF(AM41=1,'[14]SDG^2 values'!$B$7,IF(AM41=2,'[14]SDG^2 values'!$C$7,IF(AM41=3,'[14]SDG^2 values'!$D$7,IF(AM41=4,'[14]SDG^2 values'!$E$7,IF(AM41=5,'[14]SDG^2 values'!$F$7,1)))))</f>
        <v>1</v>
      </c>
      <c r="AY41" s="52">
        <f>IF(AN41=1,'[14]SDG^2 values'!$B$8,IF(AN41=2,'[14]SDG^2 values'!$C$8,IF(AN41=3,'[14]SDG^2 values'!$D$8,IF(AN41=4,'[14]SDG^2 values'!$E$8,IF(AN41=5,'[14]SDG^2 values'!$F$8,1)))))</f>
        <v>1</v>
      </c>
      <c r="AZ41" s="52">
        <f>IF(AO41=1,'[14]SDG^2 values'!$B$9,IF(AO41=2,'[14]SDG^2 values'!$C$9,IF(AO41=3,'[14]SDG^2 values'!$D$9,IF(AO41=4,'[14]SDG^2 values'!$E$9,IF(AO41=5,'[14]SDG^2 values'!$F$9,1)))))</f>
        <v>1.05</v>
      </c>
      <c r="BC41" s="7"/>
      <c r="BD41" s="7"/>
    </row>
    <row r="42" spans="2:56" ht="24">
      <c r="B42" s="156">
        <v>1198</v>
      </c>
      <c r="C42" s="168" t="s">
        <v>525</v>
      </c>
      <c r="D42" s="151" t="s">
        <v>525</v>
      </c>
      <c r="E42" s="152" t="s">
        <v>526</v>
      </c>
      <c r="F42" s="153" t="s">
        <v>402</v>
      </c>
      <c r="G42" s="144" t="str">
        <f>IF(OR(E42="4",F42="4"),INDEX([14]NamesElementary!$B$1:$B$65536,MATCH(B42,[14]NamesElementary!$A$1:$A$65536,0),1),INDEX([14]Names!$J$1:$J$65602,MATCH(B42,[14]Names!$F$1:$F$65602,0),1))</f>
        <v>corrugated board, mixed fibre, single wall, at plant</v>
      </c>
      <c r="H42" s="125" t="str">
        <f>IF(OR(E42="4",F42="4"),"-",INDEX([14]Names!$K$1:$K$65602,MATCH(B42,[14]Names!$F$1:$F$65602,0),1))</f>
        <v>RER</v>
      </c>
      <c r="I42" s="154" t="str">
        <f>IF(OR(E42="4",F42="4"),INDEX([14]NamesElementary!$D$1:$D$65536,MATCH($B42,[14]NamesElementary!$A$1:$A$65536,0),1),"-")</f>
        <v>-</v>
      </c>
      <c r="J42" s="123" t="str">
        <f>IF(OR(E42="4",F42="4"),INDEX([14]NamesElementary!$E$1:$E$65536,MATCH($B42,[14]NamesElementary!$A$1:$A$65536,0),1),"-")</f>
        <v>-</v>
      </c>
      <c r="K42" s="124">
        <f>IF(OR(E42="4",F42="4"),"-",INDEX([14]Names!$N$1:$N$65602,MATCH(B42,[14]Names!$F$1:$F$65602,0),1))</f>
        <v>0</v>
      </c>
      <c r="L42" s="125" t="str">
        <f>IF(OR(E42="4",F42="4"),INDEX([14]NamesElementary!$G$1:$G$65536,MATCH(B42,[14]NamesElementary!$A$1:$A$65536,0),1),INDEX([14]Names!$O$1:$O$65602,MATCH(B42,[14]Names!$F$1:$F$65602,0),1))</f>
        <v>kg</v>
      </c>
      <c r="M42" s="155">
        <f t="shared" si="13"/>
        <v>1.37</v>
      </c>
      <c r="N42" s="29">
        <v>1</v>
      </c>
      <c r="O42" s="1">
        <f t="shared" si="0"/>
        <v>1.0807255723670659</v>
      </c>
      <c r="P42" s="31" t="str">
        <f t="shared" si="1"/>
        <v>(1,2,2,1,1,3); Fthenakis, packaging material</v>
      </c>
      <c r="Q42" s="155">
        <f t="shared" si="11"/>
        <v>1.37</v>
      </c>
      <c r="R42" s="29">
        <v>1</v>
      </c>
      <c r="S42" s="1">
        <f t="shared" si="2"/>
        <v>1.0807255723670659</v>
      </c>
      <c r="T42" s="31" t="str">
        <f t="shared" si="3"/>
        <v>(1,2,2,1,1,3); Fthenakis, packaging material</v>
      </c>
      <c r="U42" s="155">
        <f t="shared" si="9"/>
        <v>1.37</v>
      </c>
      <c r="V42" s="29">
        <v>1</v>
      </c>
      <c r="W42" s="1">
        <f t="shared" si="4"/>
        <v>1.0807255723670659</v>
      </c>
      <c r="X42" s="31" t="str">
        <f t="shared" si="5"/>
        <v>(1,2,2,1,1,3); Fthenakis, packaging material</v>
      </c>
      <c r="Y42" s="182">
        <v>1.37</v>
      </c>
      <c r="Z42" s="259"/>
      <c r="AA42" s="259"/>
      <c r="AB42" s="259"/>
      <c r="AC42" s="259"/>
      <c r="AD42" s="253">
        <f>1.75</f>
        <v>1.75</v>
      </c>
      <c r="AE42" s="253"/>
      <c r="AF42" s="253"/>
      <c r="AG42" s="253"/>
      <c r="AH42" s="253"/>
      <c r="AI42" s="115" t="s">
        <v>690</v>
      </c>
      <c r="AJ42" s="11">
        <f t="shared" si="15"/>
        <v>1</v>
      </c>
      <c r="AK42" s="11">
        <f t="shared" si="15"/>
        <v>2</v>
      </c>
      <c r="AL42" s="11">
        <v>2</v>
      </c>
      <c r="AM42" s="11">
        <f t="shared" si="15"/>
        <v>1</v>
      </c>
      <c r="AN42" s="11">
        <f t="shared" si="15"/>
        <v>1</v>
      </c>
      <c r="AO42" s="11">
        <f t="shared" si="15"/>
        <v>3</v>
      </c>
      <c r="AP42" s="50">
        <f>IF(OR($E42="4",$F42="4"),INDEX([14]NamesElementary!$J$1:$J$65536,MATCH($B42,[14]NamesElementary!$A$1:$A$65536,0),1),INDEX([14]Names!$W$1:$W$65602,MATCH($B42,[14]Names!$F$1:$F$65602,0),1))</f>
        <v>3</v>
      </c>
      <c r="AQ42" s="51">
        <f>INDEX([14]BasicUncertainty!$H$1:$H$65536,MATCH(AP42,[14]BasicUncertainty!$B$1:$B$65536,0),1)</f>
        <v>1.05</v>
      </c>
      <c r="AR42" s="87">
        <f t="shared" si="6"/>
        <v>1.0622454211725116</v>
      </c>
      <c r="AS42" s="88">
        <f t="shared" si="7"/>
        <v>1.0807255723670659</v>
      </c>
      <c r="AT42" s="89" t="str">
        <f t="shared" si="8"/>
        <v>(1,2,2,1,1,3)</v>
      </c>
      <c r="AU42" s="52">
        <f>IF(AJ42=1,'[14]SDG^2 values'!$B$4,IF(AJ42=2,'[14]SDG^2 values'!$C$4,IF(AJ42=3,'[14]SDG^2 values'!$D$4,IF(AJ42=4,'[14]SDG^2 values'!$E$4,IF(AJ42=5,'[14]SDG^2 values'!$F$4,1)))))</f>
        <v>1</v>
      </c>
      <c r="AV42" s="52">
        <f>IF(AK42=1,'[14]SDG^2 values'!$B$5,IF(AK42=2,'[14]SDG^2 values'!$C$5,IF(AK42=3,'[14]SDG^2 values'!$D$5,IF(AK42=4,'[14]SDG^2 values'!$E$5,IF(AK42=5,'[14]SDG^2 values'!$F$5,1)))))</f>
        <v>1.02</v>
      </c>
      <c r="AW42" s="52">
        <f>IF(AL42=1,'[14]SDG^2 values'!$B$6,IF(AL42=2,'[14]SDG^2 values'!$C$6,IF(AL42=3,'[14]SDG^2 values'!$D$6,IF(AL42=4,'[14]SDG^2 values'!$E$6,IF(AL42=5,'[14]SDG^2 values'!$F$6,1)))))</f>
        <v>1.03</v>
      </c>
      <c r="AX42" s="52">
        <f>IF(AM42=1,'[14]SDG^2 values'!$B$7,IF(AM42=2,'[14]SDG^2 values'!$C$7,IF(AM42=3,'[14]SDG^2 values'!$D$7,IF(AM42=4,'[14]SDG^2 values'!$E$7,IF(AM42=5,'[14]SDG^2 values'!$F$7,1)))))</f>
        <v>1</v>
      </c>
      <c r="AY42" s="52">
        <f>IF(AN42=1,'[14]SDG^2 values'!$B$8,IF(AN42=2,'[14]SDG^2 values'!$C$8,IF(AN42=3,'[14]SDG^2 values'!$D$8,IF(AN42=4,'[14]SDG^2 values'!$E$8,IF(AN42=5,'[14]SDG^2 values'!$F$8,1)))))</f>
        <v>1</v>
      </c>
      <c r="AZ42" s="52">
        <f>IF(AO42=1,'[14]SDG^2 values'!$B$9,IF(AO42=2,'[14]SDG^2 values'!$C$9,IF(AO42=3,'[14]SDG^2 values'!$D$9,IF(AO42=4,'[14]SDG^2 values'!$E$9,IF(AO42=5,'[14]SDG^2 values'!$F$9,1)))))</f>
        <v>1.05</v>
      </c>
      <c r="BC42" s="7"/>
      <c r="BD42" s="7"/>
    </row>
    <row r="43" spans="2:56" ht="24">
      <c r="B43" s="157">
        <v>2987</v>
      </c>
      <c r="C43" s="37" t="s">
        <v>152</v>
      </c>
      <c r="D43" s="151" t="s">
        <v>525</v>
      </c>
      <c r="E43" s="152" t="s">
        <v>526</v>
      </c>
      <c r="F43" s="153" t="s">
        <v>402</v>
      </c>
      <c r="G43" s="144" t="str">
        <f>IF(OR(E43="4",F43="4"),INDEX([14]NamesElementary!$B$1:$B$65536,MATCH(B43,[14]NamesElementary!$A$1:$A$65536,0),1),INDEX([14]Names!$J$1:$J$65602,MATCH(B43,[14]Names!$F$1:$F$65602,0),1))</f>
        <v>transport, lorry &gt;16t, fleet average</v>
      </c>
      <c r="H43" s="125" t="str">
        <f>IF(OR(E43="4",F43="4"),"-",INDEX([14]Names!$K$1:$K$65602,MATCH(B43,[14]Names!$F$1:$F$65602,0),1))</f>
        <v>RER</v>
      </c>
      <c r="I43" s="154" t="str">
        <f>IF(OR(E43="4",F43="4"),INDEX([14]NamesElementary!$D$1:$D$65536,MATCH($B43,[14]NamesElementary!$A$1:$A$65536,0),1),"-")</f>
        <v>-</v>
      </c>
      <c r="J43" s="123" t="str">
        <f>IF(OR(E43="4",F43="4"),INDEX([14]NamesElementary!$E$1:$E$65536,MATCH($B43,[14]NamesElementary!$A$1:$A$65536,0),1),"-")</f>
        <v>-</v>
      </c>
      <c r="K43" s="124">
        <f>IF(OR(E43="4",F43="4"),"-",INDEX([14]Names!$N$1:$N$65602,MATCH(B43,[14]Names!$F$1:$F$65602,0),1))</f>
        <v>0</v>
      </c>
      <c r="L43" s="125" t="str">
        <f>IF(OR(E43="4",F43="4"),INDEX([14]NamesElementary!$G$1:$G$65536,MATCH(B43,[14]NamesElementary!$A$1:$A$65536,0),1),INDEX([14]Names!$O$1:$O$65602,MATCH(B43,[14]Names!$F$1:$F$65602,0),1))</f>
        <v>tkm</v>
      </c>
      <c r="M43" s="155">
        <f>0.6*SUM(M17:M42)+0.015*SUM(M45:M46)</f>
        <v>13.516896455800905</v>
      </c>
      <c r="N43" s="29">
        <v>1</v>
      </c>
      <c r="O43" s="1">
        <f t="shared" si="0"/>
        <v>2.0949941301068096</v>
      </c>
      <c r="P43" s="31" t="str">
        <f t="shared" si="1"/>
        <v>(4,5,na,na,na,na); Average distance 600km, Fthenakis</v>
      </c>
      <c r="Q43" s="155">
        <f>0.6*SUM(Q17:Q42)+0.015*SUM(Q45:Q46)</f>
        <v>13.516896455800905</v>
      </c>
      <c r="R43" s="29">
        <v>1</v>
      </c>
      <c r="S43" s="1">
        <f t="shared" si="2"/>
        <v>2.0949941301068096</v>
      </c>
      <c r="T43" s="31" t="str">
        <f t="shared" si="3"/>
        <v>(4,5,na,na,na,na); Average distance 600km, Fthenakis</v>
      </c>
      <c r="U43" s="155">
        <f t="shared" si="9"/>
        <v>13.516896455800905</v>
      </c>
      <c r="V43" s="29">
        <v>1</v>
      </c>
      <c r="W43" s="1">
        <f t="shared" si="4"/>
        <v>2.0949941301068096</v>
      </c>
      <c r="X43" s="31" t="str">
        <f t="shared" si="5"/>
        <v>(4,5,na,na,na,na); Average distance 600km, Fthenakis</v>
      </c>
      <c r="Y43" s="182"/>
      <c r="Z43" s="259" t="s">
        <v>656</v>
      </c>
      <c r="AA43" s="259"/>
      <c r="AB43" s="259"/>
      <c r="AC43" s="259"/>
      <c r="AD43" s="253"/>
      <c r="AE43" s="253"/>
      <c r="AF43" s="253"/>
      <c r="AG43" s="253"/>
      <c r="AH43" s="253"/>
      <c r="AI43" s="115" t="s">
        <v>657</v>
      </c>
      <c r="AJ43" s="10">
        <v>4</v>
      </c>
      <c r="AK43" s="50">
        <v>5</v>
      </c>
      <c r="AL43" s="10" t="s">
        <v>271</v>
      </c>
      <c r="AM43" s="10" t="s">
        <v>271</v>
      </c>
      <c r="AN43" s="10" t="s">
        <v>271</v>
      </c>
      <c r="AO43" s="10" t="s">
        <v>271</v>
      </c>
      <c r="AP43" s="50">
        <f>IF(OR($E43="4",$F43="4"),INDEX([14]NamesElementary!$J$1:$J$65536,MATCH($B43,[14]NamesElementary!$A$1:$A$65536,0),1),INDEX([14]Names!$W$1:$W$65602,MATCH($B43,[14]Names!$F$1:$F$65602,0),1))</f>
        <v>5</v>
      </c>
      <c r="AQ43" s="51">
        <f>INDEX([14]BasicUncertainty!$H$1:$H$65536,MATCH(AP43,[14]BasicUncertainty!$B$1:$B$65536,0),1)</f>
        <v>2</v>
      </c>
      <c r="AR43" s="87">
        <f t="shared" si="6"/>
        <v>1.2941338353151037</v>
      </c>
      <c r="AS43" s="88">
        <f t="shared" si="7"/>
        <v>2.0949941301068096</v>
      </c>
      <c r="AT43" s="89" t="str">
        <f t="shared" si="8"/>
        <v>(4,5,na,na,na,na)</v>
      </c>
      <c r="AU43" s="52">
        <f>IF(AJ43=1,'[14]SDG^2 values'!$B$4,IF(AJ43=2,'[14]SDG^2 values'!$C$4,IF(AJ43=3,'[14]SDG^2 values'!$D$4,IF(AJ43=4,'[14]SDG^2 values'!$E$4,IF(AJ43=5,'[14]SDG^2 values'!$F$4,1)))))</f>
        <v>1.2</v>
      </c>
      <c r="AV43" s="52">
        <f>IF(AK43=1,'[14]SDG^2 values'!$B$5,IF(AK43=2,'[14]SDG^2 values'!$C$5,IF(AK43=3,'[14]SDG^2 values'!$D$5,IF(AK43=4,'[14]SDG^2 values'!$E$5,IF(AK43=5,'[14]SDG^2 values'!$F$5,1)))))</f>
        <v>1.2</v>
      </c>
      <c r="AW43" s="52">
        <f>IF(AL43=1,'[14]SDG^2 values'!$B$6,IF(AL43=2,'[14]SDG^2 values'!$C$6,IF(AL43=3,'[14]SDG^2 values'!$D$6,IF(AL43=4,'[14]SDG^2 values'!$E$6,IF(AL43=5,'[14]SDG^2 values'!$F$6,1)))))</f>
        <v>1</v>
      </c>
      <c r="AX43" s="52">
        <f>IF(AM43=1,'[14]SDG^2 values'!$B$7,IF(AM43=2,'[14]SDG^2 values'!$C$7,IF(AM43=3,'[14]SDG^2 values'!$D$7,IF(AM43=4,'[14]SDG^2 values'!$E$7,IF(AM43=5,'[14]SDG^2 values'!$F$7,1)))))</f>
        <v>1</v>
      </c>
      <c r="AY43" s="52">
        <f>IF(AN43=1,'[14]SDG^2 values'!$B$8,IF(AN43=2,'[14]SDG^2 values'!$C$8,IF(AN43=3,'[14]SDG^2 values'!$D$8,IF(AN43=4,'[14]SDG^2 values'!$E$8,IF(AN43=5,'[14]SDG^2 values'!$F$8,1)))))</f>
        <v>1</v>
      </c>
      <c r="AZ43" s="52">
        <f>IF(AO43=1,'[14]SDG^2 values'!$B$9,IF(AO43=2,'[14]SDG^2 values'!$C$9,IF(AO43=3,'[14]SDG^2 values'!$D$9,IF(AO43=4,'[14]SDG^2 values'!$E$9,IF(AO43=5,'[14]SDG^2 values'!$F$9,1)))))</f>
        <v>1</v>
      </c>
      <c r="BC43" s="7"/>
      <c r="BD43" s="7"/>
    </row>
    <row r="44" spans="2:56" ht="12.75">
      <c r="B44" s="157">
        <v>1841</v>
      </c>
      <c r="C44" s="168" t="s">
        <v>525</v>
      </c>
      <c r="D44" s="151" t="s">
        <v>525</v>
      </c>
      <c r="E44" s="152" t="s">
        <v>526</v>
      </c>
      <c r="F44" s="153" t="s">
        <v>402</v>
      </c>
      <c r="G44" s="144" t="str">
        <f>IF(OR(E44="4",F44="4"),INDEX([14]NamesElementary!$B$1:$B$65536,MATCH(B44,[14]NamesElementary!$A$1:$A$65536,0),1),INDEX([14]Names!$J$1:$J$65602,MATCH(B44,[14]Names!$F$1:$F$65602,0),1))</f>
        <v>transport, freight, rail</v>
      </c>
      <c r="H44" s="125" t="str">
        <f>IF(OR(E44="4",F44="4"),"-",INDEX([14]Names!$K$1:$K$65602,MATCH(B44,[14]Names!$F$1:$F$65602,0),1))</f>
        <v>RER</v>
      </c>
      <c r="I44" s="154" t="str">
        <f>IF(OR(E44="4",F44="4"),INDEX([14]NamesElementary!$D$1:$D$65536,MATCH($B44,[14]NamesElementary!$A$1:$A$65536,0),1),"-")</f>
        <v>-</v>
      </c>
      <c r="J44" s="123" t="str">
        <f>IF(OR(E44="4",F44="4"),INDEX([14]NamesElementary!$E$1:$E$65536,MATCH($B44,[14]NamesElementary!$A$1:$A$65536,0),1),"-")</f>
        <v>-</v>
      </c>
      <c r="K44" s="124">
        <f>IF(OR(E44="4",F44="4"),"-",INDEX([14]Names!$N$1:$N$65602,MATCH(B44,[14]Names!$F$1:$F$65602,0),1))</f>
        <v>0</v>
      </c>
      <c r="L44" s="125" t="str">
        <f>IF(OR(E44="4",F44="4"),INDEX([14]NamesElementary!$G$1:$G$65536,MATCH(B44,[14]NamesElementary!$A$1:$A$65536,0),1),INDEX([14]Names!$O$1:$O$65602,MATCH(B44,[14]Names!$F$1:$F$65602,0),1))</f>
        <v>tkm</v>
      </c>
      <c r="M44" s="155">
        <f>0.6*SUM(M17:M42)</f>
        <v>13.505830087300906</v>
      </c>
      <c r="N44" s="29">
        <v>1</v>
      </c>
      <c r="O44" s="1">
        <f t="shared" si="0"/>
        <v>2.0949941301068096</v>
      </c>
      <c r="P44" s="31" t="str">
        <f t="shared" si="1"/>
        <v>(4,5,na,na,na,na); Average distance 600km</v>
      </c>
      <c r="Q44" s="155">
        <f>0.6*SUM(Q17:Q42)</f>
        <v>13.505830087300906</v>
      </c>
      <c r="R44" s="29">
        <v>1</v>
      </c>
      <c r="S44" s="1">
        <f t="shared" si="2"/>
        <v>2.0949941301068096</v>
      </c>
      <c r="T44" s="31" t="str">
        <f t="shared" si="3"/>
        <v>(4,5,na,na,na,na); Average distance 600km</v>
      </c>
      <c r="U44" s="155">
        <f t="shared" si="9"/>
        <v>13.505830087300906</v>
      </c>
      <c r="V44" s="29">
        <v>1</v>
      </c>
      <c r="W44" s="1">
        <f t="shared" si="4"/>
        <v>2.0949941301068096</v>
      </c>
      <c r="X44" s="31" t="str">
        <f t="shared" si="5"/>
        <v>(4,5,na,na,na,na); Average distance 600km</v>
      </c>
      <c r="Y44" s="182"/>
      <c r="Z44" s="259"/>
      <c r="AA44" s="259"/>
      <c r="AB44" s="259"/>
      <c r="AC44" s="259"/>
      <c r="AD44" s="253"/>
      <c r="AE44" s="253"/>
      <c r="AF44" s="253"/>
      <c r="AG44" s="253"/>
      <c r="AH44" s="253"/>
      <c r="AI44" s="115" t="s">
        <v>2</v>
      </c>
      <c r="AJ44" s="10">
        <v>4</v>
      </c>
      <c r="AK44" s="50">
        <v>5</v>
      </c>
      <c r="AL44" s="10" t="s">
        <v>271</v>
      </c>
      <c r="AM44" s="10" t="s">
        <v>271</v>
      </c>
      <c r="AN44" s="10" t="s">
        <v>271</v>
      </c>
      <c r="AO44" s="10" t="s">
        <v>271</v>
      </c>
      <c r="AP44" s="50">
        <f>IF(OR($E44="4",$F44="4"),INDEX([14]NamesElementary!$J$1:$J$65536,MATCH($B44,[14]NamesElementary!$A$1:$A$65536,0),1),INDEX([14]Names!$W$1:$W$65602,MATCH($B44,[14]Names!$F$1:$F$65602,0),1))</f>
        <v>5</v>
      </c>
      <c r="AQ44" s="51">
        <f>INDEX([14]BasicUncertainty!$H$1:$H$65536,MATCH(AP44,[14]BasicUncertainty!$B$1:$B$65536,0),1)</f>
        <v>2</v>
      </c>
      <c r="AR44" s="87">
        <f t="shared" si="6"/>
        <v>1.2941338353151037</v>
      </c>
      <c r="AS44" s="88">
        <f t="shared" si="7"/>
        <v>2.0949941301068096</v>
      </c>
      <c r="AT44" s="89" t="str">
        <f t="shared" si="8"/>
        <v>(4,5,na,na,na,na)</v>
      </c>
      <c r="AU44" s="52">
        <f>IF(AJ44=1,'[14]SDG^2 values'!$B$4,IF(AJ44=2,'[14]SDG^2 values'!$C$4,IF(AJ44=3,'[14]SDG^2 values'!$D$4,IF(AJ44=4,'[14]SDG^2 values'!$E$4,IF(AJ44=5,'[14]SDG^2 values'!$F$4,1)))))</f>
        <v>1.2</v>
      </c>
      <c r="AV44" s="52">
        <f>IF(AK44=1,'[14]SDG^2 values'!$B$5,IF(AK44=2,'[14]SDG^2 values'!$C$5,IF(AK44=3,'[14]SDG^2 values'!$D$5,IF(AK44=4,'[14]SDG^2 values'!$E$5,IF(AK44=5,'[14]SDG^2 values'!$F$5,1)))))</f>
        <v>1.2</v>
      </c>
      <c r="AW44" s="52">
        <f>IF(AL44=1,'[14]SDG^2 values'!$B$6,IF(AL44=2,'[14]SDG^2 values'!$C$6,IF(AL44=3,'[14]SDG^2 values'!$D$6,IF(AL44=4,'[14]SDG^2 values'!$E$6,IF(AL44=5,'[14]SDG^2 values'!$F$6,1)))))</f>
        <v>1</v>
      </c>
      <c r="AX44" s="52">
        <f>IF(AM44=1,'[14]SDG^2 values'!$B$7,IF(AM44=2,'[14]SDG^2 values'!$C$7,IF(AM44=3,'[14]SDG^2 values'!$D$7,IF(AM44=4,'[14]SDG^2 values'!$E$7,IF(AM44=5,'[14]SDG^2 values'!$F$7,1)))))</f>
        <v>1</v>
      </c>
      <c r="AY44" s="52">
        <f>IF(AN44=1,'[14]SDG^2 values'!$B$8,IF(AN44=2,'[14]SDG^2 values'!$C$8,IF(AN44=3,'[14]SDG^2 values'!$D$8,IF(AN44=4,'[14]SDG^2 values'!$E$8,IF(AN44=5,'[14]SDG^2 values'!$F$8,1)))))</f>
        <v>1</v>
      </c>
      <c r="AZ44" s="52">
        <f>IF(AO44=1,'[14]SDG^2 values'!$B$9,IF(AO44=2,'[14]SDG^2 values'!$C$9,IF(AO44=3,'[14]SDG^2 values'!$D$9,IF(AO44=4,'[14]SDG^2 values'!$E$9,IF(AO44=5,'[14]SDG^2 values'!$F$9,1)))))</f>
        <v>1</v>
      </c>
      <c r="BC44" s="7"/>
      <c r="BD44" s="7"/>
    </row>
    <row r="45" spans="2:56" ht="24">
      <c r="B45" s="157">
        <v>1436</v>
      </c>
      <c r="C45" s="37" t="s">
        <v>153</v>
      </c>
      <c r="D45" s="151" t="s">
        <v>525</v>
      </c>
      <c r="E45" s="152" t="s">
        <v>526</v>
      </c>
      <c r="F45" s="153" t="s">
        <v>402</v>
      </c>
      <c r="G45" s="144" t="str">
        <f>IF(OR(E45="4",F45="4"),INDEX([14]NamesElementary!$B$1:$B$65536,MATCH(B45,[14]NamesElementary!$A$1:$A$65536,0),1),INDEX([14]Names!$J$1:$J$65602,MATCH(B45,[14]Names!$F$1:$F$65602,0),1))</f>
        <v>disposal, municipal solid waste, 22.9% water, to municipal incineration</v>
      </c>
      <c r="H45" s="125" t="str">
        <f>IF(OR(E45="4",F45="4"),"-",INDEX([14]Names!$K$1:$K$65602,MATCH(B45,[14]Names!$F$1:$F$65602,0),1))</f>
        <v>CH</v>
      </c>
      <c r="I45" s="154" t="str">
        <f>IF(OR(E45="4",F45="4"),INDEX([14]NamesElementary!$D$1:$D$65536,MATCH($B45,[14]NamesElementary!$A$1:$A$65536,0),1),"-")</f>
        <v>-</v>
      </c>
      <c r="J45" s="123" t="str">
        <f>IF(OR(E45="4",F45="4"),INDEX([14]NamesElementary!$E$1:$E$65536,MATCH($B45,[14]NamesElementary!$A$1:$A$65536,0),1),"-")</f>
        <v>-</v>
      </c>
      <c r="K45" s="124">
        <f>IF(OR(E45="4",F45="4"),"-",INDEX([14]Names!$N$1:$N$65602,MATCH(B45,[14]Names!$F$1:$F$65602,0),1))</f>
        <v>0</v>
      </c>
      <c r="L45" s="125" t="str">
        <f>IF(OR(E45="4",F45="4"),INDEX([14]NamesElementary!$G$1:$G$65536,MATCH(B45,[14]NamesElementary!$A$1:$A$65536,0),1),INDEX([14]Names!$O$1:$O$65602,MATCH(B45,[14]Names!$F$1:$F$65602,0),1))</f>
        <v>kg</v>
      </c>
      <c r="M45" s="155">
        <f>disposal_panel</f>
        <v>0.03</v>
      </c>
      <c r="N45" s="29">
        <v>1</v>
      </c>
      <c r="O45" s="1">
        <f t="shared" si="0"/>
        <v>1.1308009960566481</v>
      </c>
      <c r="P45" s="31" t="str">
        <f t="shared" si="1"/>
        <v>(1,4,2,3,1,3); Alsema (personal communication) 2007, production waste</v>
      </c>
      <c r="Q45" s="155">
        <f>disposal_panel</f>
        <v>0.03</v>
      </c>
      <c r="R45" s="29">
        <v>1</v>
      </c>
      <c r="S45" s="1">
        <f t="shared" si="2"/>
        <v>1.1308009960566481</v>
      </c>
      <c r="T45" s="31" t="str">
        <f t="shared" si="3"/>
        <v>(1,4,2,3,1,3); Alsema (personal communication) 2007, production waste</v>
      </c>
      <c r="U45" s="155">
        <f t="shared" si="9"/>
        <v>0.03</v>
      </c>
      <c r="V45" s="29">
        <v>1</v>
      </c>
      <c r="W45" s="1">
        <f t="shared" si="4"/>
        <v>1.1308009960566481</v>
      </c>
      <c r="X45" s="31" t="str">
        <f t="shared" si="5"/>
        <v>(1,4,2,3,1,3); Alsema (personal communication) 2007, production waste</v>
      </c>
      <c r="Y45" s="182"/>
      <c r="Z45" s="259"/>
      <c r="AA45" s="259"/>
      <c r="AB45" s="259"/>
      <c r="AC45" s="259"/>
      <c r="AD45" s="253">
        <f>0.012</f>
        <v>1.2E-2</v>
      </c>
      <c r="AE45" s="253"/>
      <c r="AF45" s="253"/>
      <c r="AG45" s="253"/>
      <c r="AH45" s="253"/>
      <c r="AI45" s="115" t="str">
        <f>'X-Panel'!$CO$72</f>
        <v>Alsema (personal communication) 2007, production waste</v>
      </c>
      <c r="AJ45" s="10">
        <v>1</v>
      </c>
      <c r="AK45" s="50">
        <v>4</v>
      </c>
      <c r="AL45" s="50">
        <v>2</v>
      </c>
      <c r="AM45" s="50">
        <v>3</v>
      </c>
      <c r="AN45" s="50">
        <v>1</v>
      </c>
      <c r="AO45" s="50">
        <v>3</v>
      </c>
      <c r="AP45" s="50">
        <f>IF(OR($E45="4",$F45="4"),INDEX([14]NamesElementary!$J$1:$J$65536,MATCH($B45,[14]NamesElementary!$A$1:$A$65536,0),1),INDEX([14]Names!$W$1:$W$65602,MATCH($B45,[14]Names!$F$1:$F$65602,0),1))</f>
        <v>6</v>
      </c>
      <c r="AQ45" s="51">
        <f>INDEX([14]BasicUncertainty!$H$1:$H$65536,MATCH(AP45,[14]BasicUncertainty!$B$1:$B$65536,0),1)</f>
        <v>1.05</v>
      </c>
      <c r="AR45" s="87">
        <f t="shared" si="6"/>
        <v>1.1194404629424275</v>
      </c>
      <c r="AS45" s="88">
        <f t="shared" si="7"/>
        <v>1.1308009960566481</v>
      </c>
      <c r="AT45" s="89" t="str">
        <f t="shared" si="8"/>
        <v>(1,4,2,3,1,3)</v>
      </c>
      <c r="AU45" s="52">
        <f>IF(AJ45=1,'[14]SDG^2 values'!$B$4,IF(AJ45=2,'[14]SDG^2 values'!$C$4,IF(AJ45=3,'[14]SDG^2 values'!$D$4,IF(AJ45=4,'[14]SDG^2 values'!$E$4,IF(AJ45=5,'[14]SDG^2 values'!$F$4,1)))))</f>
        <v>1</v>
      </c>
      <c r="AV45" s="52">
        <f>IF(AK45=1,'[14]SDG^2 values'!$B$5,IF(AK45=2,'[14]SDG^2 values'!$C$5,IF(AK45=3,'[14]SDG^2 values'!$D$5,IF(AK45=4,'[14]SDG^2 values'!$E$5,IF(AK45=5,'[14]SDG^2 values'!$F$5,1)))))</f>
        <v>1.1000000000000001</v>
      </c>
      <c r="AW45" s="52">
        <f>IF(AL45=1,'[14]SDG^2 values'!$B$6,IF(AL45=2,'[14]SDG^2 values'!$C$6,IF(AL45=3,'[14]SDG^2 values'!$D$6,IF(AL45=4,'[14]SDG^2 values'!$E$6,IF(AL45=5,'[14]SDG^2 values'!$F$6,1)))))</f>
        <v>1.03</v>
      </c>
      <c r="AX45" s="52">
        <f>IF(AM45=1,'[14]SDG^2 values'!$B$7,IF(AM45=2,'[14]SDG^2 values'!$C$7,IF(AM45=3,'[14]SDG^2 values'!$D$7,IF(AM45=4,'[14]SDG^2 values'!$E$7,IF(AM45=5,'[14]SDG^2 values'!$F$7,1)))))</f>
        <v>1.02</v>
      </c>
      <c r="AY45" s="52">
        <f>IF(AN45=1,'[14]SDG^2 values'!$B$8,IF(AN45=2,'[14]SDG^2 values'!$C$8,IF(AN45=3,'[14]SDG^2 values'!$D$8,IF(AN45=4,'[14]SDG^2 values'!$E$8,IF(AN45=5,'[14]SDG^2 values'!$F$8,1)))))</f>
        <v>1</v>
      </c>
      <c r="AZ45" s="52">
        <f>IF(AO45=1,'[14]SDG^2 values'!$B$9,IF(AO45=2,'[14]SDG^2 values'!$C$9,IF(AO45=3,'[14]SDG^2 values'!$D$9,IF(AO45=4,'[14]SDG^2 values'!$E$9,IF(AO45=5,'[14]SDG^2 values'!$F$9,1)))))</f>
        <v>1.05</v>
      </c>
      <c r="BA45" s="182">
        <f>18*600</f>
        <v>10800</v>
      </c>
      <c r="BC45" s="7"/>
      <c r="BD45" s="7"/>
    </row>
    <row r="46" spans="2:56" ht="24">
      <c r="B46" s="252">
        <v>1409</v>
      </c>
      <c r="C46" s="168" t="s">
        <v>525</v>
      </c>
      <c r="D46" s="151" t="s">
        <v>525</v>
      </c>
      <c r="E46" s="152" t="s">
        <v>526</v>
      </c>
      <c r="F46" s="153" t="s">
        <v>402</v>
      </c>
      <c r="G46" s="144" t="str">
        <f>IF(OR(E46="4",F46="4"),INDEX([14]NamesElementary!$B$1:$B$65536,MATCH(B46,[14]NamesElementary!$A$1:$A$65536,0),1),INDEX([14]Names!$J$1:$J$65602,MATCH(B46,[14]Names!$F$1:$F$65602,0),1))</f>
        <v>disposal, plastics, mixture, 15.3% water, to municipal incineration</v>
      </c>
      <c r="H46" s="125" t="str">
        <f>IF(OR(E46="4",F46="4"),"-",INDEX([14]Names!$K$1:$K$65602,MATCH(B46,[14]Names!$F$1:$F$65602,0),1))</f>
        <v>CH</v>
      </c>
      <c r="I46" s="154" t="str">
        <f>IF(OR(E46="4",F46="4"),INDEX([14]NamesElementary!$D$1:$D$65536,MATCH($B46,[14]NamesElementary!$A$1:$A$65536,0),1),"-")</f>
        <v>-</v>
      </c>
      <c r="J46" s="123" t="str">
        <f>IF(OR(E46="4",F46="4"),INDEX([14]NamesElementary!$E$1:$E$65536,MATCH($B46,[14]NamesElementary!$A$1:$A$65536,0),1),"-")</f>
        <v>-</v>
      </c>
      <c r="K46" s="124">
        <f>IF(OR(E46="4",F46="4"),"-",INDEX([14]Names!$N$1:$N$65602,MATCH(B46,[14]Names!$F$1:$F$65602,0),1))</f>
        <v>0</v>
      </c>
      <c r="L46" s="125" t="str">
        <f>IF(OR(E46="4",F46="4"),INDEX([14]NamesElementary!$G$1:$G$65536,MATCH(B46,[14]NamesElementary!$A$1:$A$65536,0),1),INDEX([14]Names!$O$1:$O$65602,MATCH(B46,[14]Names!$F$1:$F$65602,0),1))</f>
        <v>kg</v>
      </c>
      <c r="M46" s="155">
        <f>M22+M23</f>
        <v>0.70775789999999994</v>
      </c>
      <c r="N46" s="29">
        <v>1</v>
      </c>
      <c r="O46" s="1">
        <f t="shared" si="0"/>
        <v>1.0807255723670659</v>
      </c>
      <c r="P46" s="31" t="str">
        <f t="shared" si="1"/>
        <v>(1,2,2,1,1,3); Calculation</v>
      </c>
      <c r="Q46" s="155">
        <f>Q22+Q23</f>
        <v>0.70775789999999994</v>
      </c>
      <c r="R46" s="29">
        <v>1</v>
      </c>
      <c r="S46" s="1">
        <f t="shared" si="2"/>
        <v>1.0807255723670659</v>
      </c>
      <c r="T46" s="31" t="str">
        <f t="shared" si="3"/>
        <v>(1,2,2,1,1,3); Calculation</v>
      </c>
      <c r="U46" s="155">
        <f t="shared" si="9"/>
        <v>0.70775789999999994</v>
      </c>
      <c r="V46" s="29">
        <v>1</v>
      </c>
      <c r="W46" s="1">
        <f t="shared" si="4"/>
        <v>1.0807255723670659</v>
      </c>
      <c r="X46" s="31" t="str">
        <f t="shared" si="5"/>
        <v>(1,2,2,1,1,3); Calculation</v>
      </c>
      <c r="Y46" s="182"/>
      <c r="Z46" s="259"/>
      <c r="AA46" s="259"/>
      <c r="AB46" s="259"/>
      <c r="AC46" s="259"/>
      <c r="AD46" s="253"/>
      <c r="AE46" s="253"/>
      <c r="AF46" s="253"/>
      <c r="AG46" s="253"/>
      <c r="AH46" s="253"/>
      <c r="AI46" s="115" t="s">
        <v>401</v>
      </c>
      <c r="AJ46" s="11">
        <f t="shared" ref="AJ46:AO47" si="16">AJ$10</f>
        <v>1</v>
      </c>
      <c r="AK46" s="11">
        <f t="shared" si="16"/>
        <v>2</v>
      </c>
      <c r="AL46" s="11">
        <v>2</v>
      </c>
      <c r="AM46" s="11">
        <f t="shared" si="16"/>
        <v>1</v>
      </c>
      <c r="AN46" s="11">
        <f t="shared" si="16"/>
        <v>1</v>
      </c>
      <c r="AO46" s="11">
        <f t="shared" si="16"/>
        <v>3</v>
      </c>
      <c r="AP46" s="50">
        <f>IF(OR($E46="4",$F46="4"),INDEX([14]NamesElementary!$J$1:$J$65536,MATCH($B46,[14]NamesElementary!$A$1:$A$65536,0),1),INDEX([14]Names!$W$1:$W$65602,MATCH($B46,[14]Names!$F$1:$F$65602,0),1))</f>
        <v>6</v>
      </c>
      <c r="AQ46" s="51">
        <f>INDEX([14]BasicUncertainty!$H$1:$H$65536,MATCH(AP46,[14]BasicUncertainty!$B$1:$B$65536,0),1)</f>
        <v>1.05</v>
      </c>
      <c r="AR46" s="87">
        <f>EXP(SQRT((LN(AU46)^2)+(LN(AV46)^2)+(LN(AW46)^2)+(LN(AX46)^2)+(LN(AY46)^2)+(LN(AZ46)^2)))</f>
        <v>1.0622454211725116</v>
      </c>
      <c r="AS46" s="88">
        <f>EXP(SQRT((LN(AU46)^2)+(LN(AV46)^2)+(LN(AW46)^2)+(LN(AX46)^2)+(LN(AY46)^2)+(LN(AZ46)^2)+LN(AQ46)^2))</f>
        <v>1.0807255723670659</v>
      </c>
      <c r="AT46" s="89" t="str">
        <f>CONCATENATE("(",AJ46,",",AK46,",",AL46,",",AM46,",",AN46,",",AO46,")")</f>
        <v>(1,2,2,1,1,3)</v>
      </c>
      <c r="AU46" s="52">
        <f>IF(AJ46=1,'[14]SDG^2 values'!$B$4,IF(AJ46=2,'[14]SDG^2 values'!$C$4,IF(AJ46=3,'[14]SDG^2 values'!$D$4,IF(AJ46=4,'[14]SDG^2 values'!$E$4,IF(AJ46=5,'[14]SDG^2 values'!$F$4,1)))))</f>
        <v>1</v>
      </c>
      <c r="AV46" s="52">
        <f>IF(AK46=1,'[14]SDG^2 values'!$B$5,IF(AK46=2,'[14]SDG^2 values'!$C$5,IF(AK46=3,'[14]SDG^2 values'!$D$5,IF(AK46=4,'[14]SDG^2 values'!$E$5,IF(AK46=5,'[14]SDG^2 values'!$F$5,1)))))</f>
        <v>1.02</v>
      </c>
      <c r="AW46" s="52">
        <f>IF(AL46=1,'[14]SDG^2 values'!$B$6,IF(AL46=2,'[14]SDG^2 values'!$C$6,IF(AL46=3,'[14]SDG^2 values'!$D$6,IF(AL46=4,'[14]SDG^2 values'!$E$6,IF(AL46=5,'[14]SDG^2 values'!$F$6,1)))))</f>
        <v>1.03</v>
      </c>
      <c r="AX46" s="52">
        <f>IF(AM46=1,'[14]SDG^2 values'!$B$7,IF(AM46=2,'[14]SDG^2 values'!$C$7,IF(AM46=3,'[14]SDG^2 values'!$D$7,IF(AM46=4,'[14]SDG^2 values'!$E$7,IF(AM46=5,'[14]SDG^2 values'!$F$7,1)))))</f>
        <v>1</v>
      </c>
      <c r="AY46" s="52">
        <f>IF(AN46=1,'[14]SDG^2 values'!$B$8,IF(AN46=2,'[14]SDG^2 values'!$C$8,IF(AN46=3,'[14]SDG^2 values'!$D$8,IF(AN46=4,'[14]SDG^2 values'!$E$8,IF(AN46=5,'[14]SDG^2 values'!$F$8,1)))))</f>
        <v>1</v>
      </c>
      <c r="AZ46" s="52">
        <f>IF(AO46=1,'[14]SDG^2 values'!$B$9,IF(AO46=2,'[14]SDG^2 values'!$C$9,IF(AO46=3,'[14]SDG^2 values'!$D$9,IF(AO46=4,'[14]SDG^2 values'!$E$9,IF(AO46=5,'[14]SDG^2 values'!$F$9,1)))))</f>
        <v>1.05</v>
      </c>
      <c r="BC46" s="7"/>
      <c r="BD46" s="7"/>
    </row>
    <row r="47" spans="2:56" ht="24">
      <c r="B47" s="226">
        <v>4087</v>
      </c>
      <c r="C47" s="168" t="s">
        <v>525</v>
      </c>
      <c r="D47" s="151" t="s">
        <v>525</v>
      </c>
      <c r="E47" s="152" t="s">
        <v>526</v>
      </c>
      <c r="F47" s="153" t="s">
        <v>402</v>
      </c>
      <c r="G47" s="144" t="str">
        <f>IF(OR(E47="4",F47="4"),INDEX([14]NamesElementary!$B$1:$B$65536,MATCH(B47,[14]NamesElementary!$A$1:$A$65536,0),1),INDEX([14]Names!$J$1:$J$65602,MATCH(B47,[14]Names!$F$1:$F$65602,0),1))</f>
        <v>treatment, glass production effluent, to wastewater treatment, class 2</v>
      </c>
      <c r="H47" s="125" t="str">
        <f>IF(OR(E47="4",F47="4"),"-",INDEX([14]Names!$K$1:$K$65602,MATCH(B47,[14]Names!$F$1:$F$65602,0),1))</f>
        <v>CH</v>
      </c>
      <c r="I47" s="154" t="str">
        <f>IF(OR(E47="4",F47="4"),INDEX([14]NamesElementary!$D$1:$D$65536,MATCH($B47,[14]NamesElementary!$A$1:$A$65536,0),1),"-")</f>
        <v>-</v>
      </c>
      <c r="J47" s="123" t="str">
        <f>IF(OR(E47="4",F47="4"),INDEX([14]NamesElementary!$E$1:$E$65536,MATCH($B47,[14]NamesElementary!$A$1:$A$65536,0),1),"-")</f>
        <v>-</v>
      </c>
      <c r="K47" s="124">
        <f>IF(OR(E47="4",F47="4"),"-",INDEX([14]Names!$N$1:$N$65602,MATCH(B47,[14]Names!$F$1:$F$65602,0),1))</f>
        <v>0</v>
      </c>
      <c r="L47" s="125" t="str">
        <f>IF(OR(E47="4",F47="4"),INDEX([14]NamesElementary!$G$1:$G$65536,MATCH(B47,[14]NamesElementary!$A$1:$A$65536,0),1),INDEX([14]Names!$O$1:$O$65602,MATCH(B47,[14]Names!$F$1:$F$65602,0),1))</f>
        <v>m3</v>
      </c>
      <c r="M47" s="155">
        <f>M15/1000</f>
        <v>0.219</v>
      </c>
      <c r="N47" s="29">
        <v>1</v>
      </c>
      <c r="O47" s="1">
        <f t="shared" si="0"/>
        <v>1.0807255723670659</v>
      </c>
      <c r="P47" s="31" t="str">
        <f t="shared" si="1"/>
        <v>(1,2,2,1,1,3); Calculation</v>
      </c>
      <c r="Q47" s="155">
        <f>Q15/1000</f>
        <v>0.219</v>
      </c>
      <c r="R47" s="29">
        <v>1</v>
      </c>
      <c r="S47" s="1">
        <f t="shared" si="2"/>
        <v>1.0807255723670659</v>
      </c>
      <c r="T47" s="31" t="str">
        <f t="shared" si="3"/>
        <v>(1,2,2,1,1,3); Calculation</v>
      </c>
      <c r="U47" s="155">
        <f t="shared" si="9"/>
        <v>0.219</v>
      </c>
      <c r="V47" s="29">
        <v>1</v>
      </c>
      <c r="W47" s="1">
        <f t="shared" si="4"/>
        <v>1.0807255723670659</v>
      </c>
      <c r="X47" s="31" t="str">
        <f t="shared" si="5"/>
        <v>(1,2,2,1,1,3); Calculation</v>
      </c>
      <c r="Y47" s="182"/>
      <c r="Z47" s="259"/>
      <c r="AA47" s="259"/>
      <c r="AB47" s="259"/>
      <c r="AC47" s="259"/>
      <c r="AD47" s="253"/>
      <c r="AE47" s="253"/>
      <c r="AF47" s="253"/>
      <c r="AG47" s="253"/>
      <c r="AH47" s="253"/>
      <c r="AI47" s="115" t="s">
        <v>401</v>
      </c>
      <c r="AJ47" s="11">
        <f t="shared" si="16"/>
        <v>1</v>
      </c>
      <c r="AK47" s="11">
        <f t="shared" si="16"/>
        <v>2</v>
      </c>
      <c r="AL47" s="11">
        <v>2</v>
      </c>
      <c r="AM47" s="11">
        <f t="shared" si="16"/>
        <v>1</v>
      </c>
      <c r="AN47" s="11">
        <f t="shared" si="16"/>
        <v>1</v>
      </c>
      <c r="AO47" s="11">
        <f t="shared" si="16"/>
        <v>3</v>
      </c>
      <c r="AP47" s="50">
        <f>IF(OR($E47="4",$F47="4"),INDEX([14]NamesElementary!$J$1:$J$65536,MATCH($B47,[14]NamesElementary!$A$1:$A$65536,0),1),INDEX([14]Names!$W$1:$W$65602,MATCH($B47,[14]Names!$F$1:$F$65602,0),1))</f>
        <v>6</v>
      </c>
      <c r="AQ47" s="51">
        <f>INDEX([14]BasicUncertainty!$H$1:$H$65536,MATCH(AP47,[14]BasicUncertainty!$B$1:$B$65536,0),1)</f>
        <v>1.05</v>
      </c>
      <c r="AR47" s="87">
        <f t="shared" si="6"/>
        <v>1.0622454211725116</v>
      </c>
      <c r="AS47" s="88">
        <f t="shared" si="7"/>
        <v>1.0807255723670659</v>
      </c>
      <c r="AT47" s="89" t="str">
        <f t="shared" si="8"/>
        <v>(1,2,2,1,1,3)</v>
      </c>
      <c r="AU47" s="52">
        <f>IF(AJ47=1,'[14]SDG^2 values'!$B$4,IF(AJ47=2,'[14]SDG^2 values'!$C$4,IF(AJ47=3,'[14]SDG^2 values'!$D$4,IF(AJ47=4,'[14]SDG^2 values'!$E$4,IF(AJ47=5,'[14]SDG^2 values'!$F$4,1)))))</f>
        <v>1</v>
      </c>
      <c r="AV47" s="52">
        <f>IF(AK47=1,'[14]SDG^2 values'!$B$5,IF(AK47=2,'[14]SDG^2 values'!$C$5,IF(AK47=3,'[14]SDG^2 values'!$D$5,IF(AK47=4,'[14]SDG^2 values'!$E$5,IF(AK47=5,'[14]SDG^2 values'!$F$5,1)))))</f>
        <v>1.02</v>
      </c>
      <c r="AW47" s="52">
        <f>IF(AL47=1,'[14]SDG^2 values'!$B$6,IF(AL47=2,'[14]SDG^2 values'!$C$6,IF(AL47=3,'[14]SDG^2 values'!$D$6,IF(AL47=4,'[14]SDG^2 values'!$E$6,IF(AL47=5,'[14]SDG^2 values'!$F$6,1)))))</f>
        <v>1.03</v>
      </c>
      <c r="AX47" s="52">
        <f>IF(AM47=1,'[14]SDG^2 values'!$B$7,IF(AM47=2,'[14]SDG^2 values'!$C$7,IF(AM47=3,'[14]SDG^2 values'!$D$7,IF(AM47=4,'[14]SDG^2 values'!$E$7,IF(AM47=5,'[14]SDG^2 values'!$F$7,1)))))</f>
        <v>1</v>
      </c>
      <c r="AY47" s="52">
        <f>IF(AN47=1,'[14]SDG^2 values'!$B$8,IF(AN47=2,'[14]SDG^2 values'!$C$8,IF(AN47=3,'[14]SDG^2 values'!$D$8,IF(AN47=4,'[14]SDG^2 values'!$E$8,IF(AN47=5,'[14]SDG^2 values'!$F$8,1)))))</f>
        <v>1</v>
      </c>
      <c r="AZ47" s="52">
        <f>IF(AO47=1,'[14]SDG^2 values'!$B$9,IF(AO47=2,'[14]SDG^2 values'!$C$9,IF(AO47=3,'[14]SDG^2 values'!$D$9,IF(AO47=4,'[14]SDG^2 values'!$E$9,IF(AO47=5,'[14]SDG^2 values'!$F$9,1)))))</f>
        <v>1.05</v>
      </c>
      <c r="BC47" s="7"/>
      <c r="BD47" s="7"/>
    </row>
    <row r="48" spans="2:56" ht="12.75">
      <c r="B48" s="215">
        <v>490</v>
      </c>
      <c r="C48" s="168" t="s">
        <v>692</v>
      </c>
      <c r="D48" s="169" t="s">
        <v>525</v>
      </c>
      <c r="E48" s="50" t="s">
        <v>402</v>
      </c>
      <c r="F48" s="10" t="s">
        <v>527</v>
      </c>
      <c r="G48" s="144" t="str">
        <f>IF(OR(E48="4",F48="4"),INDEX([14]NamesElementary!$B$1:$B$65536,MATCH(B48,[14]NamesElementary!$A$1:$A$65536,0),1),INDEX([14]Names!$J$1:$J$65602,MATCH(B48,[14]Names!$F$1:$F$65602,0),1))</f>
        <v>Heat, waste</v>
      </c>
      <c r="H48" s="125" t="str">
        <f>IF(OR(E48="4",F48="4"),"-",INDEX([14]Names!$K$1:$K$65602,MATCH(B48,[14]Names!$F$1:$F$65602,0),1))</f>
        <v>-</v>
      </c>
      <c r="I48" s="154" t="str">
        <f>IF(OR(E48="4",F48="4"),INDEX([14]NamesElementary!$D$1:$D$65536,MATCH($B48,[14]NamesElementary!$A$1:$A$65536,0),1),"-")</f>
        <v>air</v>
      </c>
      <c r="J48" s="123" t="str">
        <f>IF(OR(E48="4",F48="4"),INDEX([14]NamesElementary!$E$1:$E$65536,MATCH($B48,[14]NamesElementary!$A$1:$A$65536,0),1),"-")</f>
        <v>high population density</v>
      </c>
      <c r="K48" s="124" t="str">
        <f>IF(OR(E48="4",F48="4"),"-",INDEX([14]Names!$N$1:$N$65602,MATCH(B48,[14]Names!$F$1:$F$65602,0),1))</f>
        <v>-</v>
      </c>
      <c r="L48" s="125" t="str">
        <f>IF(OR(E48="4",F48="4"),INDEX([14]NamesElementary!$G$1:$G$65536,MATCH(B48,[14]NamesElementary!$A$1:$A$65536,0),1),INDEX([14]Names!$O$1:$O$65602,MATCH(B48,[14]Names!$F$1:$F$65602,0),1))</f>
        <v>MJ</v>
      </c>
      <c r="M48" s="155" t="e">
        <f>3.6*(M10)</f>
        <v>#REF!</v>
      </c>
      <c r="N48" s="29">
        <v>1</v>
      </c>
      <c r="O48" s="1">
        <f t="shared" si="0"/>
        <v>1.2859877072397368</v>
      </c>
      <c r="P48" s="31" t="str">
        <f t="shared" si="1"/>
        <v>(3,4,3,3,1,5); Calculation</v>
      </c>
      <c r="Q48" s="155" t="e">
        <f>3.6*(Q11)</f>
        <v>#REF!</v>
      </c>
      <c r="R48" s="29">
        <v>1</v>
      </c>
      <c r="S48" s="1">
        <f t="shared" si="2"/>
        <v>1.2859877072397368</v>
      </c>
      <c r="T48" s="31" t="str">
        <f t="shared" si="3"/>
        <v>(3,4,3,3,1,5); Calculation</v>
      </c>
      <c r="U48" s="155" t="e">
        <f t="shared" si="9"/>
        <v>#REF!</v>
      </c>
      <c r="V48" s="29">
        <v>1</v>
      </c>
      <c r="W48" s="1">
        <f t="shared" si="4"/>
        <v>1.2859877072397368</v>
      </c>
      <c r="X48" s="31" t="str">
        <f t="shared" si="5"/>
        <v>(3,4,3,3,1,5); Calculation</v>
      </c>
      <c r="Y48" s="182"/>
      <c r="Z48" s="259"/>
      <c r="AA48" s="259"/>
      <c r="AB48" s="259"/>
      <c r="AC48" s="259"/>
      <c r="AD48" s="253"/>
      <c r="AE48" s="253"/>
      <c r="AF48" s="253"/>
      <c r="AG48" s="253"/>
      <c r="AH48" s="253"/>
      <c r="AI48" s="191" t="s">
        <v>401</v>
      </c>
      <c r="AJ48" s="10">
        <v>3</v>
      </c>
      <c r="AK48" s="50">
        <v>4</v>
      </c>
      <c r="AL48" s="50">
        <v>3</v>
      </c>
      <c r="AM48" s="50">
        <v>3</v>
      </c>
      <c r="AN48" s="50">
        <v>1</v>
      </c>
      <c r="AO48" s="50">
        <v>5</v>
      </c>
      <c r="AP48" s="50">
        <f>IF(OR($E48="4",$F48="4"),INDEX([14]NamesElementary!$J$1:$J$65536,MATCH($B48,[14]NamesElementary!$A$1:$A$65536,0),1),INDEX([14]Names!$W$1:$W$65602,MATCH($B48,[14]Names!$F$1:$F$65602,0),1))</f>
        <v>13</v>
      </c>
      <c r="AQ48" s="51">
        <f>INDEX([14]BasicUncertainty!$H$1:$H$65536,MATCH(AP48,[14]BasicUncertainty!$B$1:$B$65536,0),1)</f>
        <v>1.05</v>
      </c>
      <c r="AR48" s="87">
        <f t="shared" si="6"/>
        <v>1.2798586482969265</v>
      </c>
      <c r="AS48" s="88">
        <f t="shared" si="7"/>
        <v>1.2859877072397368</v>
      </c>
      <c r="AT48" s="89" t="str">
        <f t="shared" si="8"/>
        <v>(3,4,3,3,1,5)</v>
      </c>
      <c r="AU48" s="52">
        <f>IF(AJ48=1,'[14]SDG^2 values'!$B$4,IF(AJ48=2,'[14]SDG^2 values'!$C$4,IF(AJ48=3,'[14]SDG^2 values'!$D$4,IF(AJ48=4,'[14]SDG^2 values'!$E$4,IF(AJ48=5,'[14]SDG^2 values'!$F$4,1)))))</f>
        <v>1.1000000000000001</v>
      </c>
      <c r="AV48" s="52">
        <f>IF(AK48=1,'[14]SDG^2 values'!$B$5,IF(AK48=2,'[14]SDG^2 values'!$C$5,IF(AK48=3,'[14]SDG^2 values'!$D$5,IF(AK48=4,'[14]SDG^2 values'!$E$5,IF(AK48=5,'[14]SDG^2 values'!$F$5,1)))))</f>
        <v>1.1000000000000001</v>
      </c>
      <c r="AW48" s="52">
        <f>IF(AL48=1,'[14]SDG^2 values'!$B$6,IF(AL48=2,'[14]SDG^2 values'!$C$6,IF(AL48=3,'[14]SDG^2 values'!$D$6,IF(AL48=4,'[14]SDG^2 values'!$E$6,IF(AL48=5,'[14]SDG^2 values'!$F$6,1)))))</f>
        <v>1.1000000000000001</v>
      </c>
      <c r="AX48" s="52">
        <f>IF(AM48=1,'[14]SDG^2 values'!$B$7,IF(AM48=2,'[14]SDG^2 values'!$C$7,IF(AM48=3,'[14]SDG^2 values'!$D$7,IF(AM48=4,'[14]SDG^2 values'!$E$7,IF(AM48=5,'[14]SDG^2 values'!$F$7,1)))))</f>
        <v>1.02</v>
      </c>
      <c r="AY48" s="52">
        <f>IF(AN48=1,'[14]SDG^2 values'!$B$8,IF(AN48=2,'[14]SDG^2 values'!$C$8,IF(AN48=3,'[14]SDG^2 values'!$D$8,IF(AN48=4,'[14]SDG^2 values'!$E$8,IF(AN48=5,'[14]SDG^2 values'!$F$8,1)))))</f>
        <v>1</v>
      </c>
      <c r="AZ48" s="52">
        <f>IF(AO48=1,'[14]SDG^2 values'!$B$9,IF(AO48=2,'[14]SDG^2 values'!$C$9,IF(AO48=3,'[14]SDG^2 values'!$D$9,IF(AO48=4,'[14]SDG^2 values'!$E$9,IF(AO48=5,'[14]SDG^2 values'!$F$9,1)))))</f>
        <v>1.2</v>
      </c>
      <c r="BC48" s="7"/>
      <c r="BD48" s="7"/>
    </row>
    <row r="49" spans="2:56" ht="24">
      <c r="B49" s="215">
        <v>178</v>
      </c>
      <c r="C49" s="168"/>
      <c r="D49" s="169" t="s">
        <v>525</v>
      </c>
      <c r="E49" s="50" t="s">
        <v>402</v>
      </c>
      <c r="F49" s="10" t="s">
        <v>527</v>
      </c>
      <c r="G49" s="144" t="str">
        <f>IF(OR(E49="4",F49="4"),INDEX([14]NamesElementary!$B$1:$B$65536,MATCH(B49,[14]NamesElementary!$A$1:$A$65536,0),1),INDEX([14]Names!$J$1:$J$65602,MATCH(B49,[14]Names!$F$1:$F$65602,0),1))</f>
        <v>Cadmium</v>
      </c>
      <c r="H49" s="125" t="str">
        <f>IF(OR(E49="4",F49="4"),"-",INDEX([14]Names!$K$1:$K$65602,MATCH(B49,[14]Names!$F$1:$F$65602,0),1))</f>
        <v>-</v>
      </c>
      <c r="I49" s="154" t="str">
        <f>IF(OR(E49="4",F49="4"),INDEX([14]NamesElementary!$D$1:$D$65536,MATCH($B49,[14]NamesElementary!$A$1:$A$65536,0),1),"-")</f>
        <v>air</v>
      </c>
      <c r="J49" s="123" t="str">
        <f>IF(OR(E49="4",F49="4"),INDEX([14]NamesElementary!$E$1:$E$65536,MATCH($B49,[14]NamesElementary!$A$1:$A$65536,0),1),"-")</f>
        <v>high population density</v>
      </c>
      <c r="K49" s="124" t="str">
        <f>IF(OR(E49="4",F49="4"),"-",INDEX([14]Names!$N$1:$N$65602,MATCH(B49,[14]Names!$F$1:$F$65602,0),1))</f>
        <v>-</v>
      </c>
      <c r="L49" s="125" t="str">
        <f>IF(OR(E49="4",F49="4"),INDEX([14]NamesElementary!$G$1:$G$65536,MATCH(B49,[14]NamesElementary!$A$1:$A$65536,0),1),INDEX([14]Names!$O$1:$O$65602,MATCH(B49,[14]Names!$F$1:$F$65602,0),1))</f>
        <v>kg</v>
      </c>
      <c r="M49" s="155">
        <f>Z49</f>
        <v>2.0999999999999999E-8</v>
      </c>
      <c r="N49" s="29">
        <v>1</v>
      </c>
      <c r="O49" s="1">
        <f t="shared" si="0"/>
        <v>5.0530985307109004</v>
      </c>
      <c r="P49" s="31" t="str">
        <f t="shared" si="1"/>
        <v>(4,1,2,1,1,na); Literature data and own assumption for share of different inputs</v>
      </c>
      <c r="Q49" s="165">
        <f>Z49</f>
        <v>2.0999999999999999E-8</v>
      </c>
      <c r="R49" s="29">
        <v>1</v>
      </c>
      <c r="S49" s="1">
        <f t="shared" si="2"/>
        <v>5.0530985307109004</v>
      </c>
      <c r="T49" s="31" t="str">
        <f t="shared" si="3"/>
        <v>(4,1,2,1,1,na); Literature data and own assumption for share of different inputs</v>
      </c>
      <c r="U49" s="155">
        <f t="shared" si="9"/>
        <v>2.0999999999999999E-8</v>
      </c>
      <c r="V49" s="29">
        <v>1</v>
      </c>
      <c r="W49" s="1">
        <f t="shared" si="4"/>
        <v>5.0530985307109004</v>
      </c>
      <c r="X49" s="31" t="str">
        <f t="shared" si="5"/>
        <v>(4,1,2,1,1,na); Literature data and own assumption for share of different inputs</v>
      </c>
      <c r="Y49" s="182"/>
      <c r="Z49" s="259">
        <f>0.000000021</f>
        <v>2.0999999999999999E-8</v>
      </c>
      <c r="AB49" s="259" t="e">
        <f>0.000003*AB26</f>
        <v>#REF!</v>
      </c>
      <c r="AC49" s="259">
        <f>0.000000001</f>
        <v>1.0000000000000001E-9</v>
      </c>
      <c r="AD49" s="253"/>
      <c r="AE49" s="253"/>
      <c r="AF49" s="253"/>
      <c r="AG49" s="253"/>
      <c r="AH49" s="253"/>
      <c r="AI49" s="115" t="s">
        <v>484</v>
      </c>
      <c r="AJ49" s="10">
        <v>4</v>
      </c>
      <c r="AK49" s="10">
        <v>1</v>
      </c>
      <c r="AL49" s="10">
        <v>2</v>
      </c>
      <c r="AM49" s="10">
        <f>AM$10</f>
        <v>1</v>
      </c>
      <c r="AN49" s="10">
        <f>AN$10</f>
        <v>1</v>
      </c>
      <c r="AO49" s="10" t="s">
        <v>271</v>
      </c>
      <c r="AP49" s="50">
        <f>IF(OR($E49="4",$F49="4"),INDEX([14]NamesElementary!$J$1:$J$65536,MATCH($B49,[14]NamesElementary!$A$1:$A$65536,0),1),INDEX([14]Names!$W$1:$W$65602,MATCH($B49,[14]Names!$F$1:$F$65602,0),1))</f>
        <v>22</v>
      </c>
      <c r="AQ49" s="51">
        <f>INDEX([14]BasicUncertainty!$H$1:$H$65536,MATCH(AP49,[14]BasicUncertainty!$B$1:$B$65536,0),1)</f>
        <v>5</v>
      </c>
      <c r="AR49" s="87">
        <f t="shared" si="6"/>
        <v>1.2028600779140561</v>
      </c>
      <c r="AS49" s="88">
        <f t="shared" si="7"/>
        <v>5.0530985307109004</v>
      </c>
      <c r="AT49" s="89" t="str">
        <f t="shared" si="8"/>
        <v>(4,1,2,1,1,na)</v>
      </c>
      <c r="AU49" s="52">
        <f>IF(AJ49=1,'[14]SDG^2 values'!$B$4,IF(AJ49=2,'[14]SDG^2 values'!$C$4,IF(AJ49=3,'[14]SDG^2 values'!$D$4,IF(AJ49=4,'[14]SDG^2 values'!$E$4,IF(AJ49=5,'[14]SDG^2 values'!$F$4,1)))))</f>
        <v>1.2</v>
      </c>
      <c r="AV49" s="52">
        <f>IF(AK49=1,'[14]SDG^2 values'!$B$5,IF(AK49=2,'[14]SDG^2 values'!$C$5,IF(AK49=3,'[14]SDG^2 values'!$D$5,IF(AK49=4,'[14]SDG^2 values'!$E$5,IF(AK49=5,'[14]SDG^2 values'!$F$5,1)))))</f>
        <v>1</v>
      </c>
      <c r="AW49" s="52">
        <f>IF(AL49=1,'[14]SDG^2 values'!$B$6,IF(AL49=2,'[14]SDG^2 values'!$C$6,IF(AL49=3,'[14]SDG^2 values'!$D$6,IF(AL49=4,'[14]SDG^2 values'!$E$6,IF(AL49=5,'[14]SDG^2 values'!$F$6,1)))))</f>
        <v>1.03</v>
      </c>
      <c r="AX49" s="52">
        <f>IF(AM49=1,'[14]SDG^2 values'!$B$7,IF(AM49=2,'[14]SDG^2 values'!$C$7,IF(AM49=3,'[14]SDG^2 values'!$D$7,IF(AM49=4,'[14]SDG^2 values'!$E$7,IF(AM49=5,'[14]SDG^2 values'!$F$7,1)))))</f>
        <v>1</v>
      </c>
      <c r="AY49" s="52">
        <f>IF(AN49=1,'[14]SDG^2 values'!$B$8,IF(AN49=2,'[14]SDG^2 values'!$C$8,IF(AN49=3,'[14]SDG^2 values'!$D$8,IF(AN49=4,'[14]SDG^2 values'!$E$8,IF(AN49=5,'[14]SDG^2 values'!$F$8,1)))))</f>
        <v>1</v>
      </c>
      <c r="AZ49" s="52">
        <f>IF(AO49=1,'[14]SDG^2 values'!$B$9,IF(AO49=2,'[14]SDG^2 values'!$C$9,IF(AO49=3,'[14]SDG^2 values'!$D$9,IF(AO49=4,'[14]SDG^2 values'!$E$9,IF(AO49=5,'[14]SDG^2 values'!$F$9,1)))))</f>
        <v>1</v>
      </c>
      <c r="BC49" s="7"/>
      <c r="BD49" s="7"/>
    </row>
    <row r="50" spans="2:56">
      <c r="Y50" s="182"/>
      <c r="Z50" s="259"/>
      <c r="AA50" s="259"/>
      <c r="AB50" s="259"/>
      <c r="AC50" s="259"/>
      <c r="BC50" s="7"/>
      <c r="BD50" s="7"/>
    </row>
    <row r="51" spans="2:56">
      <c r="C51" s="168"/>
      <c r="D51" s="169"/>
      <c r="E51" s="50"/>
      <c r="F51" s="10"/>
      <c r="G51" s="173" t="s">
        <v>137</v>
      </c>
      <c r="H51" s="19"/>
      <c r="I51" s="17"/>
      <c r="J51" s="53"/>
      <c r="K51" s="18"/>
      <c r="L51" s="19" t="s">
        <v>395</v>
      </c>
      <c r="M51" s="221">
        <f>SUM(M17:M42)</f>
        <v>22.509716812168175</v>
      </c>
      <c r="N51" s="222"/>
      <c r="O51" s="222"/>
      <c r="P51" s="223" t="s">
        <v>136</v>
      </c>
      <c r="Q51" s="221">
        <f>SUM(Q17:Q42)</f>
        <v>22.509716812168175</v>
      </c>
      <c r="R51" s="222"/>
      <c r="S51" s="222"/>
      <c r="T51" s="223" t="s">
        <v>136</v>
      </c>
      <c r="U51" s="221">
        <f>SUM(U17:U42)</f>
        <v>22.509716812168175</v>
      </c>
      <c r="V51" s="222"/>
      <c r="W51" s="222"/>
      <c r="X51" s="223" t="s">
        <v>136</v>
      </c>
      <c r="Y51" s="221">
        <f>SUM(Y17:Y42)</f>
        <v>22.289716812168177</v>
      </c>
      <c r="Z51" s="221">
        <f>SUM(Z17:Z29)</f>
        <v>22.935000000000002</v>
      </c>
      <c r="AA51" s="221" t="e">
        <f>SUM(AA17:AA29)</f>
        <v>#REF!</v>
      </c>
      <c r="AB51" s="342" t="e">
        <f>SUM(AB17:AB29)</f>
        <v>#REF!</v>
      </c>
      <c r="AC51" s="221">
        <f>SUM(AC17:AC29)</f>
        <v>0</v>
      </c>
      <c r="AD51" s="221">
        <f>SUM(AD17:AD42)</f>
        <v>19.950700000000005</v>
      </c>
      <c r="AE51" s="221"/>
      <c r="AF51" s="221"/>
      <c r="AG51" s="221"/>
      <c r="AH51" s="221"/>
      <c r="BC51" s="7"/>
      <c r="BD51" s="7"/>
    </row>
    <row r="52" spans="2:56" outlineLevel="1">
      <c r="C52" s="168"/>
      <c r="D52" s="169"/>
      <c r="E52" s="50"/>
      <c r="F52" s="10"/>
      <c r="G52" s="173" t="s">
        <v>153</v>
      </c>
      <c r="H52" s="19"/>
      <c r="I52" s="17"/>
      <c r="J52" s="53"/>
      <c r="K52" s="18"/>
      <c r="L52" s="19" t="s">
        <v>395</v>
      </c>
      <c r="M52" s="263">
        <f>SUM(M45:M45)</f>
        <v>0.03</v>
      </c>
      <c r="N52" s="222"/>
      <c r="O52" s="222"/>
      <c r="P52" s="223"/>
      <c r="Q52" s="263">
        <f>SUM(Q45:Q45)</f>
        <v>0.03</v>
      </c>
      <c r="R52" s="222"/>
      <c r="S52" s="222"/>
      <c r="T52" s="223"/>
      <c r="U52" s="263">
        <f>SUM(U45:U45)</f>
        <v>0.03</v>
      </c>
      <c r="V52" s="222"/>
      <c r="W52" s="222"/>
      <c r="X52" s="223"/>
      <c r="Y52" s="221">
        <f>SUM(Y24:Y28)</f>
        <v>6.5062000000000009E-2</v>
      </c>
      <c r="Z52" s="221">
        <f>SUM(Z24:Z28)</f>
        <v>6.5000000000000002E-2</v>
      </c>
      <c r="AA52" s="221" t="e">
        <f>SUM(AA24:AA28)</f>
        <v>#REF!</v>
      </c>
      <c r="AB52" s="221" t="e">
        <f>SUM(AB26:AB27)</f>
        <v>#REF!</v>
      </c>
      <c r="AC52" s="221">
        <f>SUM(AC26:AC27)</f>
        <v>0</v>
      </c>
      <c r="AD52" s="221">
        <f>SUM(AD45:AD45)</f>
        <v>1.2E-2</v>
      </c>
      <c r="AE52" s="221"/>
      <c r="AF52" s="221"/>
      <c r="AG52" s="221"/>
      <c r="AH52" s="221"/>
      <c r="BC52" s="7"/>
      <c r="BD52" s="7"/>
    </row>
    <row r="53" spans="2:56">
      <c r="C53" s="168"/>
      <c r="D53" s="169"/>
      <c r="E53" s="50"/>
      <c r="F53" s="10"/>
      <c r="G53" s="173" t="s">
        <v>305</v>
      </c>
      <c r="H53" s="19"/>
      <c r="I53" s="17"/>
      <c r="J53" s="53"/>
      <c r="K53" s="18"/>
      <c r="L53" s="19" t="s">
        <v>395</v>
      </c>
      <c r="M53" s="221">
        <f>SUM(M17:M28)</f>
        <v>20.704671700000006</v>
      </c>
      <c r="N53" s="222"/>
      <c r="O53" s="222"/>
      <c r="P53" s="223" t="s">
        <v>138</v>
      </c>
      <c r="Q53" s="221">
        <f>SUM(Q17:Q28)</f>
        <v>20.704671700000006</v>
      </c>
      <c r="R53" s="222"/>
      <c r="S53" s="222"/>
      <c r="T53" s="223" t="s">
        <v>138</v>
      </c>
      <c r="U53" s="221">
        <f>SUM(U17:U28)</f>
        <v>20.704671700000006</v>
      </c>
      <c r="V53" s="222"/>
      <c r="W53" s="222"/>
      <c r="X53" s="223" t="s">
        <v>138</v>
      </c>
      <c r="Y53" s="221">
        <f>12/0.72</f>
        <v>16.666666666666668</v>
      </c>
      <c r="Z53" s="221">
        <f>11.4/0.72</f>
        <v>15.833333333333334</v>
      </c>
      <c r="AA53" s="221" t="e">
        <f>SUM(AA17:AA28)</f>
        <v>#REF!</v>
      </c>
      <c r="AB53" s="221" t="e">
        <f>SUM(AB17:AB28)</f>
        <v>#REF!</v>
      </c>
      <c r="AC53" s="221">
        <f>SUM(AC17:AC28)</f>
        <v>0</v>
      </c>
      <c r="AD53" s="221">
        <f>SUM(AD17:AD28)</f>
        <v>18.180000000000003</v>
      </c>
      <c r="AE53" s="221"/>
      <c r="AF53" s="221"/>
      <c r="AG53" s="221"/>
      <c r="AH53" s="221"/>
      <c r="BC53" s="7"/>
      <c r="BD53" s="7"/>
    </row>
    <row r="54" spans="2:56">
      <c r="L54" s="7" t="s">
        <v>710</v>
      </c>
      <c r="Y54" s="259">
        <f>SUM(Y29:Y39)</f>
        <v>0.32544511216816419</v>
      </c>
      <c r="Z54" s="255"/>
      <c r="AA54" s="274" t="e">
        <f>#REF!</f>
        <v>#REF!</v>
      </c>
      <c r="AB54" s="274" t="e">
        <f>AA54</f>
        <v>#REF!</v>
      </c>
      <c r="AC54" s="255"/>
      <c r="AD54" s="254"/>
      <c r="AE54" s="254"/>
      <c r="AF54" s="254"/>
      <c r="AG54" s="254"/>
      <c r="AH54" s="254"/>
      <c r="BC54" s="7"/>
      <c r="BD54" s="7"/>
    </row>
    <row r="55" spans="2:56">
      <c r="L55" s="7" t="s">
        <v>396</v>
      </c>
      <c r="Y55" s="259">
        <f>SUM(Y24:Y28)</f>
        <v>6.5062000000000009E-2</v>
      </c>
      <c r="BC55" s="7"/>
      <c r="BD55" s="7"/>
    </row>
    <row r="56" spans="2:56">
      <c r="Z56" s="225">
        <f>Z51/Z53</f>
        <v>1.4485263157894739</v>
      </c>
      <c r="BC56" s="7"/>
      <c r="BD56" s="7"/>
    </row>
    <row r="57" spans="2:56" ht="12.75">
      <c r="B57" s="215">
        <v>178</v>
      </c>
      <c r="C57" s="168"/>
      <c r="D57" s="169" t="s">
        <v>525</v>
      </c>
      <c r="E57" s="50" t="s">
        <v>402</v>
      </c>
      <c r="F57" s="10" t="s">
        <v>527</v>
      </c>
      <c r="G57" s="144" t="str">
        <f>IF(OR(E57="4",F57="4"),INDEX([14]NamesElementary!$B$1:$B$65536,MATCH(B57,[14]NamesElementary!$A$1:$A$65536,0),1),INDEX([14]Names!$J$1:$J$65602,MATCH(B57,[14]Names!$F$1:$F$65602,0),1))</f>
        <v>Cadmium</v>
      </c>
      <c r="H57" s="125" t="str">
        <f>IF(OR(E57="4",F57="4"),"-",INDEX([14]Names!$K$1:$K$65602,MATCH(B57,[14]Names!$F$1:$F$65602,0),1))</f>
        <v>-</v>
      </c>
      <c r="I57" s="154" t="str">
        <f>IF(OR(E57="4",F57="4"),INDEX([14]NamesElementary!$D$1:$D$65536,MATCH($B57,[14]NamesElementary!$A$1:$A$65536,0),1),"-")</f>
        <v>air</v>
      </c>
      <c r="J57" s="123" t="str">
        <f>IF(OR(E57="4",F57="4"),INDEX([14]NamesElementary!$E$1:$E$65536,MATCH($B57,[14]NamesElementary!$A$1:$A$65536,0),1),"-")</f>
        <v>high population density</v>
      </c>
      <c r="K57" s="124" t="str">
        <f>IF(OR(E57="4",F57="4"),"-",INDEX([14]Names!$N$1:$N$65602,MATCH(B57,[14]Names!$F$1:$F$65602,0),1))</f>
        <v>-</v>
      </c>
      <c r="L57" s="125" t="str">
        <f>IF(OR(E57="4",F57="4"),INDEX([14]NamesElementary!$G$1:$G$65536,MATCH(B57,[14]NamesElementary!$A$1:$A$65536,0),1),INDEX([14]Names!$O$1:$O$65602,MATCH(B57,[14]Names!$F$1:$F$65602,0),1))</f>
        <v>kg</v>
      </c>
      <c r="M57" s="155" t="e">
        <f>3.6*M14</f>
        <v>#REF!</v>
      </c>
      <c r="N57" s="29">
        <v>1</v>
      </c>
      <c r="O57" s="1">
        <f>$AS57</f>
        <v>5.0949158853185388</v>
      </c>
      <c r="P57" s="31" t="str">
        <f>$AT57&amp;"; "&amp;$AI57</f>
        <v>(3,4,3,3,1,5); Tellurium</v>
      </c>
      <c r="Q57" s="155" t="e">
        <f>3.6*Q14</f>
        <v>#REF!</v>
      </c>
      <c r="R57" s="29">
        <v>1</v>
      </c>
      <c r="S57" s="1">
        <f>$AS57</f>
        <v>5.0949158853185388</v>
      </c>
      <c r="T57" s="31" t="str">
        <f>$AT57&amp;"; "&amp;$AI57</f>
        <v>(3,4,3,3,1,5); Tellurium</v>
      </c>
      <c r="U57" s="155" t="e">
        <f>3.6*U14</f>
        <v>#REF!</v>
      </c>
      <c r="V57" s="29">
        <v>1</v>
      </c>
      <c r="W57" s="1">
        <f>$AS57</f>
        <v>5.0949158853185388</v>
      </c>
      <c r="X57" s="31" t="str">
        <f>$AT57&amp;"; "&amp;$AI57</f>
        <v>(3,4,3,3,1,5); Tellurium</v>
      </c>
      <c r="Y57" s="182"/>
      <c r="Z57" s="259"/>
      <c r="AA57" s="259" t="e">
        <f>6.4/10000000*AA$54</f>
        <v>#REF!</v>
      </c>
      <c r="AB57" s="259"/>
      <c r="AC57" s="259"/>
      <c r="AD57" s="253"/>
      <c r="AE57" s="253"/>
      <c r="AF57" s="253"/>
      <c r="AG57" s="253"/>
      <c r="AH57" s="253"/>
      <c r="AI57" s="191" t="s">
        <v>469</v>
      </c>
      <c r="AJ57" s="10">
        <v>3</v>
      </c>
      <c r="AK57" s="50">
        <v>4</v>
      </c>
      <c r="AL57" s="50">
        <v>3</v>
      </c>
      <c r="AM57" s="50">
        <v>3</v>
      </c>
      <c r="AN57" s="50">
        <v>1</v>
      </c>
      <c r="AO57" s="50">
        <v>5</v>
      </c>
      <c r="AP57" s="50">
        <f>IF(OR($E57="4",$F57="4"),INDEX([14]NamesElementary!$J$1:$J$65536,MATCH($B57,[14]NamesElementary!$A$1:$A$65536,0),1),INDEX([14]Names!$W$1:$W$65602,MATCH($B57,[14]Names!$F$1:$F$65602,0),1))</f>
        <v>22</v>
      </c>
      <c r="AQ57" s="51">
        <f>INDEX([14]BasicUncertainty!$H$1:$H$65536,MATCH(AP57,[14]BasicUncertainty!$B$1:$B$65536,0),1)</f>
        <v>5</v>
      </c>
      <c r="AR57" s="87">
        <f>EXP(SQRT((LN(AU57)^2)+(LN(AV57)^2)+(LN(AW57)^2)+(LN(AX57)^2)+(LN(AY57)^2)+(LN(AZ57)^2)))</f>
        <v>1.2798586482969265</v>
      </c>
      <c r="AS57" s="88">
        <f>EXP(SQRT((LN(AU57)^2)+(LN(AV57)^2)+(LN(AW57)^2)+(LN(AX57)^2)+(LN(AY57)^2)+(LN(AZ57)^2)+LN(AQ57)^2))</f>
        <v>5.0949158853185388</v>
      </c>
      <c r="AT57" s="89" t="str">
        <f>CONCATENATE("(",AJ57,",",AK57,",",AL57,",",AM57,",",AN57,",",AO57,")")</f>
        <v>(3,4,3,3,1,5)</v>
      </c>
      <c r="AU57" s="52">
        <f>IF(AJ57=1,'[14]SDG^2 values'!$B$4,IF(AJ57=2,'[14]SDG^2 values'!$C$4,IF(AJ57=3,'[14]SDG^2 values'!$D$4,IF(AJ57=4,'[14]SDG^2 values'!$E$4,IF(AJ57=5,'[14]SDG^2 values'!$F$4,1)))))</f>
        <v>1.1000000000000001</v>
      </c>
      <c r="AV57" s="52">
        <f>IF(AK57=1,'[14]SDG^2 values'!$B$5,IF(AK57=2,'[14]SDG^2 values'!$C$5,IF(AK57=3,'[14]SDG^2 values'!$D$5,IF(AK57=4,'[14]SDG^2 values'!$E$5,IF(AK57=5,'[14]SDG^2 values'!$F$5,1)))))</f>
        <v>1.1000000000000001</v>
      </c>
      <c r="AW57" s="52">
        <f>IF(AL57=1,'[14]SDG^2 values'!$B$6,IF(AL57=2,'[14]SDG^2 values'!$C$6,IF(AL57=3,'[14]SDG^2 values'!$D$6,IF(AL57=4,'[14]SDG^2 values'!$E$6,IF(AL57=5,'[14]SDG^2 values'!$F$6,1)))))</f>
        <v>1.1000000000000001</v>
      </c>
      <c r="AX57" s="52">
        <f>IF(AM57=1,'[14]SDG^2 values'!$B$7,IF(AM57=2,'[14]SDG^2 values'!$C$7,IF(AM57=3,'[14]SDG^2 values'!$D$7,IF(AM57=4,'[14]SDG^2 values'!$E$7,IF(AM57=5,'[14]SDG^2 values'!$F$7,1)))))</f>
        <v>1.02</v>
      </c>
      <c r="AY57" s="52">
        <f>IF(AN57=1,'[14]SDG^2 values'!$B$8,IF(AN57=2,'[14]SDG^2 values'!$C$8,IF(AN57=3,'[14]SDG^2 values'!$D$8,IF(AN57=4,'[14]SDG^2 values'!$E$8,IF(AN57=5,'[14]SDG^2 values'!$F$8,1)))))</f>
        <v>1</v>
      </c>
      <c r="AZ57" s="52">
        <f>IF(AO57=1,'[14]SDG^2 values'!$B$9,IF(AO57=2,'[14]SDG^2 values'!$C$9,IF(AO57=3,'[14]SDG^2 values'!$D$9,IF(AO57=4,'[14]SDG^2 values'!$E$9,IF(AO57=5,'[14]SDG^2 values'!$F$9,1)))))</f>
        <v>1.2</v>
      </c>
      <c r="BC57" s="7"/>
      <c r="BD57" s="7"/>
    </row>
    <row r="58" spans="2:56" ht="24" outlineLevel="1">
      <c r="B58" s="226">
        <v>32118</v>
      </c>
      <c r="C58" s="37"/>
      <c r="D58" s="151" t="s">
        <v>525</v>
      </c>
      <c r="E58" s="152" t="s">
        <v>526</v>
      </c>
      <c r="F58" s="153" t="s">
        <v>402</v>
      </c>
      <c r="G58" s="144" t="str">
        <f>IF(OR(E58="4",F58="4"),INDEX([14]NamesElementary!$B$1:$B$65536,MATCH(B58,[14]NamesElementary!$A$1:$A$65536,0),1),INDEX([14]Names!$J$1:$J$65602,MATCH(B58,[14]Names!$F$1:$F$65602,0),1))</f>
        <v>cadmium chloride, semiconductor-grade, at plant</v>
      </c>
      <c r="H58" s="125" t="str">
        <f>IF(OR(E58="4",F58="4"),"-",INDEX([14]Names!$K$1:$K$65602,MATCH(B58,[14]Names!$F$1:$F$65602,0),1))</f>
        <v>US</v>
      </c>
      <c r="I58" s="154" t="str">
        <f>IF(OR(E58="4",F58="4"),INDEX([14]NamesElementary!$D$1:$D$65536,MATCH($B58,[14]NamesElementary!$A$1:$A$65536,0),1),"-")</f>
        <v>-</v>
      </c>
      <c r="J58" s="123" t="str">
        <f>IF(OR(E58="4",F58="4"),INDEX([14]NamesElementary!$E$1:$E$65536,MATCH($B58,[14]NamesElementary!$A$1:$A$65536,0),1),"-")</f>
        <v>-</v>
      </c>
      <c r="K58" s="124">
        <f>IF(OR(E58="4",F58="4"),"-",INDEX([14]Names!$N$1:$N$65602,MATCH(B58,[14]Names!$F$1:$F$65602,0),1))</f>
        <v>0</v>
      </c>
      <c r="L58" s="125" t="str">
        <f>IF(OR(E58="4",F58="4"),INDEX([14]NamesElementary!$G$1:$G$65536,MATCH(B58,[14]NamesElementary!$A$1:$A$65536,0),1),INDEX([14]Names!$O$1:$O$65602,MATCH(B58,[14]Names!$F$1:$F$65602,0),1))</f>
        <v>kg</v>
      </c>
      <c r="M58" s="155" t="str">
        <f>Y58</f>
        <v>-</v>
      </c>
      <c r="N58" s="29">
        <v>1</v>
      </c>
      <c r="O58" s="1">
        <f>$AS58</f>
        <v>1.0807255723670659</v>
      </c>
      <c r="P58" s="31" t="str">
        <f>$AT58&amp;"; "&amp;$AI58</f>
        <v>(1,2,2,1,1,3); literature, assumption</v>
      </c>
      <c r="Q58" s="155">
        <f>AC58</f>
        <v>0</v>
      </c>
      <c r="R58" s="29">
        <v>1</v>
      </c>
      <c r="S58" s="1">
        <f>$AS58</f>
        <v>1.0807255723670659</v>
      </c>
      <c r="T58" s="31" t="str">
        <f>$AT58&amp;"; "&amp;$AI58</f>
        <v>(1,2,2,1,1,3); literature, assumption</v>
      </c>
      <c r="U58" s="155">
        <f>AJ58</f>
        <v>1</v>
      </c>
      <c r="V58" s="29">
        <v>1</v>
      </c>
      <c r="W58" s="1">
        <f>$AS58</f>
        <v>1.0807255723670659</v>
      </c>
      <c r="X58" s="31" t="str">
        <f>$AT58&amp;"; "&amp;$AI58</f>
        <v>(1,2,2,1,1,3); literature, assumption</v>
      </c>
      <c r="Y58" s="183" t="s">
        <v>402</v>
      </c>
      <c r="Z58" s="281" t="s">
        <v>402</v>
      </c>
      <c r="AA58" s="259"/>
      <c r="AB58" s="259" t="e">
        <f>480/10000000*AB$54</f>
        <v>#REF!</v>
      </c>
      <c r="AD58" s="253"/>
      <c r="AE58" s="253"/>
      <c r="AF58" s="253"/>
      <c r="AG58" s="253"/>
      <c r="AH58" s="253"/>
      <c r="AI58" s="115" t="s">
        <v>660</v>
      </c>
      <c r="AJ58" s="11">
        <f t="shared" ref="AJ58:AO58" si="17">AJ$10</f>
        <v>1</v>
      </c>
      <c r="AK58" s="11">
        <f t="shared" si="17"/>
        <v>2</v>
      </c>
      <c r="AL58" s="11">
        <v>2</v>
      </c>
      <c r="AM58" s="11">
        <f t="shared" si="17"/>
        <v>1</v>
      </c>
      <c r="AN58" s="11">
        <f t="shared" si="17"/>
        <v>1</v>
      </c>
      <c r="AO58" s="11">
        <f t="shared" si="17"/>
        <v>3</v>
      </c>
      <c r="AP58" s="50">
        <f>IF(OR($E58="4",$F58="4"),INDEX([14]NamesElementary!$J$1:$J$65536,MATCH($B58,[14]NamesElementary!$A$1:$A$65536,0),1),INDEX([14]Names!$W$1:$W$65602,MATCH($B58,[14]Names!$F$1:$F$65602,0),1))</f>
        <v>3</v>
      </c>
      <c r="AQ58" s="51">
        <f>INDEX([14]BasicUncertainty!$H$1:$H$65536,MATCH(AP58,[14]BasicUncertainty!$B$1:$B$65536,0),1)</f>
        <v>1.05</v>
      </c>
      <c r="AR58" s="87">
        <f>EXP(SQRT((LN(AU58)^2)+(LN(AV58)^2)+(LN(AW58)^2)+(LN(AX58)^2)+(LN(AY58)^2)+(LN(AZ58)^2)))</f>
        <v>1.0622454211725116</v>
      </c>
      <c r="AS58" s="88">
        <f>EXP(SQRT((LN(AU58)^2)+(LN(AV58)^2)+(LN(AW58)^2)+(LN(AX58)^2)+(LN(AY58)^2)+(LN(AZ58)^2)+LN(AQ58)^2))</f>
        <v>1.0807255723670659</v>
      </c>
      <c r="AT58" s="89" t="str">
        <f>CONCATENATE("(",AJ58,",",AK58,",",AL58,",",AM58,",",AN58,",",AO58,")")</f>
        <v>(1,2,2,1,1,3)</v>
      </c>
      <c r="AU58" s="52">
        <f>IF(AJ58=1,'[14]SDG^2 values'!$B$4,IF(AJ58=2,'[14]SDG^2 values'!$C$4,IF(AJ58=3,'[14]SDG^2 values'!$D$4,IF(AJ58=4,'[14]SDG^2 values'!$E$4,IF(AJ58=5,'[14]SDG^2 values'!$F$4,1)))))</f>
        <v>1</v>
      </c>
      <c r="AV58" s="52">
        <f>IF(AK58=1,'[14]SDG^2 values'!$B$5,IF(AK58=2,'[14]SDG^2 values'!$C$5,IF(AK58=3,'[14]SDG^2 values'!$D$5,IF(AK58=4,'[14]SDG^2 values'!$E$5,IF(AK58=5,'[14]SDG^2 values'!$F$5,1)))))</f>
        <v>1.02</v>
      </c>
      <c r="AW58" s="52">
        <f>IF(AL58=1,'[14]SDG^2 values'!$B$6,IF(AL58=2,'[14]SDG^2 values'!$C$6,IF(AL58=3,'[14]SDG^2 values'!$D$6,IF(AL58=4,'[14]SDG^2 values'!$E$6,IF(AL58=5,'[14]SDG^2 values'!$F$6,1)))))</f>
        <v>1.03</v>
      </c>
      <c r="AX58" s="52">
        <f>IF(AM58=1,'[14]SDG^2 values'!$B$7,IF(AM58=2,'[14]SDG^2 values'!$C$7,IF(AM58=3,'[14]SDG^2 values'!$D$7,IF(AM58=4,'[14]SDG^2 values'!$E$7,IF(AM58=5,'[14]SDG^2 values'!$F$7,1)))))</f>
        <v>1</v>
      </c>
      <c r="AY58" s="52">
        <f>IF(AN58=1,'[14]SDG^2 values'!$B$8,IF(AN58=2,'[14]SDG^2 values'!$C$8,IF(AN58=3,'[14]SDG^2 values'!$D$8,IF(AN58=4,'[14]SDG^2 values'!$E$8,IF(AN58=5,'[14]SDG^2 values'!$F$8,1)))))</f>
        <v>1</v>
      </c>
      <c r="AZ58" s="52">
        <f>IF(AO58=1,'[14]SDG^2 values'!$B$9,IF(AO58=2,'[14]SDG^2 values'!$C$9,IF(AO58=3,'[14]SDG^2 values'!$D$9,IF(AO58=4,'[14]SDG^2 values'!$E$9,IF(AO58=5,'[14]SDG^2 values'!$F$9,1)))))</f>
        <v>1.05</v>
      </c>
      <c r="BC58" s="7"/>
      <c r="BD58" s="7"/>
    </row>
    <row r="59" spans="2:56">
      <c r="G59" s="8" t="s">
        <v>135</v>
      </c>
      <c r="AA59" s="259" t="e">
        <f>6.2/10000000*AA$54</f>
        <v>#REF!</v>
      </c>
      <c r="BC59" s="7"/>
      <c r="BD59" s="7"/>
    </row>
    <row r="60" spans="2:56">
      <c r="BC60" s="7"/>
      <c r="BD60" s="7"/>
    </row>
    <row r="61" spans="2:56">
      <c r="BC61" s="7"/>
      <c r="BD61" s="7"/>
    </row>
    <row r="62" spans="2:56">
      <c r="BC62" s="7"/>
      <c r="BD62" s="7"/>
    </row>
    <row r="63" spans="2:56">
      <c r="BC63" s="7"/>
      <c r="BD63" s="7"/>
    </row>
    <row r="64" spans="2:56">
      <c r="BC64" s="7"/>
      <c r="BD64" s="7"/>
    </row>
    <row r="66" spans="3:56">
      <c r="C66" s="7"/>
      <c r="D66" s="7"/>
      <c r="G66" s="7"/>
      <c r="N66" s="7"/>
      <c r="O66" s="7"/>
      <c r="P66" s="7"/>
      <c r="R66" s="7"/>
      <c r="S66" s="7"/>
      <c r="T66" s="7"/>
      <c r="V66" s="7"/>
      <c r="W66" s="7"/>
      <c r="X66" s="7"/>
      <c r="Y66" s="7"/>
      <c r="Z66" s="7"/>
      <c r="AA66" s="7"/>
      <c r="AB66" s="7"/>
      <c r="AC66" s="7"/>
      <c r="AD66" s="7"/>
      <c r="AE66" s="7"/>
      <c r="AF66" s="7"/>
      <c r="AG66" s="7"/>
      <c r="AH66" s="7"/>
      <c r="AI66" s="7"/>
      <c r="AJ66" s="7"/>
      <c r="AK66" s="7"/>
      <c r="AL66" s="7"/>
      <c r="AM66" s="7"/>
      <c r="AN66" s="7"/>
      <c r="AO66" s="7"/>
      <c r="AP66" s="7"/>
      <c r="AQ66" s="7"/>
      <c r="AR66" s="7"/>
      <c r="AS66" s="7"/>
      <c r="AT66" s="7"/>
      <c r="BC66" s="7"/>
      <c r="BD66" s="7"/>
    </row>
    <row r="71" spans="3:56">
      <c r="C71" s="7"/>
      <c r="D71" s="7"/>
      <c r="G71" s="7"/>
      <c r="N71" s="7"/>
      <c r="O71" s="7"/>
      <c r="P71" s="7"/>
      <c r="R71" s="7"/>
      <c r="S71" s="7"/>
      <c r="T71" s="7"/>
      <c r="V71" s="7"/>
      <c r="W71" s="7"/>
      <c r="X71" s="7"/>
      <c r="Y71" s="7"/>
      <c r="Z71" s="7"/>
      <c r="AA71" s="7"/>
      <c r="AB71" s="7"/>
      <c r="AC71" s="7"/>
      <c r="AD71" s="7"/>
      <c r="AE71" s="7"/>
      <c r="AF71" s="7"/>
      <c r="AG71" s="7"/>
      <c r="AH71" s="7"/>
      <c r="AI71" s="7"/>
      <c r="AJ71" s="7"/>
      <c r="AK71" s="7"/>
      <c r="AL71" s="7"/>
      <c r="AM71" s="7"/>
      <c r="AN71" s="7"/>
      <c r="AO71" s="7"/>
      <c r="AP71" s="7"/>
      <c r="AQ71" s="7"/>
      <c r="AR71" s="7"/>
      <c r="AS71" s="7"/>
      <c r="AT71" s="7"/>
      <c r="BC71" s="7"/>
      <c r="BD71" s="7"/>
    </row>
  </sheetData>
  <phoneticPr fontId="0" type="noConversion"/>
  <conditionalFormatting sqref="AJ57:AO58 AJ46:AO53 AJ7:AO8 AL43:AO44 AJ10:AO11 AJ14:AO42">
    <cfRule type="cellIs" dxfId="159" priority="7" stopIfTrue="1" operator="notBetween">
      <formula>1</formula>
      <formula>5</formula>
    </cfRule>
  </conditionalFormatting>
  <conditionalFormatting sqref="AU20:AZ28 AU43:AZ45 AU48:AZ53 AU57:AZ58 AU7:AZ8 AU10:AZ11 AU14:AZ17">
    <cfRule type="cellIs" dxfId="158" priority="8" stopIfTrue="1" operator="equal">
      <formula>0</formula>
    </cfRule>
  </conditionalFormatting>
  <conditionalFormatting sqref="AJ9:AO9">
    <cfRule type="cellIs" dxfId="157" priority="5" stopIfTrue="1" operator="notBetween">
      <formula>1</formula>
      <formula>5</formula>
    </cfRule>
  </conditionalFormatting>
  <conditionalFormatting sqref="AU9:AZ9">
    <cfRule type="cellIs" dxfId="156" priority="6" stopIfTrue="1" operator="equal">
      <formula>0</formula>
    </cfRule>
  </conditionalFormatting>
  <conditionalFormatting sqref="AJ12:AO12">
    <cfRule type="cellIs" dxfId="155" priority="3" stopIfTrue="1" operator="notBetween">
      <formula>1</formula>
      <formula>5</formula>
    </cfRule>
  </conditionalFormatting>
  <conditionalFormatting sqref="AU12:AZ12">
    <cfRule type="cellIs" dxfId="154" priority="4" stopIfTrue="1" operator="equal">
      <formula>0</formula>
    </cfRule>
  </conditionalFormatting>
  <conditionalFormatting sqref="AJ13:AO13">
    <cfRule type="cellIs" dxfId="153" priority="1" stopIfTrue="1" operator="notBetween">
      <formula>1</formula>
      <formula>5</formula>
    </cfRule>
  </conditionalFormatting>
  <conditionalFormatting sqref="AU13:AZ13">
    <cfRule type="cellIs" dxfId="152" priority="2" stopIfTrue="1" operator="equal">
      <formula>0</formula>
    </cfRule>
  </conditionalFormatting>
  <dataValidations disablePrompts="1" xWindow="608" yWindow="187" count="1">
    <dataValidation allowBlank="1" showInputMessage="1" showErrorMessage="1" promptTitle="Do not change" prompt="This field is automatically updated from the names-list" sqref="AP57:AP58 AP10:AP49"/>
  </dataValidations>
  <pageMargins left="0.78740157499999996" right="0.78740157499999996" top="0.984251969" bottom="0.984251969" header="0.4921259845" footer="0.4921259845"/>
  <pageSetup paperSize="9" scale="52" orientation="landscape"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enableFormatConditionsCalculation="0">
    <tabColor indexed="10"/>
    <pageSetUpPr fitToPage="1"/>
  </sheetPr>
  <dimension ref="A1:AU46"/>
  <sheetViews>
    <sheetView zoomScale="75" workbookViewId="0">
      <pane xSplit="16" ySplit="6" topLeftCell="Q7" activePane="bottomRight" state="frozen"/>
      <selection activeCell="L25" sqref="L25"/>
      <selection pane="topRight" activeCell="L25" sqref="L25"/>
      <selection pane="bottomLeft" activeCell="L25" sqref="L25"/>
      <selection pane="bottomRight" activeCell="P14" sqref="P14"/>
    </sheetView>
  </sheetViews>
  <sheetFormatPr defaultColWidth="11.42578125" defaultRowHeight="12" outlineLevelRow="1" outlineLevelCol="1"/>
  <cols>
    <col min="1" max="1" width="6" style="7" customWidth="1" outlineLevel="1"/>
    <col min="2" max="2" width="13.28515625" style="158" customWidth="1"/>
    <col min="3" max="3" width="3.7109375" style="159" hidden="1" customWidth="1"/>
    <col min="4" max="4" width="3.140625" style="7" hidden="1" customWidth="1"/>
    <col min="5" max="5" width="2.7109375" style="7" hidden="1" customWidth="1"/>
    <col min="6" max="6" width="33.85546875" style="8" customWidth="1"/>
    <col min="7" max="7" width="6" style="7" customWidth="1"/>
    <col min="8" max="8" width="5.7109375" style="7" hidden="1" customWidth="1" outlineLevel="1"/>
    <col min="9" max="9" width="19.42578125" style="7" hidden="1" customWidth="1" outlineLevel="1"/>
    <col min="10" max="10" width="3.28515625" style="7" customWidth="1" collapsed="1"/>
    <col min="11" max="11" width="5.140625" style="7" customWidth="1"/>
    <col min="12" max="12" width="11.42578125" style="7"/>
    <col min="13" max="13" width="2.42578125" style="140" hidden="1" customWidth="1" outlineLevel="1"/>
    <col min="14" max="14" width="4.28515625" style="140" hidden="1" customWidth="1" outlineLevel="1"/>
    <col min="15" max="15" width="30.85546875" style="140" hidden="1" customWidth="1" outlineLevel="1"/>
    <col min="16" max="16" width="11.42578125" style="7" collapsed="1"/>
    <col min="17" max="17" width="2.42578125" style="140" customWidth="1" outlineLevel="1"/>
    <col min="18" max="18" width="4.28515625" style="140" customWidth="1" outlineLevel="1"/>
    <col min="19" max="19" width="37.85546875" style="140" customWidth="1" outlineLevel="1"/>
    <col min="20" max="22" width="10.28515625" style="225" customWidth="1"/>
    <col min="23" max="23" width="8.5703125" style="225" customWidth="1"/>
    <col min="24" max="24" width="8.5703125" style="225" bestFit="1" customWidth="1"/>
    <col min="25" max="25" width="10.28515625" style="174" customWidth="1"/>
    <col min="26" max="26" width="23.140625" style="79" customWidth="1"/>
    <col min="27" max="27" width="4" style="47" bestFit="1" customWidth="1"/>
    <col min="28" max="28" width="6.28515625" style="39" bestFit="1" customWidth="1"/>
    <col min="29" max="29" width="5.85546875" style="39" bestFit="1" customWidth="1"/>
    <col min="30" max="30" width="4.7109375" style="39" bestFit="1" customWidth="1"/>
    <col min="31" max="31" width="5.28515625" style="39" bestFit="1" customWidth="1"/>
    <col min="32" max="32" width="5.85546875" style="39" bestFit="1" customWidth="1"/>
    <col min="33" max="34" width="6.85546875" style="39" bestFit="1" customWidth="1"/>
    <col min="35" max="35" width="8.28515625" style="39" bestFit="1" customWidth="1"/>
    <col min="36" max="36" width="9.140625" style="39" bestFit="1" customWidth="1"/>
    <col min="37" max="37" width="12.140625" style="39" customWidth="1"/>
    <col min="38" max="40" width="5.42578125" style="7" customWidth="1"/>
    <col min="41" max="41" width="5.85546875" style="7" customWidth="1"/>
    <col min="42" max="42" width="5.42578125" style="7" customWidth="1"/>
    <col min="43" max="43" width="5.28515625" style="7" customWidth="1"/>
    <col min="44" max="45" width="11.42578125" style="7"/>
    <col min="48" max="16384" width="11.42578125" style="7"/>
  </cols>
  <sheetData>
    <row r="1" spans="1:44">
      <c r="A1" s="36"/>
      <c r="B1" s="34"/>
      <c r="C1" s="35"/>
      <c r="D1" s="36"/>
      <c r="E1" s="36"/>
      <c r="F1" s="37" t="s">
        <v>510</v>
      </c>
      <c r="G1" s="36"/>
      <c r="H1" s="36"/>
      <c r="I1" s="36"/>
      <c r="J1" s="36"/>
      <c r="K1" s="36"/>
      <c r="L1" s="146">
        <f>A7</f>
        <v>32074</v>
      </c>
      <c r="M1" s="22"/>
      <c r="N1" s="22"/>
      <c r="O1" s="22"/>
      <c r="P1" s="122">
        <f>A8</f>
        <v>32075</v>
      </c>
      <c r="Q1" s="22"/>
      <c r="R1" s="22"/>
      <c r="S1" s="22"/>
      <c r="T1" s="224"/>
      <c r="U1" s="224"/>
      <c r="V1" s="224"/>
      <c r="W1" s="229"/>
      <c r="X1" s="229"/>
      <c r="Y1" s="198"/>
      <c r="AA1" s="80"/>
      <c r="AB1" s="81"/>
      <c r="AC1" s="81"/>
      <c r="AD1" s="81"/>
      <c r="AE1" s="81"/>
      <c r="AF1" s="81"/>
    </row>
    <row r="2" spans="1:44" ht="36">
      <c r="A2" s="36"/>
      <c r="B2" s="147"/>
      <c r="C2" s="35" t="s">
        <v>511</v>
      </c>
      <c r="D2" s="147">
        <v>3503</v>
      </c>
      <c r="E2" s="147">
        <v>3504</v>
      </c>
      <c r="F2" s="147">
        <v>3702</v>
      </c>
      <c r="G2" s="147">
        <v>3703</v>
      </c>
      <c r="H2" s="147">
        <v>3506</v>
      </c>
      <c r="I2" s="147">
        <v>3507</v>
      </c>
      <c r="J2" s="147">
        <v>3508</v>
      </c>
      <c r="K2" s="147">
        <v>3706</v>
      </c>
      <c r="L2" s="147">
        <v>3707</v>
      </c>
      <c r="M2" s="23">
        <v>3708</v>
      </c>
      <c r="N2" s="23">
        <v>3709</v>
      </c>
      <c r="O2" s="134">
        <v>3792</v>
      </c>
      <c r="P2" s="147">
        <v>3707</v>
      </c>
      <c r="Q2" s="23">
        <v>3708</v>
      </c>
      <c r="R2" s="23">
        <v>3709</v>
      </c>
      <c r="S2" s="134">
        <v>3792</v>
      </c>
      <c r="T2" s="275" t="s">
        <v>464</v>
      </c>
      <c r="U2" s="275" t="s">
        <v>464</v>
      </c>
      <c r="V2" s="275" t="s">
        <v>689</v>
      </c>
      <c r="W2" s="275" t="s">
        <v>506</v>
      </c>
      <c r="X2" s="275" t="s">
        <v>327</v>
      </c>
      <c r="Y2" s="275" t="s">
        <v>427</v>
      </c>
      <c r="Z2" s="112" t="s">
        <v>264</v>
      </c>
      <c r="AA2" s="10" t="s">
        <v>249</v>
      </c>
      <c r="AB2" s="10" t="s">
        <v>250</v>
      </c>
      <c r="AC2" s="10" t="s">
        <v>251</v>
      </c>
      <c r="AD2" s="10" t="s">
        <v>252</v>
      </c>
      <c r="AE2" s="10" t="s">
        <v>253</v>
      </c>
      <c r="AF2" s="10" t="s">
        <v>254</v>
      </c>
      <c r="AG2" s="82" t="s">
        <v>255</v>
      </c>
      <c r="AH2" s="82" t="s">
        <v>256</v>
      </c>
      <c r="AI2" s="11" t="s">
        <v>257</v>
      </c>
      <c r="AJ2" s="12" t="s">
        <v>390</v>
      </c>
      <c r="AK2" s="43" t="s">
        <v>263</v>
      </c>
      <c r="AL2" s="40" t="s">
        <v>249</v>
      </c>
      <c r="AM2" s="40" t="s">
        <v>250</v>
      </c>
      <c r="AN2" s="40" t="s">
        <v>251</v>
      </c>
      <c r="AO2" s="40" t="s">
        <v>252</v>
      </c>
      <c r="AP2" s="40" t="s">
        <v>253</v>
      </c>
      <c r="AQ2" s="40" t="s">
        <v>254</v>
      </c>
    </row>
    <row r="3" spans="1:44" ht="60" customHeight="1">
      <c r="A3" s="36" t="s">
        <v>398</v>
      </c>
      <c r="B3" s="166"/>
      <c r="C3" s="35">
        <v>401</v>
      </c>
      <c r="D3" s="167" t="s">
        <v>514</v>
      </c>
      <c r="E3" s="167" t="s">
        <v>515</v>
      </c>
      <c r="F3" s="132" t="s">
        <v>516</v>
      </c>
      <c r="G3" s="41" t="s">
        <v>517</v>
      </c>
      <c r="H3" s="41" t="s">
        <v>518</v>
      </c>
      <c r="I3" s="41" t="s">
        <v>519</v>
      </c>
      <c r="J3" s="41" t="s">
        <v>520</v>
      </c>
      <c r="K3" s="41" t="s">
        <v>394</v>
      </c>
      <c r="L3" s="177" t="str">
        <f>INDEX([14]Names!$J$1:$J$65602,MATCH(L$1,[14]Names!$F$1:$F$65602,0),1)</f>
        <v>photovoltaic laminate, CdTe, at plant</v>
      </c>
      <c r="M3" s="25" t="s">
        <v>265</v>
      </c>
      <c r="N3" s="25" t="s">
        <v>266</v>
      </c>
      <c r="O3" s="136" t="s">
        <v>548</v>
      </c>
      <c r="P3" s="177" t="str">
        <f>INDEX([14]Names!$J$1:$J$65602,MATCH(P$1,[14]Names!$F$1:$F$65602,0),1)</f>
        <v>photovoltaic laminate, CdTe, mix, at regional storage</v>
      </c>
      <c r="Q3" s="25" t="s">
        <v>265</v>
      </c>
      <c r="R3" s="25" t="s">
        <v>266</v>
      </c>
      <c r="S3" s="136" t="s">
        <v>548</v>
      </c>
      <c r="T3" s="187" t="s">
        <v>481</v>
      </c>
      <c r="U3" s="187" t="s">
        <v>468</v>
      </c>
      <c r="V3" s="187" t="s">
        <v>687</v>
      </c>
      <c r="W3" s="257" t="s">
        <v>507</v>
      </c>
      <c r="X3" s="257" t="s">
        <v>326</v>
      </c>
      <c r="Y3" s="187" t="s">
        <v>428</v>
      </c>
      <c r="Z3" s="113"/>
      <c r="AA3" s="42"/>
      <c r="AB3" s="10"/>
      <c r="AC3" s="10"/>
      <c r="AD3" s="10"/>
      <c r="AE3" s="10"/>
      <c r="AF3" s="10"/>
      <c r="AG3" s="9"/>
      <c r="AH3" s="9"/>
      <c r="AI3" s="11" t="s">
        <v>267</v>
      </c>
      <c r="AJ3" s="12" t="s">
        <v>267</v>
      </c>
      <c r="AK3" s="83"/>
    </row>
    <row r="4" spans="1:44" ht="12" customHeight="1">
      <c r="A4" s="36"/>
      <c r="B4" s="166"/>
      <c r="C4" s="35">
        <v>662</v>
      </c>
      <c r="D4" s="13"/>
      <c r="E4" s="13"/>
      <c r="F4" s="132" t="s">
        <v>517</v>
      </c>
      <c r="G4" s="132"/>
      <c r="H4" s="132"/>
      <c r="I4" s="132"/>
      <c r="J4" s="132"/>
      <c r="K4" s="132"/>
      <c r="L4" s="177" t="str">
        <f>INDEX([14]Names!$K$1:$K$65602,MATCH(L$1,[14]Names!$F$1:$F$65602,0),1)</f>
        <v>DE</v>
      </c>
      <c r="M4" s="27"/>
      <c r="N4" s="27"/>
      <c r="O4" s="201"/>
      <c r="P4" s="177" t="str">
        <f>INDEX([14]Names!$K$1:$K$65602,MATCH(P$1,[14]Names!$F$1:$F$65602,0),1)</f>
        <v>RER</v>
      </c>
      <c r="Q4" s="27"/>
      <c r="R4" s="27"/>
      <c r="S4" s="201"/>
      <c r="T4" s="187" t="s">
        <v>268</v>
      </c>
      <c r="U4" s="187" t="s">
        <v>268</v>
      </c>
      <c r="V4" s="187" t="s">
        <v>268</v>
      </c>
      <c r="W4" s="257" t="s">
        <v>51</v>
      </c>
      <c r="X4" s="257" t="s">
        <v>268</v>
      </c>
      <c r="Y4" s="187"/>
      <c r="Z4" s="114"/>
      <c r="AA4" s="44" t="s">
        <v>269</v>
      </c>
      <c r="AI4" s="45"/>
      <c r="AJ4" s="45"/>
      <c r="AK4" s="46"/>
    </row>
    <row r="5" spans="1:44">
      <c r="A5" s="36"/>
      <c r="B5" s="166"/>
      <c r="C5" s="35">
        <v>493</v>
      </c>
      <c r="D5" s="13"/>
      <c r="E5" s="13"/>
      <c r="F5" s="132" t="s">
        <v>520</v>
      </c>
      <c r="G5" s="132"/>
      <c r="H5" s="132"/>
      <c r="I5" s="132"/>
      <c r="J5" s="132"/>
      <c r="K5" s="132"/>
      <c r="L5" s="177">
        <f>INDEX([14]Names!$N$1:$N$65602,MATCH(L$1,[14]Names!$F$1:$F$65602,0),1)</f>
        <v>1</v>
      </c>
      <c r="M5" s="27"/>
      <c r="N5" s="27"/>
      <c r="O5" s="201"/>
      <c r="P5" s="177">
        <f>INDEX([14]Names!$N$1:$N$65602,MATCH(P$1,[14]Names!$F$1:$F$65602,0),1)</f>
        <v>1</v>
      </c>
      <c r="Q5" s="27"/>
      <c r="R5" s="27"/>
      <c r="S5" s="201"/>
      <c r="T5" s="187"/>
      <c r="U5" s="187"/>
      <c r="V5" s="187"/>
      <c r="W5" s="257"/>
      <c r="X5" s="257"/>
      <c r="Y5" s="187"/>
    </row>
    <row r="6" spans="1:44">
      <c r="A6" s="36"/>
      <c r="B6" s="166"/>
      <c r="C6" s="35">
        <v>403</v>
      </c>
      <c r="D6" s="13"/>
      <c r="E6" s="13"/>
      <c r="F6" s="132" t="s">
        <v>394</v>
      </c>
      <c r="G6" s="352"/>
      <c r="H6" s="132"/>
      <c r="I6" s="132"/>
      <c r="J6" s="132"/>
      <c r="K6" s="132"/>
      <c r="L6" s="177" t="str">
        <f>INDEX([14]Names!$O$1:$O$65602,MATCH(L$1,[14]Names!$F$1:$F$65602,0),1)</f>
        <v>m2</v>
      </c>
      <c r="M6" s="27"/>
      <c r="N6" s="27"/>
      <c r="O6" s="201"/>
      <c r="P6" s="177" t="str">
        <f>INDEX([14]Names!$O$1:$O$65602,MATCH(P$1,[14]Names!$F$1:$F$65602,0),1)</f>
        <v>m2</v>
      </c>
      <c r="Q6" s="27"/>
      <c r="R6" s="27"/>
      <c r="S6" s="201"/>
      <c r="T6" s="188" t="s">
        <v>396</v>
      </c>
      <c r="U6" s="188" t="s">
        <v>396</v>
      </c>
      <c r="V6" s="188" t="s">
        <v>396</v>
      </c>
      <c r="W6" s="257" t="s">
        <v>396</v>
      </c>
      <c r="X6" s="257" t="s">
        <v>403</v>
      </c>
      <c r="Y6" s="188" t="s">
        <v>522</v>
      </c>
      <c r="AA6" s="48"/>
      <c r="AB6" s="48"/>
      <c r="AC6" s="48"/>
      <c r="AD6" s="48"/>
      <c r="AE6" s="48"/>
      <c r="AF6" s="48"/>
      <c r="AI6" s="49"/>
      <c r="AJ6" s="49"/>
      <c r="AK6" s="85"/>
    </row>
    <row r="7" spans="1:44">
      <c r="A7" s="226">
        <v>32074</v>
      </c>
      <c r="B7" s="146"/>
      <c r="C7" s="169"/>
      <c r="D7" s="11" t="s">
        <v>402</v>
      </c>
      <c r="E7" s="170">
        <v>0</v>
      </c>
      <c r="F7" s="145" t="str">
        <f>IF(OR(D7="4",E7="4"),INDEX([14]NamesElementary!$B$1:$B$65536,MATCH(A7,[14]NamesElementary!$A$1:$A$65536,0),1),INDEX([14]Names!$J$1:$J$65602,MATCH(A7,[14]Names!$F$1:$F$65602,0),1))</f>
        <v>photovoltaic laminate, CdTe, at plant</v>
      </c>
      <c r="G7" s="16" t="str">
        <f>IF(OR(D7="4",E7="4"),"-",INDEX([14]Names!$K$1:$K$65602,MATCH(A7,[14]Names!$F$1:$F$65602,0),1))</f>
        <v>DE</v>
      </c>
      <c r="H7" s="14" t="str">
        <f>IF(OR(D7="4",E7="4"),INDEX([14]NamesElementary!$D$1:$D$65536,MATCH($A7,[14]NamesElementary!$A$1:$A$65536,0),1),"-")</f>
        <v>-</v>
      </c>
      <c r="I7" s="14" t="str">
        <f>IF(OR(D7="4",E7="4"),INDEX([14]NamesElementary!$E$1:$E$65536,MATCH($A7,[14]NamesElementary!$A$1:$A$65536,0),1),"-")</f>
        <v>-</v>
      </c>
      <c r="J7" s="15">
        <f>IF(OR(D7="4",E7="4"),"-",INDEX([14]Names!$N$1:$N$65602,MATCH(A7,[14]Names!$F$1:$F$65602,0),1))</f>
        <v>1</v>
      </c>
      <c r="K7" s="16" t="str">
        <f>IF(OR(D7="4",E7="4"),INDEX([14]NamesElementary!$G$1:$G$65536,MATCH(A7,[14]NamesElementary!$A$1:$A$65536,0),1),INDEX([14]Names!$O$1:$O$65602,MATCH(A7,[14]Names!$F$1:$F$65602,0),1))</f>
        <v>m2</v>
      </c>
      <c r="L7" s="149">
        <v>1</v>
      </c>
      <c r="M7" s="29"/>
      <c r="N7" s="30"/>
      <c r="O7" s="139"/>
      <c r="P7" s="149">
        <v>0</v>
      </c>
      <c r="Q7" s="29"/>
      <c r="R7" s="1"/>
      <c r="S7" s="139"/>
      <c r="T7" s="182"/>
      <c r="U7" s="182"/>
      <c r="V7" s="182"/>
      <c r="W7" s="259"/>
      <c r="X7" s="259"/>
      <c r="Y7" s="180"/>
      <c r="Z7" s="115"/>
      <c r="AA7" s="10"/>
      <c r="AB7" s="50"/>
      <c r="AC7" s="50"/>
      <c r="AD7" s="50"/>
      <c r="AE7" s="50"/>
      <c r="AF7" s="50"/>
      <c r="AG7" s="50"/>
      <c r="AH7" s="51"/>
      <c r="AI7" s="87"/>
      <c r="AJ7" s="88"/>
      <c r="AK7" s="89"/>
      <c r="AL7" s="52"/>
      <c r="AM7" s="52"/>
      <c r="AN7" s="52"/>
      <c r="AO7" s="52"/>
      <c r="AP7" s="52"/>
      <c r="AQ7" s="52"/>
    </row>
    <row r="8" spans="1:44" ht="24">
      <c r="A8" s="120">
        <v>32075</v>
      </c>
      <c r="B8" s="146"/>
      <c r="C8" s="169"/>
      <c r="D8" s="11" t="s">
        <v>402</v>
      </c>
      <c r="E8" s="170">
        <v>0</v>
      </c>
      <c r="F8" s="145" t="str">
        <f>IF(OR(D8="4",E8="4"),INDEX([14]NamesElementary!$B$1:$B$65536,MATCH(A8,[14]NamesElementary!$A$1:$A$65536,0),1),INDEX([14]Names!$J$1:$J$65602,MATCH(A8,[14]Names!$F$1:$F$65602,0),1))</f>
        <v>photovoltaic laminate, CdTe, mix, at regional storage</v>
      </c>
      <c r="G8" s="16" t="str">
        <f>IF(OR(D8="4",E8="4"),"-",INDEX([14]Names!$K$1:$K$65602,MATCH(A8,[14]Names!$F$1:$F$65602,0),1))</f>
        <v>RER</v>
      </c>
      <c r="H8" s="14" t="str">
        <f>IF(OR(D8="4",E8="4"),INDEX([14]NamesElementary!$D$1:$D$65536,MATCH($A8,[14]NamesElementary!$A$1:$A$65536,0),1),"-")</f>
        <v>-</v>
      </c>
      <c r="I8" s="14" t="str">
        <f>IF(OR(D8="4",E8="4"),INDEX([14]NamesElementary!$E$1:$E$65536,MATCH($A8,[14]NamesElementary!$A$1:$A$65536,0),1),"-")</f>
        <v>-</v>
      </c>
      <c r="J8" s="15">
        <f>IF(OR(D8="4",E8="4"),"-",INDEX([14]Names!$N$1:$N$65602,MATCH(A8,[14]Names!$F$1:$F$65602,0),1))</f>
        <v>1</v>
      </c>
      <c r="K8" s="16" t="str">
        <f>IF(OR(D8="4",E8="4"),INDEX([14]NamesElementary!$G$1:$G$65536,MATCH(A8,[14]NamesElementary!$A$1:$A$65536,0),1),INDEX([14]Names!$O$1:$O$65602,MATCH(A8,[14]Names!$F$1:$F$65602,0),1))</f>
        <v>m2</v>
      </c>
      <c r="L8" s="149">
        <v>0</v>
      </c>
      <c r="M8" s="29"/>
      <c r="N8" s="30"/>
      <c r="O8" s="139"/>
      <c r="P8" s="149">
        <v>1</v>
      </c>
      <c r="Q8" s="29"/>
      <c r="R8" s="1"/>
      <c r="S8" s="139"/>
      <c r="T8" s="182"/>
      <c r="U8" s="182"/>
      <c r="V8" s="182"/>
      <c r="W8" s="259"/>
      <c r="X8" s="259"/>
      <c r="Y8" s="180"/>
      <c r="Z8" s="115"/>
      <c r="AA8" s="348">
        <v>3</v>
      </c>
      <c r="AB8" s="349">
        <v>2</v>
      </c>
      <c r="AC8" s="349">
        <v>1</v>
      </c>
      <c r="AD8" s="349">
        <v>1</v>
      </c>
      <c r="AE8" s="349">
        <v>1</v>
      </c>
      <c r="AF8" s="349">
        <v>3</v>
      </c>
      <c r="AG8" s="50"/>
      <c r="AH8" s="51"/>
      <c r="AI8" s="87"/>
      <c r="AJ8" s="88"/>
      <c r="AK8" s="89"/>
      <c r="AL8" s="52"/>
      <c r="AM8" s="52"/>
      <c r="AN8" s="52"/>
      <c r="AO8" s="52"/>
      <c r="AP8" s="52"/>
      <c r="AQ8" s="52"/>
    </row>
    <row r="9" spans="1:44" ht="24">
      <c r="A9" s="120">
        <v>2362</v>
      </c>
      <c r="B9" s="168" t="s">
        <v>524</v>
      </c>
      <c r="C9" s="151" t="s">
        <v>525</v>
      </c>
      <c r="D9" s="152" t="s">
        <v>526</v>
      </c>
      <c r="E9" s="153" t="s">
        <v>402</v>
      </c>
      <c r="F9" s="144" t="str">
        <f>IF(OR(D9="4",E9="4"),INDEX([14]NamesElementary!$B$1:$B$65536,MATCH(A9,[14]NamesElementary!$A$1:$A$65536,0),1),INDEX([14]Names!$J$1:$J$65602,MATCH(A9,[14]Names!$F$1:$F$65602,0),1))</f>
        <v>electricity, medium voltage, at grid</v>
      </c>
      <c r="G9" s="125" t="str">
        <f>IF(OR(D9="4",E9="4"),"-",INDEX([14]Names!$K$1:$K$65602,MATCH(A9,[14]Names!$F$1:$F$65602,0),1))</f>
        <v>DE</v>
      </c>
      <c r="H9" s="154" t="str">
        <f>IF(OR(D9="4",E9="4"),INDEX([14]NamesElementary!$D$1:$D$65536,MATCH($A9,[14]NamesElementary!$A$1:$A$65536,0),1),"-")</f>
        <v>-</v>
      </c>
      <c r="I9" s="123" t="str">
        <f>IF(OR(D9="4",E9="4"),INDEX([14]NamesElementary!$E$1:$E$65536,MATCH($A9,[14]NamesElementary!$A$1:$A$65536,0),1),"-")</f>
        <v>-</v>
      </c>
      <c r="J9" s="124">
        <f>IF(OR(D9="4",E9="4"),"-",INDEX([14]Names!$N$1:$N$65602,MATCH(A9,[14]Names!$F$1:$F$65602,0),1))</f>
        <v>0</v>
      </c>
      <c r="K9" s="125" t="str">
        <f>IF(OR(D9="4",E9="4"),INDEX([14]NamesElementary!$G$1:$G$65536,MATCH(A9,[14]NamesElementary!$A$1:$A$65536,0),1),INDEX([14]Names!$O$1:$O$65602,MATCH(A9,[14]Names!$F$1:$F$65602,0),1))</f>
        <v>kWh</v>
      </c>
      <c r="L9" s="155">
        <f>V9-L10/3.6</f>
        <v>30.786407766990294</v>
      </c>
      <c r="M9" s="29">
        <v>1</v>
      </c>
      <c r="N9" s="1">
        <f t="shared" ref="N9:N36" si="0">$AJ9</f>
        <v>1.1267298112245603</v>
      </c>
      <c r="O9" s="139" t="str">
        <f t="shared" ref="O9:O36" si="1">$AK9&amp;"; "&amp;$Z9</f>
        <v>(3,2,1,1,1,3); Antec homepage minus fuel oil use</v>
      </c>
      <c r="P9" s="155">
        <v>0</v>
      </c>
      <c r="Q9" s="29">
        <v>1</v>
      </c>
      <c r="R9" s="1">
        <f t="shared" ref="R9:R36" si="2">$AJ9</f>
        <v>1.1267298112245603</v>
      </c>
      <c r="S9" s="31" t="str">
        <f t="shared" ref="S9:S36" si="3">$AK9&amp;"; "&amp;$Z9</f>
        <v>(3,2,1,1,1,3); Antec homepage minus fuel oil use</v>
      </c>
      <c r="T9" s="182">
        <v>23.6</v>
      </c>
      <c r="U9" s="182"/>
      <c r="V9" s="182">
        <f>60*58/103</f>
        <v>33.786407766990294</v>
      </c>
      <c r="W9" s="259"/>
      <c r="X9" s="259"/>
      <c r="Y9" s="253"/>
      <c r="Z9" s="286" t="s">
        <v>688</v>
      </c>
      <c r="AA9" s="11">
        <f t="shared" ref="AA9:AF12" si="4">AA$8</f>
        <v>3</v>
      </c>
      <c r="AB9" s="11">
        <f t="shared" si="4"/>
        <v>2</v>
      </c>
      <c r="AC9" s="11">
        <f t="shared" si="4"/>
        <v>1</v>
      </c>
      <c r="AD9" s="11">
        <f t="shared" si="4"/>
        <v>1</v>
      </c>
      <c r="AE9" s="11">
        <f t="shared" si="4"/>
        <v>1</v>
      </c>
      <c r="AF9" s="11">
        <f t="shared" si="4"/>
        <v>3</v>
      </c>
      <c r="AG9" s="50">
        <f>IF(OR($D9="4",$E9="4"),INDEX([14]NamesElementary!$J$1:$J$65536,MATCH($A9,[14]NamesElementary!$A$1:$A$65536,0),1),INDEX([14]Names!$W$1:$W$65602,MATCH($A9,[14]Names!$F$1:$F$65602,0),1))</f>
        <v>2</v>
      </c>
      <c r="AH9" s="51">
        <f>INDEX([14]BasicUncertainty!$H$1:$H$65536,MATCH(AG9,[14]BasicUncertainty!$B$1:$B$65536,0),1)</f>
        <v>1.05</v>
      </c>
      <c r="AI9" s="87">
        <f>EXP(SQRT((LN(AL9)^2)+(LN(AM9)^2)+(LN(AN9)^2)+(LN(AO9)^2)+(LN(AP9)^2)+(LN(AQ9)^2)))</f>
        <v>1.1150377561073679</v>
      </c>
      <c r="AJ9" s="88">
        <f>EXP(SQRT((LN(AL9)^2)+(LN(AM9)^2)+(LN(AN9)^2)+(LN(AO9)^2)+(LN(AP9)^2)+(LN(AQ9)^2)+LN(AH9)^2))</f>
        <v>1.1267298112245603</v>
      </c>
      <c r="AK9" s="89" t="str">
        <f>CONCATENATE("(",AA9,",",AB9,",",AC9,",",AD9,",",AE9,",",AF9,")")</f>
        <v>(3,2,1,1,1,3)</v>
      </c>
      <c r="AL9" s="52">
        <f>IF(AA9=1,'[14]SDG^2 values'!$B$4,IF(AA9=2,'[14]SDG^2 values'!$C$4,IF(AA9=3,'[14]SDG^2 values'!$D$4,IF(AA9=4,'[14]SDG^2 values'!$E$4,IF(AA9=5,'[14]SDG^2 values'!$F$4,1)))))</f>
        <v>1.1000000000000001</v>
      </c>
      <c r="AM9" s="52">
        <f>IF(AB9=1,'[14]SDG^2 values'!$B$5,IF(AB9=2,'[14]SDG^2 values'!$C$5,IF(AB9=3,'[14]SDG^2 values'!$D$5,IF(AB9=4,'[14]SDG^2 values'!$E$5,IF(AB9=5,'[14]SDG^2 values'!$F$5,1)))))</f>
        <v>1.02</v>
      </c>
      <c r="AN9" s="52">
        <f>IF(AC9=1,'[14]SDG^2 values'!$B$6,IF(AC9=2,'[14]SDG^2 values'!$C$6,IF(AC9=3,'[14]SDG^2 values'!$D$6,IF(AC9=4,'[14]SDG^2 values'!$E$6,IF(AC9=5,'[14]SDG^2 values'!$F$6,1)))))</f>
        <v>1</v>
      </c>
      <c r="AO9" s="52">
        <f>IF(AD9=1,'[14]SDG^2 values'!$B$7,IF(AD9=2,'[14]SDG^2 values'!$C$7,IF(AD9=3,'[14]SDG^2 values'!$D$7,IF(AD9=4,'[14]SDG^2 values'!$E$7,IF(AD9=5,'[14]SDG^2 values'!$F$7,1)))))</f>
        <v>1</v>
      </c>
      <c r="AP9" s="52">
        <f>IF(AE9=1,'[14]SDG^2 values'!$B$8,IF(AE9=2,'[14]SDG^2 values'!$C$8,IF(AE9=3,'[14]SDG^2 values'!$D$8,IF(AE9=4,'[14]SDG^2 values'!$E$8,IF(AE9=5,'[14]SDG^2 values'!$F$8,1)))))</f>
        <v>1</v>
      </c>
      <c r="AQ9" s="52">
        <f>IF(AF9=1,'[14]SDG^2 values'!$B$9,IF(AF9=2,'[14]SDG^2 values'!$C$9,IF(AF9=3,'[14]SDG^2 values'!$D$9,IF(AF9=4,'[14]SDG^2 values'!$E$9,IF(AF9=5,'[14]SDG^2 values'!$F$9,1)))))</f>
        <v>1.05</v>
      </c>
      <c r="AR9" s="182">
        <f>2*3470*36.3</f>
        <v>251921.99999999997</v>
      </c>
    </row>
    <row r="10" spans="1:44" ht="24">
      <c r="A10" s="226">
        <v>4088</v>
      </c>
      <c r="B10" s="168" t="s">
        <v>525</v>
      </c>
      <c r="C10" s="151" t="s">
        <v>525</v>
      </c>
      <c r="D10" s="152" t="s">
        <v>526</v>
      </c>
      <c r="E10" s="153" t="s">
        <v>402</v>
      </c>
      <c r="F10" s="144" t="str">
        <f>IF(OR(D10="4",E10="4"),INDEX([14]NamesElementary!$B$1:$B$65536,MATCH(A10,[14]NamesElementary!$A$1:$A$65536,0),1),INDEX([14]Names!$J$1:$J$65602,MATCH(A10,[14]Names!$F$1:$F$65602,0),1))</f>
        <v>light fuel oil, burned in industrial furnace 1MW, non-modulating</v>
      </c>
      <c r="G10" s="125" t="str">
        <f>IF(OR(D10="4",E10="4"),"-",INDEX([14]Names!$K$1:$K$65602,MATCH(A10,[14]Names!$F$1:$F$65602,0),1))</f>
        <v>RER</v>
      </c>
      <c r="H10" s="154" t="str">
        <f>IF(OR(D10="4",E10="4"),INDEX([14]NamesElementary!$D$1:$D$65536,MATCH($A10,[14]NamesElementary!$A$1:$A$65536,0),1),"-")</f>
        <v>-</v>
      </c>
      <c r="I10" s="123" t="str">
        <f>IF(OR(D10="4",E10="4"),INDEX([14]NamesElementary!$E$1:$E$65536,MATCH($A10,[14]NamesElementary!$A$1:$A$65536,0),1),"-")</f>
        <v>-</v>
      </c>
      <c r="J10" s="124">
        <f>IF(OR(D10="4",E10="4"),"-",INDEX([14]Names!$N$1:$N$65602,MATCH(A10,[14]Names!$F$1:$F$65602,0),1))</f>
        <v>0</v>
      </c>
      <c r="K10" s="125" t="str">
        <f>IF(OR(D10="4",E10="4"),INDEX([14]NamesElementary!$G$1:$G$65536,MATCH(A10,[14]NamesElementary!$A$1:$A$65536,0),1),INDEX([14]Names!$O$1:$O$65602,MATCH(A10,[14]Names!$F$1:$F$65602,0),1))</f>
        <v>MJ</v>
      </c>
      <c r="L10" s="155">
        <f>U10</f>
        <v>10.8</v>
      </c>
      <c r="M10" s="29">
        <v>1</v>
      </c>
      <c r="N10" s="1">
        <f t="shared" si="0"/>
        <v>1.1267298112245603</v>
      </c>
      <c r="O10" s="139" t="str">
        <f t="shared" si="1"/>
        <v>(3,2,1,1,1,3); Raugei, literature</v>
      </c>
      <c r="P10" s="155">
        <v>0</v>
      </c>
      <c r="Q10" s="29">
        <v>1</v>
      </c>
      <c r="R10" s="1">
        <f t="shared" si="2"/>
        <v>1.1267298112245603</v>
      </c>
      <c r="S10" s="31" t="str">
        <f t="shared" si="3"/>
        <v>(3,2,1,1,1,3); Raugei, literature</v>
      </c>
      <c r="T10" s="182"/>
      <c r="U10" s="182">
        <v>10.8</v>
      </c>
      <c r="V10" s="182"/>
      <c r="W10" s="259"/>
      <c r="X10" s="259"/>
      <c r="Y10" s="253"/>
      <c r="Z10" s="115" t="s">
        <v>474</v>
      </c>
      <c r="AA10" s="11">
        <f t="shared" si="4"/>
        <v>3</v>
      </c>
      <c r="AB10" s="11">
        <f t="shared" si="4"/>
        <v>2</v>
      </c>
      <c r="AC10" s="11">
        <f t="shared" si="4"/>
        <v>1</v>
      </c>
      <c r="AD10" s="11">
        <f t="shared" si="4"/>
        <v>1</v>
      </c>
      <c r="AE10" s="11">
        <f t="shared" si="4"/>
        <v>1</v>
      </c>
      <c r="AF10" s="11">
        <f t="shared" si="4"/>
        <v>3</v>
      </c>
      <c r="AG10" s="50">
        <f>IF(OR($D10="4",$E10="4"),INDEX([14]NamesElementary!$J$1:$J$65536,MATCH($A10,[14]NamesElementary!$A$1:$A$65536,0),1),INDEX([14]Names!$W$1:$W$65602,MATCH($A10,[14]Names!$F$1:$F$65602,0),1))</f>
        <v>1</v>
      </c>
      <c r="AH10" s="51">
        <f>INDEX([14]BasicUncertainty!$H$1:$H$65536,MATCH(AG10,[14]BasicUncertainty!$B$1:$B$65536,0),1)</f>
        <v>1.05</v>
      </c>
      <c r="AI10" s="87">
        <f t="shared" ref="AI10:AI35" si="5">EXP(SQRT((LN(AL10)^2)+(LN(AM10)^2)+(LN(AN10)^2)+(LN(AO10)^2)+(LN(AP10)^2)+(LN(AQ10)^2)))</f>
        <v>1.1150377561073679</v>
      </c>
      <c r="AJ10" s="88">
        <f t="shared" ref="AJ10:AJ35" si="6">EXP(SQRT((LN(AL10)^2)+(LN(AM10)^2)+(LN(AN10)^2)+(LN(AO10)^2)+(LN(AP10)^2)+(LN(AQ10)^2)+LN(AH10)^2))</f>
        <v>1.1267298112245603</v>
      </c>
      <c r="AK10" s="89" t="str">
        <f t="shared" ref="AK10:AK35" si="7">CONCATENATE("(",AA10,",",AB10,",",AC10,",",AD10,",",AE10,",",AF10,")")</f>
        <v>(3,2,1,1,1,3)</v>
      </c>
      <c r="AL10" s="52">
        <f>IF(AA10=1,'[14]SDG^2 values'!$B$4,IF(AA10=2,'[14]SDG^2 values'!$C$4,IF(AA10=3,'[14]SDG^2 values'!$D$4,IF(AA10=4,'[14]SDG^2 values'!$E$4,IF(AA10=5,'[14]SDG^2 values'!$F$4,1)))))</f>
        <v>1.1000000000000001</v>
      </c>
      <c r="AM10" s="52">
        <f>IF(AB10=1,'[14]SDG^2 values'!$B$5,IF(AB10=2,'[14]SDG^2 values'!$C$5,IF(AB10=3,'[14]SDG^2 values'!$D$5,IF(AB10=4,'[14]SDG^2 values'!$E$5,IF(AB10=5,'[14]SDG^2 values'!$F$5,1)))))</f>
        <v>1.02</v>
      </c>
      <c r="AN10" s="52">
        <f>IF(AC10=1,'[14]SDG^2 values'!$B$6,IF(AC10=2,'[14]SDG^2 values'!$C$6,IF(AC10=3,'[14]SDG^2 values'!$D$6,IF(AC10=4,'[14]SDG^2 values'!$E$6,IF(AC10=5,'[14]SDG^2 values'!$F$6,1)))))</f>
        <v>1</v>
      </c>
      <c r="AO10" s="52">
        <f>IF(AD10=1,'[14]SDG^2 values'!$B$7,IF(AD10=2,'[14]SDG^2 values'!$C$7,IF(AD10=3,'[14]SDG^2 values'!$D$7,IF(AD10=4,'[14]SDG^2 values'!$E$7,IF(AD10=5,'[14]SDG^2 values'!$F$7,1)))))</f>
        <v>1</v>
      </c>
      <c r="AP10" s="52">
        <f>IF(AE10=1,'[14]SDG^2 values'!$B$8,IF(AE10=2,'[14]SDG^2 values'!$C$8,IF(AE10=3,'[14]SDG^2 values'!$D$8,IF(AE10=4,'[14]SDG^2 values'!$E$8,IF(AE10=5,'[14]SDG^2 values'!$F$8,1)))))</f>
        <v>1</v>
      </c>
      <c r="AQ10" s="52">
        <f>IF(AF10=1,'[14]SDG^2 values'!$B$9,IF(AF10=2,'[14]SDG^2 values'!$C$9,IF(AF10=3,'[14]SDG^2 values'!$D$9,IF(AF10=4,'[14]SDG^2 values'!$E$9,IF(AF10=5,'[14]SDG^2 values'!$F$9,1)))))</f>
        <v>1.05</v>
      </c>
      <c r="AR10" s="182">
        <f>2*3470*36.3</f>
        <v>251921.99999999997</v>
      </c>
    </row>
    <row r="11" spans="1:44" ht="12.75">
      <c r="A11" s="122">
        <v>4849</v>
      </c>
      <c r="B11" s="37" t="s">
        <v>154</v>
      </c>
      <c r="C11" s="151" t="s">
        <v>525</v>
      </c>
      <c r="D11" s="152" t="s">
        <v>526</v>
      </c>
      <c r="E11" s="153" t="s">
        <v>402</v>
      </c>
      <c r="F11" s="144" t="str">
        <f>IF(OR(D11="4",E11="4"),INDEX([14]NamesElementary!$B$1:$B$65536,MATCH(A11,[14]NamesElementary!$A$1:$A$65536,0),1),INDEX([14]Names!$J$1:$J$65602,MATCH(A11,[14]Names!$F$1:$F$65602,0),1))</f>
        <v>photovoltaic panel factory</v>
      </c>
      <c r="G11" s="125" t="str">
        <f>IF(OR(D11="4",E11="4"),"-",INDEX([14]Names!$K$1:$K$65602,MATCH(A11,[14]Names!$F$1:$F$65602,0),1))</f>
        <v>GLO</v>
      </c>
      <c r="H11" s="154" t="str">
        <f>IF(OR(D11="4",E11="4"),INDEX([14]NamesElementary!$D$1:$D$65536,MATCH($A11,[14]NamesElementary!$A$1:$A$65536,0),1),"-")</f>
        <v>-</v>
      </c>
      <c r="I11" s="123" t="str">
        <f>IF(OR(D11="4",E11="4"),INDEX([14]NamesElementary!$E$1:$E$65536,MATCH($A11,[14]NamesElementary!$A$1:$A$65536,0),1),"-")</f>
        <v>-</v>
      </c>
      <c r="J11" s="124">
        <f>IF(OR(D11="4",E11="4"),"-",INDEX([14]Names!$N$1:$N$65602,MATCH(A11,[14]Names!$F$1:$F$65602,0),1))</f>
        <v>1</v>
      </c>
      <c r="K11" s="125" t="str">
        <f>IF(OR(D11="4",E11="4"),INDEX([14]NamesElementary!$G$1:$G$65536,MATCH(A11,[14]NamesElementary!$A$1:$A$65536,0),1),INDEX([14]Names!$O$1:$O$65602,MATCH(A11,[14]Names!$F$1:$F$65602,0),1))</f>
        <v>unit</v>
      </c>
      <c r="L11" s="155" t="e">
        <f>module_infra</f>
        <v>#REF!</v>
      </c>
      <c r="M11" s="29">
        <v>1</v>
      </c>
      <c r="N11" s="1">
        <f t="shared" si="0"/>
        <v>3.0280682133013928</v>
      </c>
      <c r="O11" s="139" t="str">
        <f t="shared" si="1"/>
        <v>(3,4,1,1,1,3); Assumption</v>
      </c>
      <c r="P11" s="155">
        <v>0</v>
      </c>
      <c r="Q11" s="29">
        <v>1</v>
      </c>
      <c r="R11" s="1">
        <f t="shared" si="2"/>
        <v>3.0280682133013928</v>
      </c>
      <c r="S11" s="31" t="str">
        <f t="shared" si="3"/>
        <v>(3,4,1,1,1,3); Assumption</v>
      </c>
      <c r="T11" s="182"/>
      <c r="U11" s="182"/>
      <c r="V11" s="182"/>
      <c r="W11" s="259"/>
      <c r="X11" s="259"/>
      <c r="Y11" s="253"/>
      <c r="Z11" s="115" t="s">
        <v>475</v>
      </c>
      <c r="AA11" s="10">
        <v>3</v>
      </c>
      <c r="AB11" s="50">
        <v>4</v>
      </c>
      <c r="AC11" s="50">
        <v>1</v>
      </c>
      <c r="AD11" s="50">
        <v>1</v>
      </c>
      <c r="AE11" s="50">
        <v>1</v>
      </c>
      <c r="AF11" s="50">
        <v>3</v>
      </c>
      <c r="AG11" s="50">
        <f>IF(OR($D11="4",$E11="4"),INDEX([14]NamesElementary!$J$1:$J$65536,MATCH($A11,[14]NamesElementary!$A$1:$A$65536,0),1),INDEX([14]Names!$W$1:$W$65602,MATCH($A11,[14]Names!$F$1:$F$65602,0),1))</f>
        <v>9</v>
      </c>
      <c r="AH11" s="51">
        <f>INDEX([14]BasicUncertainty!$H$1:$H$65536,MATCH(AG11,[14]BasicUncertainty!$B$1:$B$65536,0),1)</f>
        <v>3</v>
      </c>
      <c r="AI11" s="87">
        <f t="shared" si="5"/>
        <v>1.1541309337887979</v>
      </c>
      <c r="AJ11" s="88">
        <f t="shared" si="6"/>
        <v>3.0280682133013928</v>
      </c>
      <c r="AK11" s="89" t="str">
        <f t="shared" si="7"/>
        <v>(3,4,1,1,1,3)</v>
      </c>
      <c r="AL11" s="52">
        <f>IF(AA11=1,'[14]SDG^2 values'!$B$4,IF(AA11=2,'[14]SDG^2 values'!$C$4,IF(AA11=3,'[14]SDG^2 values'!$D$4,IF(AA11=4,'[14]SDG^2 values'!$E$4,IF(AA11=5,'[14]SDG^2 values'!$F$4,1)))))</f>
        <v>1.1000000000000001</v>
      </c>
      <c r="AM11" s="52">
        <f>IF(AB11=1,'[14]SDG^2 values'!$B$5,IF(AB11=2,'[14]SDG^2 values'!$C$5,IF(AB11=3,'[14]SDG^2 values'!$D$5,IF(AB11=4,'[14]SDG^2 values'!$E$5,IF(AB11=5,'[14]SDG^2 values'!$F$5,1)))))</f>
        <v>1.1000000000000001</v>
      </c>
      <c r="AN11" s="52">
        <f>IF(AC11=1,'[14]SDG^2 values'!$B$6,IF(AC11=2,'[14]SDG^2 values'!$C$6,IF(AC11=3,'[14]SDG^2 values'!$D$6,IF(AC11=4,'[14]SDG^2 values'!$E$6,IF(AC11=5,'[14]SDG^2 values'!$F$6,1)))))</f>
        <v>1</v>
      </c>
      <c r="AO11" s="52">
        <f>IF(AD11=1,'[14]SDG^2 values'!$B$7,IF(AD11=2,'[14]SDG^2 values'!$C$7,IF(AD11=3,'[14]SDG^2 values'!$D$7,IF(AD11=4,'[14]SDG^2 values'!$E$7,IF(AD11=5,'[14]SDG^2 values'!$F$7,1)))))</f>
        <v>1</v>
      </c>
      <c r="AP11" s="52">
        <f>IF(AE11=1,'[14]SDG^2 values'!$B$8,IF(AE11=2,'[14]SDG^2 values'!$C$8,IF(AE11=3,'[14]SDG^2 values'!$D$8,IF(AE11=4,'[14]SDG^2 values'!$E$8,IF(AE11=5,'[14]SDG^2 values'!$F$8,1)))))</f>
        <v>1</v>
      </c>
      <c r="AQ11" s="52">
        <f>IF(AF11=1,'[14]SDG^2 values'!$B$9,IF(AF11=2,'[14]SDG^2 values'!$C$9,IF(AF11=3,'[14]SDG^2 values'!$D$9,IF(AF11=4,'[14]SDG^2 values'!$E$9,IF(AF11=5,'[14]SDG^2 values'!$F$9,1)))))</f>
        <v>1.05</v>
      </c>
    </row>
    <row r="12" spans="1:44" ht="12.75">
      <c r="A12" s="36">
        <v>679</v>
      </c>
      <c r="B12" s="37" t="s">
        <v>211</v>
      </c>
      <c r="C12" s="151" t="s">
        <v>525</v>
      </c>
      <c r="D12" s="152" t="s">
        <v>526</v>
      </c>
      <c r="E12" s="153" t="s">
        <v>402</v>
      </c>
      <c r="F12" s="144" t="str">
        <f>IF(OR(D12="4",E12="4"),INDEX([14]NamesElementary!$B$1:$B$65536,MATCH(A12,[14]NamesElementary!$A$1:$A$65536,0),1),INDEX([14]Names!$J$1:$J$65602,MATCH(A12,[14]Names!$F$1:$F$65602,0),1))</f>
        <v>tap water, at user</v>
      </c>
      <c r="G12" s="125" t="str">
        <f>IF(OR(D12="4",E12="4"),"-",INDEX([14]Names!$K$1:$K$65602,MATCH(A12,[14]Names!$F$1:$F$65602,0),1))</f>
        <v>RER</v>
      </c>
      <c r="H12" s="154" t="str">
        <f>IF(OR(D12="4",E12="4"),INDEX([14]NamesElementary!$D$1:$D$65536,MATCH($A12,[14]NamesElementary!$A$1:$A$65536,0),1),"-")</f>
        <v>-</v>
      </c>
      <c r="I12" s="123" t="str">
        <f>IF(OR(D12="4",E12="4"),INDEX([14]NamesElementary!$E$1:$E$65536,MATCH($A12,[14]NamesElementary!$A$1:$A$65536,0),1),"-")</f>
        <v>-</v>
      </c>
      <c r="J12" s="124">
        <f>IF(OR(D12="4",E12="4"),"-",INDEX([14]Names!$N$1:$N$65602,MATCH(A12,[14]Names!$F$1:$F$65602,0),1))</f>
        <v>0</v>
      </c>
      <c r="K12" s="125" t="str">
        <f>IF(OR(D12="4",E12="4"),INDEX([14]NamesElementary!$G$1:$G$65536,MATCH(A12,[14]NamesElementary!$A$1:$A$65536,0),1),INDEX([14]Names!$O$1:$O$65602,MATCH(A12,[14]Names!$F$1:$F$65602,0),1))</f>
        <v>kg</v>
      </c>
      <c r="L12" s="155">
        <f>'old CdTe'!M15</f>
        <v>219</v>
      </c>
      <c r="M12" s="29">
        <v>1</v>
      </c>
      <c r="N12" s="1">
        <f t="shared" si="0"/>
        <v>1.1267298112245603</v>
      </c>
      <c r="O12" s="139" t="str">
        <f t="shared" si="1"/>
        <v>(3,2,1,1,1,3); Fthenakis &amp; Kim, literature</v>
      </c>
      <c r="P12" s="155">
        <v>0</v>
      </c>
      <c r="Q12" s="29">
        <v>1</v>
      </c>
      <c r="R12" s="1">
        <f t="shared" si="2"/>
        <v>1.1267298112245603</v>
      </c>
      <c r="S12" s="31" t="str">
        <f t="shared" si="3"/>
        <v>(3,2,1,1,1,3); Fthenakis &amp; Kim, literature</v>
      </c>
      <c r="T12" s="182">
        <v>1.25</v>
      </c>
      <c r="U12" s="182"/>
      <c r="V12" s="182"/>
      <c r="W12" s="259"/>
      <c r="X12" s="259"/>
      <c r="Y12" s="253">
        <v>34</v>
      </c>
      <c r="Z12" s="115" t="s">
        <v>486</v>
      </c>
      <c r="AA12" s="11">
        <f t="shared" si="4"/>
        <v>3</v>
      </c>
      <c r="AB12" s="11">
        <f t="shared" si="4"/>
        <v>2</v>
      </c>
      <c r="AC12" s="11">
        <f t="shared" si="4"/>
        <v>1</v>
      </c>
      <c r="AD12" s="11">
        <f t="shared" si="4"/>
        <v>1</v>
      </c>
      <c r="AE12" s="11">
        <f t="shared" si="4"/>
        <v>1</v>
      </c>
      <c r="AF12" s="11">
        <f t="shared" si="4"/>
        <v>3</v>
      </c>
      <c r="AG12" s="50">
        <f>IF(OR($D12="4",$E12="4"),INDEX([14]NamesElementary!$J$1:$J$65536,MATCH($A12,[14]NamesElementary!$A$1:$A$65536,0),1),INDEX([14]Names!$W$1:$W$65602,MATCH($A12,[14]Names!$F$1:$F$65602,0),1))</f>
        <v>3</v>
      </c>
      <c r="AH12" s="51">
        <f>INDEX([14]BasicUncertainty!$H$1:$H$65536,MATCH(AG12,[14]BasicUncertainty!$B$1:$B$65536,0),1)</f>
        <v>1.05</v>
      </c>
      <c r="AI12" s="87">
        <f t="shared" si="5"/>
        <v>1.1150377561073679</v>
      </c>
      <c r="AJ12" s="88">
        <f t="shared" si="6"/>
        <v>1.1267298112245603</v>
      </c>
      <c r="AK12" s="89" t="str">
        <f t="shared" si="7"/>
        <v>(3,2,1,1,1,3)</v>
      </c>
      <c r="AL12" s="52">
        <f>IF(AA12=1,'[14]SDG^2 values'!$B$4,IF(AA12=2,'[14]SDG^2 values'!$C$4,IF(AA12=3,'[14]SDG^2 values'!$D$4,IF(AA12=4,'[14]SDG^2 values'!$E$4,IF(AA12=5,'[14]SDG^2 values'!$F$4,1)))))</f>
        <v>1.1000000000000001</v>
      </c>
      <c r="AM12" s="52">
        <f>IF(AB12=1,'[14]SDG^2 values'!$B$5,IF(AB12=2,'[14]SDG^2 values'!$C$5,IF(AB12=3,'[14]SDG^2 values'!$D$5,IF(AB12=4,'[14]SDG^2 values'!$E$5,IF(AB12=5,'[14]SDG^2 values'!$F$5,1)))))</f>
        <v>1.02</v>
      </c>
      <c r="AN12" s="52">
        <f>IF(AC12=1,'[14]SDG^2 values'!$B$6,IF(AC12=2,'[14]SDG^2 values'!$C$6,IF(AC12=3,'[14]SDG^2 values'!$D$6,IF(AC12=4,'[14]SDG^2 values'!$E$6,IF(AC12=5,'[14]SDG^2 values'!$F$6,1)))))</f>
        <v>1</v>
      </c>
      <c r="AO12" s="52">
        <f>IF(AD12=1,'[14]SDG^2 values'!$B$7,IF(AD12=2,'[14]SDG^2 values'!$C$7,IF(AD12=3,'[14]SDG^2 values'!$D$7,IF(AD12=4,'[14]SDG^2 values'!$E$7,IF(AD12=5,'[14]SDG^2 values'!$F$7,1)))))</f>
        <v>1</v>
      </c>
      <c r="AP12" s="52">
        <f>IF(AE12=1,'[14]SDG^2 values'!$B$8,IF(AE12=2,'[14]SDG^2 values'!$C$8,IF(AE12=3,'[14]SDG^2 values'!$D$8,IF(AE12=4,'[14]SDG^2 values'!$E$8,IF(AE12=5,'[14]SDG^2 values'!$F$8,1)))))</f>
        <v>1</v>
      </c>
      <c r="AQ12" s="52">
        <f>IF(AF12=1,'[14]SDG^2 values'!$B$9,IF(AF12=2,'[14]SDG^2 values'!$C$9,IF(AF12=3,'[14]SDG^2 values'!$D$9,IF(AF12=4,'[14]SDG^2 values'!$E$9,IF(AF12=5,'[14]SDG^2 values'!$F$9,1)))))</f>
        <v>1.05</v>
      </c>
    </row>
    <row r="13" spans="1:44" ht="24">
      <c r="A13" s="226">
        <v>2932</v>
      </c>
      <c r="B13" s="37" t="s">
        <v>659</v>
      </c>
      <c r="C13" s="151" t="s">
        <v>525</v>
      </c>
      <c r="D13" s="152" t="s">
        <v>526</v>
      </c>
      <c r="E13" s="153" t="s">
        <v>402</v>
      </c>
      <c r="F13" s="144" t="str">
        <f>IF(OR(D13="4",E13="4"),INDEX([14]NamesElementary!$B$1:$B$65536,MATCH(A13,[14]NamesElementary!$A$1:$A$65536,0),1),INDEX([14]Names!$J$1:$J$65602,MATCH(A13,[14]Names!$F$1:$F$65602,0),1))</f>
        <v>tempering, flat glass</v>
      </c>
      <c r="G13" s="125" t="str">
        <f>IF(OR(D13="4",E13="4"),"-",INDEX([14]Names!$K$1:$K$65602,MATCH(A13,[14]Names!$F$1:$F$65602,0),1))</f>
        <v>RER</v>
      </c>
      <c r="H13" s="154" t="str">
        <f>IF(OR(D13="4",E13="4"),INDEX([14]NamesElementary!$D$1:$D$65536,MATCH($A13,[14]NamesElementary!$A$1:$A$65536,0),1),"-")</f>
        <v>-</v>
      </c>
      <c r="I13" s="123" t="str">
        <f>IF(OR(D13="4",E13="4"),INDEX([14]NamesElementary!$E$1:$E$65536,MATCH($A13,[14]NamesElementary!$A$1:$A$65536,0),1),"-")</f>
        <v>-</v>
      </c>
      <c r="J13" s="124">
        <f>IF(OR(D13="4",E13="4"),"-",INDEX([14]Names!$N$1:$N$65602,MATCH(A13,[14]Names!$F$1:$F$65602,0),1))</f>
        <v>0</v>
      </c>
      <c r="K13" s="125" t="str">
        <f>IF(OR(D13="4",E13="4"),INDEX([14]NamesElementary!$G$1:$G$65536,MATCH(A13,[14]NamesElementary!$A$1:$A$65536,0),1),INDEX([14]Names!$O$1:$O$65602,MATCH(A13,[14]Names!$F$1:$F$65602,0),1))</f>
        <v>kg</v>
      </c>
      <c r="L13" s="155">
        <f>L18/2</f>
        <v>10.555555555555555</v>
      </c>
      <c r="M13" s="29">
        <v>1</v>
      </c>
      <c r="N13" s="1">
        <f t="shared" si="0"/>
        <v>1.1267298112245603</v>
      </c>
      <c r="O13" s="139" t="str">
        <f t="shared" si="1"/>
        <v>(3,2,1,1,1,3); amount of flat glass tempered (ca 50%)</v>
      </c>
      <c r="P13" s="155">
        <f>P18</f>
        <v>0</v>
      </c>
      <c r="Q13" s="29">
        <v>1</v>
      </c>
      <c r="R13" s="1">
        <f t="shared" si="2"/>
        <v>1.1267298112245603</v>
      </c>
      <c r="S13" s="31" t="str">
        <f t="shared" si="3"/>
        <v>(3,2,1,1,1,3); amount of flat glass tempered (ca 50%)</v>
      </c>
      <c r="T13" s="182"/>
      <c r="U13" s="182"/>
      <c r="V13" s="182"/>
      <c r="W13" s="259"/>
      <c r="X13" s="259"/>
      <c r="Y13" s="253"/>
      <c r="Z13" s="115" t="s">
        <v>24</v>
      </c>
      <c r="AA13" s="272">
        <f t="shared" ref="AA13:AF13" si="8">AA$16</f>
        <v>3</v>
      </c>
      <c r="AB13" s="272">
        <f t="shared" si="8"/>
        <v>2</v>
      </c>
      <c r="AC13" s="272">
        <f t="shared" si="8"/>
        <v>1</v>
      </c>
      <c r="AD13" s="272">
        <f t="shared" si="8"/>
        <v>1</v>
      </c>
      <c r="AE13" s="272">
        <f t="shared" si="8"/>
        <v>1</v>
      </c>
      <c r="AF13" s="272">
        <f t="shared" si="8"/>
        <v>3</v>
      </c>
      <c r="AG13" s="50">
        <f>IF(OR($D13="4",$E13="4"),INDEX([14]NamesElementary!$J$1:$J$65536,MATCH($A13,[14]NamesElementary!$A$1:$A$65536,0),1),INDEX([14]Names!$W$1:$W$65602,MATCH($A13,[14]Names!$F$1:$F$65602,0),1))</f>
        <v>3</v>
      </c>
      <c r="AH13" s="51">
        <f>INDEX([14]BasicUncertainty!$H$1:$H$65536,MATCH(AG13,[14]BasicUncertainty!$B$1:$B$65536,0),1)</f>
        <v>1.05</v>
      </c>
      <c r="AI13" s="87">
        <f t="shared" si="5"/>
        <v>1.1150377561073679</v>
      </c>
      <c r="AJ13" s="88">
        <f t="shared" si="6"/>
        <v>1.1267298112245603</v>
      </c>
      <c r="AK13" s="89" t="str">
        <f t="shared" si="7"/>
        <v>(3,2,1,1,1,3)</v>
      </c>
      <c r="AL13" s="52">
        <f>IF(AA13=1,'[14]SDG^2 values'!$B$4,IF(AA13=2,'[14]SDG^2 values'!$C$4,IF(AA13=3,'[14]SDG^2 values'!$D$4,IF(AA13=4,'[14]SDG^2 values'!$E$4,IF(AA13=5,'[14]SDG^2 values'!$F$4,1)))))</f>
        <v>1.1000000000000001</v>
      </c>
      <c r="AM13" s="52">
        <f>IF(AB13=1,'[14]SDG^2 values'!$B$5,IF(AB13=2,'[14]SDG^2 values'!$C$5,IF(AB13=3,'[14]SDG^2 values'!$D$5,IF(AB13=4,'[14]SDG^2 values'!$E$5,IF(AB13=5,'[14]SDG^2 values'!$F$5,1)))))</f>
        <v>1.02</v>
      </c>
      <c r="AN13" s="52">
        <f>IF(AC13=1,'[14]SDG^2 values'!$B$6,IF(AC13=2,'[14]SDG^2 values'!$C$6,IF(AC13=3,'[14]SDG^2 values'!$D$6,IF(AC13=4,'[14]SDG^2 values'!$E$6,IF(AC13=5,'[14]SDG^2 values'!$F$6,1)))))</f>
        <v>1</v>
      </c>
      <c r="AO13" s="52">
        <f>IF(AD13=1,'[14]SDG^2 values'!$B$7,IF(AD13=2,'[14]SDG^2 values'!$C$7,IF(AD13=3,'[14]SDG^2 values'!$D$7,IF(AD13=4,'[14]SDG^2 values'!$E$7,IF(AD13=5,'[14]SDG^2 values'!$F$7,1)))))</f>
        <v>1</v>
      </c>
      <c r="AP13" s="52">
        <f>IF(AE13=1,'[14]SDG^2 values'!$B$8,IF(AE13=2,'[14]SDG^2 values'!$C$8,IF(AE13=3,'[14]SDG^2 values'!$D$8,IF(AE13=4,'[14]SDG^2 values'!$E$8,IF(AE13=5,'[14]SDG^2 values'!$F$8,1)))))</f>
        <v>1</v>
      </c>
      <c r="AQ13" s="52">
        <f>IF(AF13=1,'[14]SDG^2 values'!$B$9,IF(AF13=2,'[14]SDG^2 values'!$C$9,IF(AF13=3,'[14]SDG^2 values'!$D$9,IF(AF13=4,'[14]SDG^2 values'!$E$9,IF(AF13=5,'[14]SDG^2 values'!$F$9,1)))))</f>
        <v>1.05</v>
      </c>
    </row>
    <row r="14" spans="1:44" ht="24">
      <c r="A14" s="120">
        <f>'old CdTe'!M1</f>
        <v>32073</v>
      </c>
      <c r="B14" s="37" t="s">
        <v>658</v>
      </c>
      <c r="C14" s="151" t="s">
        <v>525</v>
      </c>
      <c r="D14" s="152" t="s">
        <v>526</v>
      </c>
      <c r="E14" s="153" t="s">
        <v>402</v>
      </c>
      <c r="F14" s="144" t="str">
        <f>IF(OR(D14="4",E14="4"),INDEX([14]NamesElementary!$B$1:$B$65536,MATCH(A14,[14]NamesElementary!$A$1:$A$65536,0),1),INDEX([14]Names!$J$1:$J$65602,MATCH(A14,[14]Names!$F$1:$F$65602,0),1))</f>
        <v>photovoltaic laminate, CdTe, at plant</v>
      </c>
      <c r="G14" s="125" t="str">
        <f>IF(OR(D14="4",E14="4"),"-",INDEX([14]Names!$K$1:$K$65602,MATCH(A14,[14]Names!$F$1:$F$65602,0),1))</f>
        <v>US</v>
      </c>
      <c r="H14" s="154" t="str">
        <f>IF(OR(D14="4",E14="4"),INDEX([14]NamesElementary!$D$1:$D$65536,MATCH($A14,[14]NamesElementary!$A$1:$A$65536,0),1),"-")</f>
        <v>-</v>
      </c>
      <c r="I14" s="123" t="str">
        <f>IF(OR(D14="4",E14="4"),INDEX([14]NamesElementary!$E$1:$E$65536,MATCH($A14,[14]NamesElementary!$A$1:$A$65536,0),1),"-")</f>
        <v>-</v>
      </c>
      <c r="J14" s="124">
        <f>IF(OR(D14="4",E14="4"),"-",INDEX([14]Names!$N$1:$N$65602,MATCH(A14,[14]Names!$F$1:$F$65602,0),1))</f>
        <v>1</v>
      </c>
      <c r="K14" s="125" t="str">
        <f>IF(OR(D14="4",E14="4"),INDEX([14]NamesElementary!$G$1:$G$65536,MATCH(A14,[14]NamesElementary!$A$1:$A$65536,0),1),INDEX([14]Names!$O$1:$O$65602,MATCH(A14,[14]Names!$F$1:$F$65602,0),1))</f>
        <v>m2</v>
      </c>
      <c r="L14" s="155">
        <v>0</v>
      </c>
      <c r="M14" s="29">
        <v>1</v>
      </c>
      <c r="N14" s="1">
        <f t="shared" si="0"/>
        <v>3.2411614131440314</v>
      </c>
      <c r="O14" s="139" t="str">
        <f t="shared" si="1"/>
        <v>(5,4,1,1,1,3); estimated share for European market</v>
      </c>
      <c r="P14" s="155">
        <f>(1)*X14</f>
        <v>0.1</v>
      </c>
      <c r="Q14" s="29">
        <v>1</v>
      </c>
      <c r="R14" s="1">
        <f t="shared" si="2"/>
        <v>3.2411614131440314</v>
      </c>
      <c r="S14" s="31" t="str">
        <f t="shared" si="3"/>
        <v>(5,4,1,1,1,3); estimated share for European market</v>
      </c>
      <c r="T14" s="182"/>
      <c r="U14" s="182"/>
      <c r="V14" s="182"/>
      <c r="W14" s="273"/>
      <c r="X14" s="273">
        <v>0.1</v>
      </c>
      <c r="Y14" s="253"/>
      <c r="Z14" s="191" t="s">
        <v>171</v>
      </c>
      <c r="AA14" s="10">
        <v>5</v>
      </c>
      <c r="AB14" s="50">
        <v>4</v>
      </c>
      <c r="AC14" s="50">
        <v>1</v>
      </c>
      <c r="AD14" s="50">
        <v>1</v>
      </c>
      <c r="AE14" s="50">
        <v>1</v>
      </c>
      <c r="AF14" s="50">
        <v>3</v>
      </c>
      <c r="AG14" s="50">
        <f>IF(OR($D14="4",$E14="4"),INDEX([14]NamesElementary!$J$1:$J$65536,MATCH($A14,[14]NamesElementary!$A$1:$A$65536,0),1),INDEX([14]Names!$W$1:$W$65602,MATCH($A14,[14]Names!$F$1:$F$65602,0),1))</f>
        <v>9</v>
      </c>
      <c r="AH14" s="51">
        <f>INDEX([14]BasicUncertainty!$H$1:$H$65536,MATCH(AG14,[14]BasicUncertainty!$B$1:$B$65536,0),1)</f>
        <v>3</v>
      </c>
      <c r="AI14" s="87">
        <f t="shared" si="5"/>
        <v>1.5209944396561488</v>
      </c>
      <c r="AJ14" s="88">
        <f t="shared" si="6"/>
        <v>3.2411614131440314</v>
      </c>
      <c r="AK14" s="89" t="str">
        <f t="shared" si="7"/>
        <v>(5,4,1,1,1,3)</v>
      </c>
      <c r="AL14" s="52">
        <f>IF(AA14=1,'[14]SDG^2 values'!$B$4,IF(AA14=2,'[14]SDG^2 values'!$C$4,IF(AA14=3,'[14]SDG^2 values'!$D$4,IF(AA14=4,'[14]SDG^2 values'!$E$4,IF(AA14=5,'[14]SDG^2 values'!$F$4,1)))))</f>
        <v>1.5</v>
      </c>
      <c r="AM14" s="52">
        <f>IF(AB14=1,'[14]SDG^2 values'!$B$5,IF(AB14=2,'[14]SDG^2 values'!$C$5,IF(AB14=3,'[14]SDG^2 values'!$D$5,IF(AB14=4,'[14]SDG^2 values'!$E$5,IF(AB14=5,'[14]SDG^2 values'!$F$5,1)))))</f>
        <v>1.1000000000000001</v>
      </c>
      <c r="AN14" s="52">
        <f>IF(AC14=1,'[14]SDG^2 values'!$B$6,IF(AC14=2,'[14]SDG^2 values'!$C$6,IF(AC14=3,'[14]SDG^2 values'!$D$6,IF(AC14=4,'[14]SDG^2 values'!$E$6,IF(AC14=5,'[14]SDG^2 values'!$F$6,1)))))</f>
        <v>1</v>
      </c>
      <c r="AO14" s="52">
        <f>IF(AD14=1,'[14]SDG^2 values'!$B$7,IF(AD14=2,'[14]SDG^2 values'!$C$7,IF(AD14=3,'[14]SDG^2 values'!$D$7,IF(AD14=4,'[14]SDG^2 values'!$E$7,IF(AD14=5,'[14]SDG^2 values'!$F$7,1)))))</f>
        <v>1</v>
      </c>
      <c r="AP14" s="52">
        <f>IF(AE14=1,'[14]SDG^2 values'!$B$8,IF(AE14=2,'[14]SDG^2 values'!$C$8,IF(AE14=3,'[14]SDG^2 values'!$D$8,IF(AE14=4,'[14]SDG^2 values'!$E$8,IF(AE14=5,'[14]SDG^2 values'!$F$8,1)))))</f>
        <v>1</v>
      </c>
      <c r="AQ14" s="52">
        <f>IF(AF14=1,'[14]SDG^2 values'!$B$9,IF(AF14=2,'[14]SDG^2 values'!$C$9,IF(AF14=3,'[14]SDG^2 values'!$D$9,IF(AF14=4,'[14]SDG^2 values'!$E$9,IF(AF14=5,'[14]SDG^2 values'!$F$9,1)))))</f>
        <v>1.05</v>
      </c>
    </row>
    <row r="15" spans="1:44" ht="24">
      <c r="A15" s="120">
        <f>A7</f>
        <v>32074</v>
      </c>
      <c r="B15" s="37"/>
      <c r="C15" s="151" t="s">
        <v>525</v>
      </c>
      <c r="D15" s="152" t="s">
        <v>526</v>
      </c>
      <c r="E15" s="153" t="s">
        <v>402</v>
      </c>
      <c r="F15" s="144" t="str">
        <f>IF(OR(D15="4",E15="4"),INDEX([14]NamesElementary!$B$1:$B$65536,MATCH(A15,[14]NamesElementary!$A$1:$A$65536,0),1),INDEX([14]Names!$J$1:$J$65602,MATCH(A15,[14]Names!$F$1:$F$65602,0),1))</f>
        <v>photovoltaic laminate, CdTe, at plant</v>
      </c>
      <c r="G15" s="125" t="str">
        <f>IF(OR(D15="4",E15="4"),"-",INDEX([14]Names!$K$1:$K$65602,MATCH(A15,[14]Names!$F$1:$F$65602,0),1))</f>
        <v>DE</v>
      </c>
      <c r="H15" s="154" t="str">
        <f>IF(OR(D15="4",E15="4"),INDEX([14]NamesElementary!$D$1:$D$65536,MATCH($A15,[14]NamesElementary!$A$1:$A$65536,0),1),"-")</f>
        <v>-</v>
      </c>
      <c r="I15" s="123" t="str">
        <f>IF(OR(D15="4",E15="4"),INDEX([14]NamesElementary!$E$1:$E$65536,MATCH($A15,[14]NamesElementary!$A$1:$A$65536,0),1),"-")</f>
        <v>-</v>
      </c>
      <c r="J15" s="124">
        <f>IF(OR(D15="4",E15="4"),"-",INDEX([14]Names!$N$1:$N$65602,MATCH(A15,[14]Names!$F$1:$F$65602,0),1))</f>
        <v>1</v>
      </c>
      <c r="K15" s="125" t="str">
        <f>IF(OR(D15="4",E15="4"),INDEX([14]NamesElementary!$G$1:$G$65536,MATCH(A15,[14]NamesElementary!$A$1:$A$65536,0),1),INDEX([14]Names!$O$1:$O$65602,MATCH(A15,[14]Names!$F$1:$F$65602,0),1))</f>
        <v>m2</v>
      </c>
      <c r="L15" s="155">
        <v>0</v>
      </c>
      <c r="M15" s="29">
        <v>1</v>
      </c>
      <c r="N15" s="1">
        <f t="shared" si="0"/>
        <v>3.2411614131440314</v>
      </c>
      <c r="O15" s="139" t="str">
        <f t="shared" si="1"/>
        <v>(5,4,1,1,1,3); estimated share for European market</v>
      </c>
      <c r="P15" s="155">
        <f>(1)*X15</f>
        <v>0.9</v>
      </c>
      <c r="Q15" s="29">
        <v>1</v>
      </c>
      <c r="R15" s="1">
        <f t="shared" si="2"/>
        <v>3.2411614131440314</v>
      </c>
      <c r="S15" s="31" t="str">
        <f t="shared" si="3"/>
        <v>(5,4,1,1,1,3); estimated share for European market</v>
      </c>
      <c r="T15" s="182"/>
      <c r="U15" s="182"/>
      <c r="V15" s="182"/>
      <c r="W15" s="273"/>
      <c r="X15" s="273">
        <f>1-X14</f>
        <v>0.9</v>
      </c>
      <c r="Y15" s="253"/>
      <c r="Z15" s="191" t="str">
        <f>Z14</f>
        <v>estimated share for European market</v>
      </c>
      <c r="AA15" s="10">
        <v>5</v>
      </c>
      <c r="AB15" s="50">
        <v>4</v>
      </c>
      <c r="AC15" s="50">
        <v>1</v>
      </c>
      <c r="AD15" s="50">
        <v>1</v>
      </c>
      <c r="AE15" s="50">
        <v>1</v>
      </c>
      <c r="AF15" s="50">
        <v>3</v>
      </c>
      <c r="AG15" s="50">
        <f>IF(OR($D15="4",$E15="4"),INDEX([14]NamesElementary!$J$1:$J$65536,MATCH($A15,[14]NamesElementary!$A$1:$A$65536,0),1),INDEX([14]Names!$W$1:$W$65602,MATCH($A15,[14]Names!$F$1:$F$65602,0),1))</f>
        <v>9</v>
      </c>
      <c r="AH15" s="51">
        <f>INDEX([14]BasicUncertainty!$H$1:$H$65536,MATCH(AG15,[14]BasicUncertainty!$B$1:$B$65536,0),1)</f>
        <v>3</v>
      </c>
      <c r="AI15" s="87">
        <f>EXP(SQRT((LN(AL15)^2)+(LN(AM15)^2)+(LN(AN15)^2)+(LN(AO15)^2)+(LN(AP15)^2)+(LN(AQ15)^2)))</f>
        <v>1.5209944396561488</v>
      </c>
      <c r="AJ15" s="88">
        <f>EXP(SQRT((LN(AL15)^2)+(LN(AM15)^2)+(LN(AN15)^2)+(LN(AO15)^2)+(LN(AP15)^2)+(LN(AQ15)^2)+LN(AH15)^2))</f>
        <v>3.2411614131440314</v>
      </c>
      <c r="AK15" s="89" t="str">
        <f>CONCATENATE("(",AA15,",",AB15,",",AC15,",",AD15,",",AE15,",",AF15,")")</f>
        <v>(5,4,1,1,1,3)</v>
      </c>
      <c r="AL15" s="52">
        <f>IF(AA15=1,'[14]SDG^2 values'!$B$4,IF(AA15=2,'[14]SDG^2 values'!$C$4,IF(AA15=3,'[14]SDG^2 values'!$D$4,IF(AA15=4,'[14]SDG^2 values'!$E$4,IF(AA15=5,'[14]SDG^2 values'!$F$4,1)))))</f>
        <v>1.5</v>
      </c>
      <c r="AM15" s="52">
        <f>IF(AB15=1,'[14]SDG^2 values'!$B$5,IF(AB15=2,'[14]SDG^2 values'!$C$5,IF(AB15=3,'[14]SDG^2 values'!$D$5,IF(AB15=4,'[14]SDG^2 values'!$E$5,IF(AB15=5,'[14]SDG^2 values'!$F$5,1)))))</f>
        <v>1.1000000000000001</v>
      </c>
      <c r="AN15" s="52">
        <f>IF(AC15=1,'[14]SDG^2 values'!$B$6,IF(AC15=2,'[14]SDG^2 values'!$C$6,IF(AC15=3,'[14]SDG^2 values'!$D$6,IF(AC15=4,'[14]SDG^2 values'!$E$6,IF(AC15=5,'[14]SDG^2 values'!$F$6,1)))))</f>
        <v>1</v>
      </c>
      <c r="AO15" s="52">
        <f>IF(AD15=1,'[14]SDG^2 values'!$B$7,IF(AD15=2,'[14]SDG^2 values'!$C$7,IF(AD15=3,'[14]SDG^2 values'!$D$7,IF(AD15=4,'[14]SDG^2 values'!$E$7,IF(AD15=5,'[14]SDG^2 values'!$F$7,1)))))</f>
        <v>1</v>
      </c>
      <c r="AP15" s="52">
        <f>IF(AE15=1,'[14]SDG^2 values'!$B$8,IF(AE15=2,'[14]SDG^2 values'!$C$8,IF(AE15=3,'[14]SDG^2 values'!$D$8,IF(AE15=4,'[14]SDG^2 values'!$E$8,IF(AE15=5,'[14]SDG^2 values'!$F$8,1)))))</f>
        <v>1</v>
      </c>
      <c r="AQ15" s="52">
        <f>IF(AF15=1,'[14]SDG^2 values'!$B$9,IF(AF15=2,'[14]SDG^2 values'!$C$9,IF(AF15=3,'[14]SDG^2 values'!$D$9,IF(AF15=4,'[14]SDG^2 values'!$E$9,IF(AF15=5,'[14]SDG^2 values'!$F$9,1)))))</f>
        <v>1.05</v>
      </c>
    </row>
    <row r="16" spans="1:44" ht="12.75">
      <c r="A16" s="156">
        <v>67</v>
      </c>
      <c r="B16" s="37" t="s">
        <v>150</v>
      </c>
      <c r="C16" s="151" t="s">
        <v>525</v>
      </c>
      <c r="D16" s="152" t="s">
        <v>526</v>
      </c>
      <c r="E16" s="153" t="s">
        <v>402</v>
      </c>
      <c r="F16" s="144" t="str">
        <f>IF(OR(D16="4",E16="4"),INDEX([14]NamesElementary!$B$1:$B$65536,MATCH(A16,[14]NamesElementary!$A$1:$A$65536,0),1),INDEX([14]Names!$J$1:$J$65602,MATCH(A16,[14]Names!$F$1:$F$65602,0),1))</f>
        <v>aluminium alloy, AlMg3, at plant</v>
      </c>
      <c r="G16" s="125" t="str">
        <f>IF(OR(D16="4",E16="4"),"-",INDEX([14]Names!$K$1:$K$65602,MATCH(A16,[14]Names!$F$1:$F$65602,0),1))</f>
        <v>RER</v>
      </c>
      <c r="H16" s="154" t="str">
        <f>IF(OR(D16="4",E16="4"),INDEX([14]NamesElementary!$D$1:$D$65536,MATCH($A16,[14]NamesElementary!$A$1:$A$65536,0),1),"-")</f>
        <v>-</v>
      </c>
      <c r="I16" s="123" t="str">
        <f>IF(OR(D16="4",E16="4"),INDEX([14]NamesElementary!$E$1:$E$65536,MATCH($A16,[14]NamesElementary!$A$1:$A$65536,0),1),"-")</f>
        <v>-</v>
      </c>
      <c r="J16" s="124">
        <f>IF(OR(D16="4",E16="4"),"-",INDEX([14]Names!$N$1:$N$65602,MATCH(A16,[14]Names!$F$1:$F$65602,0),1))</f>
        <v>0</v>
      </c>
      <c r="K16" s="125" t="str">
        <f>IF(OR(D16="4",E16="4"),INDEX([14]NamesElementary!$G$1:$G$65536,MATCH(A16,[14]NamesElementary!$A$1:$A$65536,0),1),INDEX([14]Names!$O$1:$O$65602,MATCH(A16,[14]Names!$F$1:$F$65602,0),1))</f>
        <v>kg</v>
      </c>
      <c r="L16" s="155">
        <f>U16</f>
        <v>1.9</v>
      </c>
      <c r="M16" s="29">
        <v>1</v>
      </c>
      <c r="N16" s="1">
        <f t="shared" si="0"/>
        <v>1.1267298112245603</v>
      </c>
      <c r="O16" s="139" t="str">
        <f t="shared" si="1"/>
        <v>(3,2,1,1,1,3); Raugei, literature</v>
      </c>
      <c r="P16" s="155">
        <v>0</v>
      </c>
      <c r="Q16" s="29">
        <v>1</v>
      </c>
      <c r="R16" s="1">
        <f t="shared" si="2"/>
        <v>1.1267298112245603</v>
      </c>
      <c r="S16" s="31" t="str">
        <f t="shared" si="3"/>
        <v>(3,2,1,1,1,3); Raugei, literature</v>
      </c>
      <c r="T16" s="182"/>
      <c r="U16" s="182">
        <v>1.9</v>
      </c>
      <c r="V16" s="182"/>
      <c r="W16" s="259"/>
      <c r="X16" s="259"/>
      <c r="Y16" s="253">
        <v>4.2</v>
      </c>
      <c r="Z16" s="115" t="s">
        <v>474</v>
      </c>
      <c r="AA16" s="11">
        <f t="shared" ref="AA16:AF29" si="9">AA$8</f>
        <v>3</v>
      </c>
      <c r="AB16" s="11">
        <f t="shared" si="9"/>
        <v>2</v>
      </c>
      <c r="AC16" s="11">
        <f t="shared" si="9"/>
        <v>1</v>
      </c>
      <c r="AD16" s="11">
        <f t="shared" si="9"/>
        <v>1</v>
      </c>
      <c r="AE16" s="11">
        <f t="shared" si="9"/>
        <v>1</v>
      </c>
      <c r="AF16" s="11">
        <f t="shared" si="9"/>
        <v>3</v>
      </c>
      <c r="AG16" s="50">
        <f>IF(OR($D16="4",$E16="4"),INDEX([14]NamesElementary!$J$1:$J$65536,MATCH($A16,[14]NamesElementary!$A$1:$A$65536,0),1),INDEX([14]Names!$W$1:$W$65602,MATCH($A16,[14]Names!$F$1:$F$65602,0),1))</f>
        <v>3</v>
      </c>
      <c r="AH16" s="51">
        <f>INDEX([14]BasicUncertainty!$H$1:$H$65536,MATCH(AG16,[14]BasicUncertainty!$B$1:$B$65536,0),1)</f>
        <v>1.05</v>
      </c>
      <c r="AI16" s="87">
        <f t="shared" si="5"/>
        <v>1.1150377561073679</v>
      </c>
      <c r="AJ16" s="88">
        <f t="shared" si="6"/>
        <v>1.1267298112245603</v>
      </c>
      <c r="AK16" s="89" t="str">
        <f t="shared" si="7"/>
        <v>(3,2,1,1,1,3)</v>
      </c>
      <c r="AL16" s="52">
        <f>IF(AA16=1,'[14]SDG^2 values'!$B$4,IF(AA16=2,'[14]SDG^2 values'!$C$4,IF(AA16=3,'[14]SDG^2 values'!$D$4,IF(AA16=4,'[14]SDG^2 values'!$E$4,IF(AA16=5,'[14]SDG^2 values'!$F$4,1)))))</f>
        <v>1.1000000000000001</v>
      </c>
      <c r="AM16" s="52">
        <f>IF(AB16=1,'[14]SDG^2 values'!$B$5,IF(AB16=2,'[14]SDG^2 values'!$C$5,IF(AB16=3,'[14]SDG^2 values'!$D$5,IF(AB16=4,'[14]SDG^2 values'!$E$5,IF(AB16=5,'[14]SDG^2 values'!$F$5,1)))))</f>
        <v>1.02</v>
      </c>
      <c r="AN16" s="52">
        <f>IF(AC16=1,'[14]SDG^2 values'!$B$6,IF(AC16=2,'[14]SDG^2 values'!$C$6,IF(AC16=3,'[14]SDG^2 values'!$D$6,IF(AC16=4,'[14]SDG^2 values'!$E$6,IF(AC16=5,'[14]SDG^2 values'!$F$6,1)))))</f>
        <v>1</v>
      </c>
      <c r="AO16" s="52">
        <f>IF(AD16=1,'[14]SDG^2 values'!$B$7,IF(AD16=2,'[14]SDG^2 values'!$C$7,IF(AD16=3,'[14]SDG^2 values'!$D$7,IF(AD16=4,'[14]SDG^2 values'!$E$7,IF(AD16=5,'[14]SDG^2 values'!$F$7,1)))))</f>
        <v>1</v>
      </c>
      <c r="AP16" s="52">
        <f>IF(AE16=1,'[14]SDG^2 values'!$B$8,IF(AE16=2,'[14]SDG^2 values'!$C$8,IF(AE16=3,'[14]SDG^2 values'!$D$8,IF(AE16=4,'[14]SDG^2 values'!$E$8,IF(AE16=5,'[14]SDG^2 values'!$F$8,1)))))</f>
        <v>1</v>
      </c>
      <c r="AQ16" s="52">
        <f>IF(AF16=1,'[14]SDG^2 values'!$B$9,IF(AF16=2,'[14]SDG^2 values'!$C$9,IF(AF16=3,'[14]SDG^2 values'!$D$9,IF(AF16=4,'[14]SDG^2 values'!$E$9,IF(AF16=5,'[14]SDG^2 values'!$F$9,1)))))</f>
        <v>1.05</v>
      </c>
    </row>
    <row r="17" spans="1:45" ht="24">
      <c r="A17" s="156">
        <v>992</v>
      </c>
      <c r="B17" s="37"/>
      <c r="C17" s="151" t="s">
        <v>525</v>
      </c>
      <c r="D17" s="152" t="s">
        <v>526</v>
      </c>
      <c r="E17" s="153" t="s">
        <v>402</v>
      </c>
      <c r="F17" s="144" t="str">
        <f>IF(OR(D17="4",E17="4"),INDEX([14]NamesElementary!$B$1:$B$65536,MATCH(A17,[14]NamesElementary!$A$1:$A$65536,0),1),INDEX([14]Names!$J$1:$J$65602,MATCH(A17,[14]Names!$F$1:$F$65602,0),1))</f>
        <v>copper, at regional storage</v>
      </c>
      <c r="G17" s="125" t="str">
        <f>IF(OR(D17="4",E17="4"),"-",INDEX([14]Names!$K$1:$K$65602,MATCH(A17,[14]Names!$F$1:$F$65602,0),1))</f>
        <v>RER</v>
      </c>
      <c r="H17" s="154" t="str">
        <f>IF(OR(D17="4",E17="4"),INDEX([14]NamesElementary!$D$1:$D$65536,MATCH($A17,[14]NamesElementary!$A$1:$A$65536,0),1),"-")</f>
        <v>-</v>
      </c>
      <c r="I17" s="123" t="str">
        <f>IF(OR(D17="4",E17="4"),INDEX([14]NamesElementary!$E$1:$E$65536,MATCH($A17,[14]NamesElementary!$A$1:$A$65536,0),1),"-")</f>
        <v>-</v>
      </c>
      <c r="J17" s="124">
        <f>IF(OR(D17="4",E17="4"),"-",INDEX([14]Names!$N$1:$N$65602,MATCH(A17,[14]Names!$F$1:$F$65602,0),1))</f>
        <v>0</v>
      </c>
      <c r="K17" s="125" t="str">
        <f>IF(OR(D17="4",E17="4"),INDEX([14]NamesElementary!$G$1:$G$65536,MATCH(A17,[14]NamesElementary!$A$1:$A$65536,0),1),INDEX([14]Names!$O$1:$O$65602,MATCH(A17,[14]Names!$F$1:$F$65602,0),1))</f>
        <v>kg</v>
      </c>
      <c r="L17" s="155">
        <f>'old CdTe'!M17</f>
        <v>0.51807380000000003</v>
      </c>
      <c r="M17" s="29">
        <v>1</v>
      </c>
      <c r="N17" s="1">
        <f t="shared" si="0"/>
        <v>1.5695111273554623</v>
      </c>
      <c r="O17" s="139" t="str">
        <f t="shared" si="1"/>
        <v>(5,2,1,3,3,3); Estimation for contacts with US data</v>
      </c>
      <c r="P17" s="155">
        <v>0</v>
      </c>
      <c r="Q17" s="29">
        <v>1</v>
      </c>
      <c r="R17" s="1">
        <f t="shared" si="2"/>
        <v>1.5695111273554623</v>
      </c>
      <c r="S17" s="31" t="str">
        <f t="shared" si="3"/>
        <v>(5,2,1,3,3,3); Estimation for contacts with US data</v>
      </c>
      <c r="T17" s="182"/>
      <c r="U17" s="182"/>
      <c r="V17" s="182"/>
      <c r="W17" s="259"/>
      <c r="X17" s="259"/>
      <c r="Y17" s="253"/>
      <c r="Z17" s="115" t="s">
        <v>140</v>
      </c>
      <c r="AA17" s="11">
        <v>5</v>
      </c>
      <c r="AB17" s="11">
        <f t="shared" si="9"/>
        <v>2</v>
      </c>
      <c r="AC17" s="11">
        <f t="shared" si="9"/>
        <v>1</v>
      </c>
      <c r="AD17" s="11">
        <v>3</v>
      </c>
      <c r="AE17" s="11">
        <v>3</v>
      </c>
      <c r="AF17" s="11">
        <f t="shared" si="9"/>
        <v>3</v>
      </c>
      <c r="AG17" s="50">
        <f>IF(OR($D17="4",$E17="4"),INDEX([14]NamesElementary!$J$1:$J$65536,MATCH($A17,[14]NamesElementary!$A$1:$A$65536,0),1),INDEX([14]Names!$W$1:$W$65602,MATCH($A17,[14]Names!$F$1:$F$65602,0),1))</f>
        <v>3</v>
      </c>
      <c r="AH17" s="51">
        <f>INDEX([14]BasicUncertainty!$H$1:$H$65536,MATCH(AG17,[14]BasicUncertainty!$B$1:$B$65536,0),1)</f>
        <v>1.05</v>
      </c>
      <c r="AI17" s="87">
        <f>EXP(SQRT((LN(AL17)^2)+(LN(AM17)^2)+(LN(AN17)^2)+(LN(AO17)^2)+(LN(AP17)^2)+(LN(AQ17)^2)))</f>
        <v>1.5653601319432409</v>
      </c>
      <c r="AJ17" s="88">
        <f>EXP(SQRT((LN(AL17)^2)+(LN(AM17)^2)+(LN(AN17)^2)+(LN(AO17)^2)+(LN(AP17)^2)+(LN(AQ17)^2)+LN(AH17)^2))</f>
        <v>1.5695111273554623</v>
      </c>
      <c r="AK17" s="89" t="str">
        <f>CONCATENATE("(",AA17,",",AB17,",",AC17,",",AD17,",",AE17,",",AF17,")")</f>
        <v>(5,2,1,3,3,3)</v>
      </c>
      <c r="AL17" s="52">
        <f>IF(AA17=1,'[14]SDG^2 values'!$B$4,IF(AA17=2,'[14]SDG^2 values'!$C$4,IF(AA17=3,'[14]SDG^2 values'!$D$4,IF(AA17=4,'[14]SDG^2 values'!$E$4,IF(AA17=5,'[14]SDG^2 values'!$F$4,1)))))</f>
        <v>1.5</v>
      </c>
      <c r="AM17" s="52">
        <f>IF(AB17=1,'[14]SDG^2 values'!$B$5,IF(AB17=2,'[14]SDG^2 values'!$C$5,IF(AB17=3,'[14]SDG^2 values'!$D$5,IF(AB17=4,'[14]SDG^2 values'!$E$5,IF(AB17=5,'[14]SDG^2 values'!$F$5,1)))))</f>
        <v>1.02</v>
      </c>
      <c r="AN17" s="52">
        <f>IF(AC17=1,'[14]SDG^2 values'!$B$6,IF(AC17=2,'[14]SDG^2 values'!$C$6,IF(AC17=3,'[14]SDG^2 values'!$D$6,IF(AC17=4,'[14]SDG^2 values'!$E$6,IF(AC17=5,'[14]SDG^2 values'!$F$6,1)))))</f>
        <v>1</v>
      </c>
      <c r="AO17" s="52">
        <f>IF(AD17=1,'[14]SDG^2 values'!$B$7,IF(AD17=2,'[14]SDG^2 values'!$C$7,IF(AD17=3,'[14]SDG^2 values'!$D$7,IF(AD17=4,'[14]SDG^2 values'!$E$7,IF(AD17=5,'[14]SDG^2 values'!$F$7,1)))))</f>
        <v>1.02</v>
      </c>
      <c r="AP17" s="52">
        <f>IF(AE17=1,'[14]SDG^2 values'!$B$8,IF(AE17=2,'[14]SDG^2 values'!$C$8,IF(AE17=3,'[14]SDG^2 values'!$D$8,IF(AE17=4,'[14]SDG^2 values'!$E$8,IF(AE17=5,'[14]SDG^2 values'!$F$8,1)))))</f>
        <v>1.2</v>
      </c>
      <c r="AQ17" s="52">
        <f>IF(AF17=1,'[14]SDG^2 values'!$B$9,IF(AF17=2,'[14]SDG^2 values'!$C$9,IF(AF17=3,'[14]SDG^2 values'!$D$9,IF(AF17=4,'[14]SDG^2 values'!$E$9,IF(AF17=5,'[14]SDG^2 values'!$F$9,1)))))</f>
        <v>1.05</v>
      </c>
    </row>
    <row r="18" spans="1:45" ht="12.75">
      <c r="A18" s="2">
        <v>2929</v>
      </c>
      <c r="B18" s="37" t="s">
        <v>525</v>
      </c>
      <c r="C18" s="151" t="s">
        <v>525</v>
      </c>
      <c r="D18" s="152" t="s">
        <v>526</v>
      </c>
      <c r="E18" s="153" t="s">
        <v>402</v>
      </c>
      <c r="F18" s="144" t="str">
        <f>IF(OR(D18="4",E18="4"),INDEX([14]NamesElementary!$B$1:$B$65536,MATCH(A18,[14]NamesElementary!$A$1:$A$65536,0),1),INDEX([14]Names!$J$1:$J$65602,MATCH(A18,[14]Names!$F$1:$F$65602,0),1))</f>
        <v>solar glass, low-iron, at regional storage</v>
      </c>
      <c r="G18" s="125" t="str">
        <f>IF(OR(D18="4",E18="4"),"-",INDEX([14]Names!$K$1:$K$65602,MATCH(A18,[14]Names!$F$1:$F$65602,0),1))</f>
        <v>RER</v>
      </c>
      <c r="H18" s="154" t="str">
        <f>IF(OR(D18="4",E18="4"),INDEX([14]NamesElementary!$D$1:$D$65536,MATCH($A18,[14]NamesElementary!$A$1:$A$65536,0),1),"-")</f>
        <v>-</v>
      </c>
      <c r="I18" s="123" t="str">
        <f>IF(OR(D18="4",E18="4"),INDEX([14]NamesElementary!$E$1:$E$65536,MATCH($A18,[14]NamesElementary!$A$1:$A$65536,0),1),"-")</f>
        <v>-</v>
      </c>
      <c r="J18" s="124">
        <f>IF(OR(D18="4",E18="4"),"-",INDEX([14]Names!$N$1:$N$65602,MATCH(A18,[14]Names!$F$1:$F$65602,0),1))</f>
        <v>0</v>
      </c>
      <c r="K18" s="125" t="str">
        <f>IF(OR(D18="4",E18="4"),INDEX([14]NamesElementary!$G$1:$G$65536,MATCH(A18,[14]NamesElementary!$A$1:$A$65536,0),1),INDEX([14]Names!$O$1:$O$65602,MATCH(A18,[14]Names!$F$1:$F$65602,0),1))</f>
        <v>kg</v>
      </c>
      <c r="L18" s="155">
        <f>V18</f>
        <v>21.111111111111111</v>
      </c>
      <c r="M18" s="29">
        <v>1</v>
      </c>
      <c r="N18" s="1">
        <f>$AJ18</f>
        <v>1.1267298112245603</v>
      </c>
      <c r="O18" s="139" t="str">
        <f>$AK18&amp;"; "&amp;$Z18</f>
        <v>(3,2,1,1,1,3); Antec, homepage</v>
      </c>
      <c r="P18" s="155">
        <v>0</v>
      </c>
      <c r="Q18" s="29">
        <v>1</v>
      </c>
      <c r="R18" s="1">
        <f>$AJ18</f>
        <v>1.1267298112245603</v>
      </c>
      <c r="S18" s="31" t="str">
        <f>$AK18&amp;"; "&amp;$Z18</f>
        <v>(3,2,1,1,1,3); Antec, homepage</v>
      </c>
      <c r="T18" s="182">
        <v>24.96</v>
      </c>
      <c r="U18" s="182"/>
      <c r="V18" s="182">
        <f>V40*95%</f>
        <v>21.111111111111111</v>
      </c>
      <c r="W18" s="259">
        <f>AVERAGE(4.66,7.4,12.4,5+4.96)</f>
        <v>8.6050000000000004</v>
      </c>
      <c r="X18" s="259"/>
      <c r="Y18" s="253">
        <v>16.100000000000001</v>
      </c>
      <c r="Z18" s="115" t="s">
        <v>141</v>
      </c>
      <c r="AA18" s="11">
        <f t="shared" si="9"/>
        <v>3</v>
      </c>
      <c r="AB18" s="11">
        <f t="shared" si="9"/>
        <v>2</v>
      </c>
      <c r="AC18" s="11">
        <f t="shared" si="9"/>
        <v>1</v>
      </c>
      <c r="AD18" s="11">
        <f t="shared" si="9"/>
        <v>1</v>
      </c>
      <c r="AE18" s="11">
        <f t="shared" si="9"/>
        <v>1</v>
      </c>
      <c r="AF18" s="11">
        <f t="shared" si="9"/>
        <v>3</v>
      </c>
      <c r="AG18" s="50">
        <f>IF(OR($D18="4",$E18="4"),INDEX([14]NamesElementary!$J$1:$J$65536,MATCH($A18,[14]NamesElementary!$A$1:$A$65536,0),1),INDEX([14]Names!$W$1:$W$65602,MATCH($A18,[14]Names!$F$1:$F$65602,0),1))</f>
        <v>3</v>
      </c>
      <c r="AH18" s="51">
        <f>INDEX([14]BasicUncertainty!$H$1:$H$65536,MATCH(AG18,[14]BasicUncertainty!$B$1:$B$65536,0),1)</f>
        <v>1.05</v>
      </c>
      <c r="AI18" s="87">
        <f>EXP(SQRT((LN(AL18)^2)+(LN(AM18)^2)+(LN(AN18)^2)+(LN(AO18)^2)+(LN(AP18)^2)+(LN(AQ18)^2)))</f>
        <v>1.1150377561073679</v>
      </c>
      <c r="AJ18" s="88">
        <f>EXP(SQRT((LN(AL18)^2)+(LN(AM18)^2)+(LN(AN18)^2)+(LN(AO18)^2)+(LN(AP18)^2)+(LN(AQ18)^2)+LN(AH18)^2))</f>
        <v>1.1267298112245603</v>
      </c>
      <c r="AK18" s="89" t="str">
        <f>CONCATENATE("(",AA18,",",AB18,",",AC18,",",AD18,",",AE18,",",AF18,")")</f>
        <v>(3,2,1,1,1,3)</v>
      </c>
      <c r="AL18" s="52">
        <f>IF(AA18=1,'[14]SDG^2 values'!$B$4,IF(AA18=2,'[14]SDG^2 values'!$C$4,IF(AA18=3,'[14]SDG^2 values'!$D$4,IF(AA18=4,'[14]SDG^2 values'!$E$4,IF(AA18=5,'[14]SDG^2 values'!$F$4,1)))))</f>
        <v>1.1000000000000001</v>
      </c>
      <c r="AM18" s="52">
        <f>IF(AB18=1,'[14]SDG^2 values'!$B$5,IF(AB18=2,'[14]SDG^2 values'!$C$5,IF(AB18=3,'[14]SDG^2 values'!$D$5,IF(AB18=4,'[14]SDG^2 values'!$E$5,IF(AB18=5,'[14]SDG^2 values'!$F$5,1)))))</f>
        <v>1.02</v>
      </c>
      <c r="AN18" s="52">
        <f>IF(AC18=1,'[14]SDG^2 values'!$B$6,IF(AC18=2,'[14]SDG^2 values'!$C$6,IF(AC18=3,'[14]SDG^2 values'!$D$6,IF(AC18=4,'[14]SDG^2 values'!$E$6,IF(AC18=5,'[14]SDG^2 values'!$F$6,1)))))</f>
        <v>1</v>
      </c>
      <c r="AO18" s="52">
        <f>IF(AD18=1,'[14]SDG^2 values'!$B$7,IF(AD18=2,'[14]SDG^2 values'!$C$7,IF(AD18=3,'[14]SDG^2 values'!$D$7,IF(AD18=4,'[14]SDG^2 values'!$E$7,IF(AD18=5,'[14]SDG^2 values'!$F$7,1)))))</f>
        <v>1</v>
      </c>
      <c r="AP18" s="52">
        <f>IF(AE18=1,'[14]SDG^2 values'!$B$8,IF(AE18=2,'[14]SDG^2 values'!$C$8,IF(AE18=3,'[14]SDG^2 values'!$D$8,IF(AE18=4,'[14]SDG^2 values'!$E$8,IF(AE18=5,'[14]SDG^2 values'!$F$8,1)))))</f>
        <v>1</v>
      </c>
      <c r="AQ18" s="52">
        <f>IF(AF18=1,'[14]SDG^2 values'!$B$9,IF(AF18=2,'[14]SDG^2 values'!$C$9,IF(AF18=3,'[14]SDG^2 values'!$D$9,IF(AF18=4,'[14]SDG^2 values'!$E$9,IF(AF18=5,'[14]SDG^2 values'!$F$9,1)))))</f>
        <v>1.05</v>
      </c>
      <c r="AS18" s="7" t="e">
        <f>#REF!*1.6*0.8*9</f>
        <v>#REF!</v>
      </c>
    </row>
    <row r="19" spans="1:45" ht="24">
      <c r="A19" s="2">
        <v>3822</v>
      </c>
      <c r="B19" s="37" t="s">
        <v>525</v>
      </c>
      <c r="C19" s="151" t="s">
        <v>525</v>
      </c>
      <c r="D19" s="152" t="s">
        <v>526</v>
      </c>
      <c r="E19" s="153" t="s">
        <v>402</v>
      </c>
      <c r="F19" s="144" t="str">
        <f>IF(OR(D19="4",E19="4"),INDEX([14]NamesElementary!$B$1:$B$65536,MATCH(A19,[14]NamesElementary!$A$1:$A$65536,0),1),INDEX([14]Names!$J$1:$J$65602,MATCH(A19,[14]Names!$F$1:$F$65602,0),1))</f>
        <v>glass fibre reinforced plastic, polyamide, injection moulding, at plant</v>
      </c>
      <c r="G19" s="125" t="str">
        <f>IF(OR(D19="4",E19="4"),"-",INDEX([14]Names!$K$1:$K$65602,MATCH(A19,[14]Names!$F$1:$F$65602,0),1))</f>
        <v>RER</v>
      </c>
      <c r="H19" s="154" t="str">
        <f>IF(OR(D19="4",E19="4"),INDEX([14]NamesElementary!$D$1:$D$65536,MATCH($A19,[14]NamesElementary!$A$1:$A$65536,0),1),"-")</f>
        <v>-</v>
      </c>
      <c r="I19" s="123" t="str">
        <f>IF(OR(D19="4",E19="4"),INDEX([14]NamesElementary!$E$1:$E$65536,MATCH($A19,[14]NamesElementary!$A$1:$A$65536,0),1),"-")</f>
        <v>-</v>
      </c>
      <c r="J19" s="124">
        <f>IF(OR(D19="4",E19="4"),"-",INDEX([14]Names!$N$1:$N$65602,MATCH(A19,[14]Names!$F$1:$F$65602,0),1))</f>
        <v>0</v>
      </c>
      <c r="K19" s="125" t="str">
        <f>IF(OR(D19="4",E19="4"),INDEX([14]NamesElementary!$G$1:$G$65536,MATCH(A19,[14]NamesElementary!$A$1:$A$65536,0),1),INDEX([14]Names!$O$1:$O$65602,MATCH(A19,[14]Names!$F$1:$F$65602,0),1))</f>
        <v>kg</v>
      </c>
      <c r="L19" s="155">
        <f>U19</f>
        <v>0.04</v>
      </c>
      <c r="M19" s="29">
        <v>1</v>
      </c>
      <c r="N19" s="1">
        <f>$AJ19</f>
        <v>1.1267298112245603</v>
      </c>
      <c r="O19" s="139" t="str">
        <f>$AK19&amp;"; "&amp;$Z19</f>
        <v>(3,2,1,1,1,3); Raugei, literature</v>
      </c>
      <c r="P19" s="155">
        <v>0</v>
      </c>
      <c r="Q19" s="29">
        <v>1</v>
      </c>
      <c r="R19" s="1">
        <f>$AJ19</f>
        <v>1.1267298112245603</v>
      </c>
      <c r="S19" s="31" t="str">
        <f>$AK19&amp;"; "&amp;$Z19</f>
        <v>(3,2,1,1,1,3); Raugei, literature</v>
      </c>
      <c r="T19" s="182"/>
      <c r="U19" s="182">
        <v>0.04</v>
      </c>
      <c r="V19" s="182"/>
      <c r="W19" s="259"/>
      <c r="X19" s="259"/>
      <c r="Y19" s="253">
        <v>0.3</v>
      </c>
      <c r="Z19" s="115" t="s">
        <v>474</v>
      </c>
      <c r="AA19" s="11">
        <f t="shared" si="9"/>
        <v>3</v>
      </c>
      <c r="AB19" s="11">
        <f t="shared" si="9"/>
        <v>2</v>
      </c>
      <c r="AC19" s="11">
        <f t="shared" si="9"/>
        <v>1</v>
      </c>
      <c r="AD19" s="11">
        <f t="shared" si="9"/>
        <v>1</v>
      </c>
      <c r="AE19" s="11">
        <f t="shared" si="9"/>
        <v>1</v>
      </c>
      <c r="AF19" s="11">
        <f t="shared" si="9"/>
        <v>3</v>
      </c>
      <c r="AG19" s="50">
        <f>IF(OR($D19="4",$E19="4"),INDEX([14]NamesElementary!$J$1:$J$65536,MATCH($A19,[14]NamesElementary!$A$1:$A$65536,0),1),INDEX([14]Names!$W$1:$W$65602,MATCH($A19,[14]Names!$F$1:$F$65602,0),1))</f>
        <v>3</v>
      </c>
      <c r="AH19" s="51">
        <f>INDEX([14]BasicUncertainty!$H$1:$H$65536,MATCH(AG19,[14]BasicUncertainty!$B$1:$B$65536,0),1)</f>
        <v>1.05</v>
      </c>
      <c r="AI19" s="87">
        <f>EXP(SQRT((LN(AL19)^2)+(LN(AM19)^2)+(LN(AN19)^2)+(LN(AO19)^2)+(LN(AP19)^2)+(LN(AQ19)^2)))</f>
        <v>1.1150377561073679</v>
      </c>
      <c r="AJ19" s="88">
        <f>EXP(SQRT((LN(AL19)^2)+(LN(AM19)^2)+(LN(AN19)^2)+(LN(AO19)^2)+(LN(AP19)^2)+(LN(AQ19)^2)+LN(AH19)^2))</f>
        <v>1.1267298112245603</v>
      </c>
      <c r="AK19" s="89" t="str">
        <f>CONCATENATE("(",AA19,",",AB19,",",AC19,",",AD19,",",AE19,",",AF19,")")</f>
        <v>(3,2,1,1,1,3)</v>
      </c>
      <c r="AL19" s="52">
        <f>IF(AA19=1,'[14]SDG^2 values'!$B$4,IF(AA19=2,'[14]SDG^2 values'!$C$4,IF(AA19=3,'[14]SDG^2 values'!$D$4,IF(AA19=4,'[14]SDG^2 values'!$E$4,IF(AA19=5,'[14]SDG^2 values'!$F$4,1)))))</f>
        <v>1.1000000000000001</v>
      </c>
      <c r="AM19" s="52">
        <f>IF(AB19=1,'[14]SDG^2 values'!$B$5,IF(AB19=2,'[14]SDG^2 values'!$C$5,IF(AB19=3,'[14]SDG^2 values'!$D$5,IF(AB19=4,'[14]SDG^2 values'!$E$5,IF(AB19=5,'[14]SDG^2 values'!$F$5,1)))))</f>
        <v>1.02</v>
      </c>
      <c r="AN19" s="52">
        <f>IF(AC19=1,'[14]SDG^2 values'!$B$6,IF(AC19=2,'[14]SDG^2 values'!$C$6,IF(AC19=3,'[14]SDG^2 values'!$D$6,IF(AC19=4,'[14]SDG^2 values'!$E$6,IF(AC19=5,'[14]SDG^2 values'!$F$6,1)))))</f>
        <v>1</v>
      </c>
      <c r="AO19" s="52">
        <f>IF(AD19=1,'[14]SDG^2 values'!$B$7,IF(AD19=2,'[14]SDG^2 values'!$C$7,IF(AD19=3,'[14]SDG^2 values'!$D$7,IF(AD19=4,'[14]SDG^2 values'!$E$7,IF(AD19=5,'[14]SDG^2 values'!$F$7,1)))))</f>
        <v>1</v>
      </c>
      <c r="AP19" s="52">
        <f>IF(AE19=1,'[14]SDG^2 values'!$B$8,IF(AE19=2,'[14]SDG^2 values'!$C$8,IF(AE19=3,'[14]SDG^2 values'!$D$8,IF(AE19=4,'[14]SDG^2 values'!$E$8,IF(AE19=5,'[14]SDG^2 values'!$F$8,1)))))</f>
        <v>1</v>
      </c>
      <c r="AQ19" s="52">
        <f>IF(AF19=1,'[14]SDG^2 values'!$B$9,IF(AF19=2,'[14]SDG^2 values'!$C$9,IF(AF19=3,'[14]SDG^2 values'!$D$9,IF(AF19=4,'[14]SDG^2 values'!$E$9,IF(AF19=5,'[14]SDG^2 values'!$F$9,1)))))</f>
        <v>1.05</v>
      </c>
    </row>
    <row r="20" spans="1:45" ht="12.75">
      <c r="A20" s="2">
        <v>1212</v>
      </c>
      <c r="B20" s="37" t="s">
        <v>525</v>
      </c>
      <c r="C20" s="151" t="s">
        <v>525</v>
      </c>
      <c r="D20" s="152" t="s">
        <v>526</v>
      </c>
      <c r="E20" s="153" t="s">
        <v>402</v>
      </c>
      <c r="F20" s="144" t="str">
        <f>IF(OR(D20="4",E20="4"),INDEX([14]NamesElementary!$B$1:$B$65536,MATCH(A20,[14]NamesElementary!$A$1:$A$65536,0),1),INDEX([14]Names!$J$1:$J$65602,MATCH(A20,[14]Names!$F$1:$F$65602,0),1))</f>
        <v>ethylvinylacetate, foil, at plant</v>
      </c>
      <c r="G20" s="125" t="str">
        <f>IF(OR(D20="4",E20="4"),"-",INDEX([14]Names!$K$1:$K$65602,MATCH(A20,[14]Names!$F$1:$F$65602,0),1))</f>
        <v>RER</v>
      </c>
      <c r="H20" s="154" t="str">
        <f>IF(OR(D20="4",E20="4"),INDEX([14]NamesElementary!$D$1:$D$65536,MATCH($A20,[14]NamesElementary!$A$1:$A$65536,0),1),"-")</f>
        <v>-</v>
      </c>
      <c r="I20" s="123" t="str">
        <f>IF(OR(D20="4",E20="4"),INDEX([14]NamesElementary!$E$1:$E$65536,MATCH($A20,[14]NamesElementary!$A$1:$A$65536,0),1),"-")</f>
        <v>-</v>
      </c>
      <c r="J20" s="124">
        <f>IF(OR(D20="4",E20="4"),"-",INDEX([14]Names!$N$1:$N$65602,MATCH(A20,[14]Names!$F$1:$F$65602,0),1))</f>
        <v>0</v>
      </c>
      <c r="K20" s="125" t="str">
        <f>IF(OR(D20="4",E20="4"),INDEX([14]NamesElementary!$G$1:$G$65536,MATCH(A20,[14]NamesElementary!$A$1:$A$65536,0),1),INDEX([14]Names!$O$1:$O$65602,MATCH(A20,[14]Names!$F$1:$F$65602,0),1))</f>
        <v>kg</v>
      </c>
      <c r="L20" s="155">
        <f>T20</f>
        <v>0.63</v>
      </c>
      <c r="M20" s="29">
        <v>1</v>
      </c>
      <c r="N20" s="1">
        <f>$AJ20</f>
        <v>1.1267298112245603</v>
      </c>
      <c r="O20" s="139" t="str">
        <f>$AK20&amp;"; "&amp;$Z20</f>
        <v>(3,2,1,1,1,3); Raugei, literature</v>
      </c>
      <c r="P20" s="155">
        <v>0</v>
      </c>
      <c r="Q20" s="29">
        <v>1</v>
      </c>
      <c r="R20" s="1">
        <f>$AJ20</f>
        <v>1.1267298112245603</v>
      </c>
      <c r="S20" s="31" t="str">
        <f>$AK20&amp;"; "&amp;$Z20</f>
        <v>(3,2,1,1,1,3); Raugei, literature</v>
      </c>
      <c r="T20" s="182">
        <v>0.63</v>
      </c>
      <c r="U20" s="182"/>
      <c r="V20" s="182">
        <f>V40*4.9%</f>
        <v>1.0888888888888888</v>
      </c>
      <c r="W20" s="259">
        <v>0.43</v>
      </c>
      <c r="X20" s="259"/>
      <c r="Y20" s="253">
        <v>1.6</v>
      </c>
      <c r="Z20" s="115" t="s">
        <v>474</v>
      </c>
      <c r="AA20" s="11">
        <f t="shared" si="9"/>
        <v>3</v>
      </c>
      <c r="AB20" s="11">
        <f t="shared" si="9"/>
        <v>2</v>
      </c>
      <c r="AC20" s="11">
        <f t="shared" si="9"/>
        <v>1</v>
      </c>
      <c r="AD20" s="11">
        <f t="shared" si="9"/>
        <v>1</v>
      </c>
      <c r="AE20" s="11">
        <f t="shared" si="9"/>
        <v>1</v>
      </c>
      <c r="AF20" s="11">
        <f t="shared" si="9"/>
        <v>3</v>
      </c>
      <c r="AG20" s="50">
        <f>IF(OR($D20="4",$E20="4"),INDEX([14]NamesElementary!$J$1:$J$65536,MATCH($A20,[14]NamesElementary!$A$1:$A$65536,0),1),INDEX([14]Names!$W$1:$W$65602,MATCH($A20,[14]Names!$F$1:$F$65602,0),1))</f>
        <v>3</v>
      </c>
      <c r="AH20" s="51">
        <f>INDEX([14]BasicUncertainty!$H$1:$H$65536,MATCH(AG20,[14]BasicUncertainty!$B$1:$B$65536,0),1)</f>
        <v>1.05</v>
      </c>
      <c r="AI20" s="87">
        <f>EXP(SQRT((LN(AL20)^2)+(LN(AM20)^2)+(LN(AN20)^2)+(LN(AO20)^2)+(LN(AP20)^2)+(LN(AQ20)^2)))</f>
        <v>1.1150377561073679</v>
      </c>
      <c r="AJ20" s="88">
        <f>EXP(SQRT((LN(AL20)^2)+(LN(AM20)^2)+(LN(AN20)^2)+(LN(AO20)^2)+(LN(AP20)^2)+(LN(AQ20)^2)+LN(AH20)^2))</f>
        <v>1.1267298112245603</v>
      </c>
      <c r="AK20" s="89" t="str">
        <f>CONCATENATE("(",AA20,",",AB20,",",AC20,",",AD20,",",AE20,",",AF20,")")</f>
        <v>(3,2,1,1,1,3)</v>
      </c>
      <c r="AL20" s="52">
        <f>IF(AA20=1,'[14]SDG^2 values'!$B$4,IF(AA20=2,'[14]SDG^2 values'!$C$4,IF(AA20=3,'[14]SDG^2 values'!$D$4,IF(AA20=4,'[14]SDG^2 values'!$E$4,IF(AA20=5,'[14]SDG^2 values'!$F$4,1)))))</f>
        <v>1.1000000000000001</v>
      </c>
      <c r="AM20" s="52">
        <f>IF(AB20=1,'[14]SDG^2 values'!$B$5,IF(AB20=2,'[14]SDG^2 values'!$C$5,IF(AB20=3,'[14]SDG^2 values'!$D$5,IF(AB20=4,'[14]SDG^2 values'!$E$5,IF(AB20=5,'[14]SDG^2 values'!$F$5,1)))))</f>
        <v>1.02</v>
      </c>
      <c r="AN20" s="52">
        <f>IF(AC20=1,'[14]SDG^2 values'!$B$6,IF(AC20=2,'[14]SDG^2 values'!$C$6,IF(AC20=3,'[14]SDG^2 values'!$D$6,IF(AC20=4,'[14]SDG^2 values'!$E$6,IF(AC20=5,'[14]SDG^2 values'!$F$6,1)))))</f>
        <v>1</v>
      </c>
      <c r="AO20" s="52">
        <f>IF(AD20=1,'[14]SDG^2 values'!$B$7,IF(AD20=2,'[14]SDG^2 values'!$C$7,IF(AD20=3,'[14]SDG^2 values'!$D$7,IF(AD20=4,'[14]SDG^2 values'!$E$7,IF(AD20=5,'[14]SDG^2 values'!$F$7,1)))))</f>
        <v>1</v>
      </c>
      <c r="AP20" s="52">
        <f>IF(AE20=1,'[14]SDG^2 values'!$B$8,IF(AE20=2,'[14]SDG^2 values'!$C$8,IF(AE20=3,'[14]SDG^2 values'!$D$8,IF(AE20=4,'[14]SDG^2 values'!$E$8,IF(AE20=5,'[14]SDG^2 values'!$F$8,1)))))</f>
        <v>1</v>
      </c>
      <c r="AQ20" s="52">
        <f>IF(AF20=1,'[14]SDG^2 values'!$B$9,IF(AF20=2,'[14]SDG^2 values'!$C$9,IF(AF20=3,'[14]SDG^2 values'!$D$9,IF(AF20=4,'[14]SDG^2 values'!$E$9,IF(AF20=5,'[14]SDG^2 values'!$F$9,1)))))</f>
        <v>1.05</v>
      </c>
    </row>
    <row r="21" spans="1:45" ht="24">
      <c r="A21" s="226">
        <v>1065</v>
      </c>
      <c r="B21" s="37" t="s">
        <v>476</v>
      </c>
      <c r="C21" s="151" t="s">
        <v>525</v>
      </c>
      <c r="D21" s="152" t="s">
        <v>526</v>
      </c>
      <c r="E21" s="153" t="s">
        <v>402</v>
      </c>
      <c r="F21" s="144" t="str">
        <f>IF(OR(D21="4",E21="4"),INDEX([14]NamesElementary!$B$1:$B$65536,MATCH(A21,[14]NamesElementary!$A$1:$A$65536,0),1),INDEX([14]Names!$J$1:$J$65602,MATCH(A21,[14]Names!$F$1:$F$65602,0),1))</f>
        <v>nickel, 99.5%, at plant</v>
      </c>
      <c r="G21" s="125" t="str">
        <f>IF(OR(D21="4",E21="4"),"-",INDEX([14]Names!$K$1:$K$65602,MATCH(A21,[14]Names!$F$1:$F$65602,0),1))</f>
        <v>GLO</v>
      </c>
      <c r="H21" s="154" t="str">
        <f>IF(OR(D21="4",E21="4"),INDEX([14]NamesElementary!$D$1:$D$65536,MATCH($A21,[14]NamesElementary!$A$1:$A$65536,0),1),"-")</f>
        <v>-</v>
      </c>
      <c r="I21" s="123" t="str">
        <f>IF(OR(D21="4",E21="4"),INDEX([14]NamesElementary!$E$1:$E$65536,MATCH($A21,[14]NamesElementary!$A$1:$A$65536,0),1),"-")</f>
        <v>-</v>
      </c>
      <c r="J21" s="124">
        <f>IF(OR(D21="4",E21="4"),"-",INDEX([14]Names!$N$1:$N$65602,MATCH(A21,[14]Names!$F$1:$F$65602,0),1))</f>
        <v>0</v>
      </c>
      <c r="K21" s="125" t="str">
        <f>IF(OR(D21="4",E21="4"),INDEX([14]NamesElementary!$G$1:$G$65536,MATCH(A21,[14]NamesElementary!$A$1:$A$65536,0),1),INDEX([14]Names!$O$1:$O$65602,MATCH(A21,[14]Names!$F$1:$F$65602,0),1))</f>
        <v>kg</v>
      </c>
      <c r="L21" s="155">
        <f>Y$24*$X21</f>
        <v>1.7730079203504459E-2</v>
      </c>
      <c r="M21" s="29">
        <v>1</v>
      </c>
      <c r="N21" s="1">
        <f t="shared" si="0"/>
        <v>2.3254787670098134</v>
      </c>
      <c r="O21" s="139" t="str">
        <f t="shared" si="1"/>
        <v>(5,5,2,1,1,5); literature and own assumptions, basic uncertainty = 2</v>
      </c>
      <c r="P21" s="155">
        <v>0</v>
      </c>
      <c r="Q21" s="29">
        <v>1</v>
      </c>
      <c r="R21" s="1">
        <f t="shared" si="2"/>
        <v>2.3254787670098134</v>
      </c>
      <c r="S21" s="31" t="str">
        <f t="shared" si="3"/>
        <v>(5,5,2,1,1,5); literature and own assumptions, basic uncertainty = 2</v>
      </c>
      <c r="T21" s="283" t="s">
        <v>676</v>
      </c>
      <c r="U21" s="182"/>
      <c r="V21" s="283" t="s">
        <v>676</v>
      </c>
      <c r="W21" s="259"/>
      <c r="X21" s="350">
        <v>0.23263071526888665</v>
      </c>
      <c r="Y21" s="253">
        <v>2.5999999999999998E-4</v>
      </c>
      <c r="Z21" s="286" t="s">
        <v>176</v>
      </c>
      <c r="AA21" s="357">
        <v>5</v>
      </c>
      <c r="AB21" s="357">
        <v>5</v>
      </c>
      <c r="AC21" s="357">
        <v>2</v>
      </c>
      <c r="AD21" s="357">
        <f t="shared" si="9"/>
        <v>1</v>
      </c>
      <c r="AE21" s="357">
        <f t="shared" si="9"/>
        <v>1</v>
      </c>
      <c r="AF21" s="357">
        <v>5</v>
      </c>
      <c r="AG21" s="50">
        <f>IF(OR($D21="4",$E21="4"),INDEX([14]NamesElementary!$J$1:$J$65536,MATCH($A21,[14]NamesElementary!$A$1:$A$65536,0),1),INDEX([14]Names!$W$1:$W$65602,MATCH($A21,[14]Names!$F$1:$F$65602,0),1))</f>
        <v>3</v>
      </c>
      <c r="AH21" s="357">
        <v>2</v>
      </c>
      <c r="AI21" s="87">
        <f t="shared" si="5"/>
        <v>1.6183586893966107</v>
      </c>
      <c r="AJ21" s="88">
        <f t="shared" si="6"/>
        <v>2.3254787670098134</v>
      </c>
      <c r="AK21" s="89" t="str">
        <f t="shared" si="7"/>
        <v>(5,5,2,1,1,5)</v>
      </c>
      <c r="AL21" s="52">
        <f>IF(AA21=1,'[14]SDG^2 values'!$B$4,IF(AA21=2,'[14]SDG^2 values'!$C$4,IF(AA21=3,'[14]SDG^2 values'!$D$4,IF(AA21=4,'[14]SDG^2 values'!$E$4,IF(AA21=5,'[14]SDG^2 values'!$F$4,1)))))</f>
        <v>1.5</v>
      </c>
      <c r="AM21" s="52">
        <f>IF(AB21=1,'[14]SDG^2 values'!$B$5,IF(AB21=2,'[14]SDG^2 values'!$C$5,IF(AB21=3,'[14]SDG^2 values'!$D$5,IF(AB21=4,'[14]SDG^2 values'!$E$5,IF(AB21=5,'[14]SDG^2 values'!$F$5,1)))))</f>
        <v>1.2</v>
      </c>
      <c r="AN21" s="52">
        <f>IF(AC21=1,'[14]SDG^2 values'!$B$6,IF(AC21=2,'[14]SDG^2 values'!$C$6,IF(AC21=3,'[14]SDG^2 values'!$D$6,IF(AC21=4,'[14]SDG^2 values'!$E$6,IF(AC21=5,'[14]SDG^2 values'!$F$6,1)))))</f>
        <v>1.03</v>
      </c>
      <c r="AO21" s="52">
        <f>IF(AD21=1,'[14]SDG^2 values'!$B$7,IF(AD21=2,'[14]SDG^2 values'!$C$7,IF(AD21=3,'[14]SDG^2 values'!$D$7,IF(AD21=4,'[14]SDG^2 values'!$E$7,IF(AD21=5,'[14]SDG^2 values'!$F$7,1)))))</f>
        <v>1</v>
      </c>
      <c r="AP21" s="52">
        <f>IF(AE21=1,'[14]SDG^2 values'!$B$8,IF(AE21=2,'[14]SDG^2 values'!$C$8,IF(AE21=3,'[14]SDG^2 values'!$D$8,IF(AE21=4,'[14]SDG^2 values'!$E$8,IF(AE21=5,'[14]SDG^2 values'!$F$8,1)))))</f>
        <v>1</v>
      </c>
      <c r="AQ21" s="52">
        <f>IF(AF21=1,'[14]SDG^2 values'!$B$9,IF(AF21=2,'[14]SDG^2 values'!$C$9,IF(AF21=3,'[14]SDG^2 values'!$D$9,IF(AF21=4,'[14]SDG^2 values'!$E$9,IF(AF21=5,'[14]SDG^2 values'!$F$9,1)))))</f>
        <v>1.2</v>
      </c>
    </row>
    <row r="22" spans="1:45" ht="24">
      <c r="A22" s="226">
        <v>32118</v>
      </c>
      <c r="B22" s="37"/>
      <c r="C22" s="151" t="s">
        <v>525</v>
      </c>
      <c r="D22" s="152" t="s">
        <v>526</v>
      </c>
      <c r="E22" s="153" t="s">
        <v>402</v>
      </c>
      <c r="F22" s="144" t="str">
        <f>IF(OR(D22="4",E22="4"),INDEX([14]NamesElementary!$B$1:$B$65536,MATCH(A22,[14]NamesElementary!$A$1:$A$65536,0),1),INDEX([14]Names!$J$1:$J$65602,MATCH(A22,[14]Names!$F$1:$F$65602,0),1))</f>
        <v>cadmium chloride, semiconductor-grade, at plant</v>
      </c>
      <c r="G22" s="125" t="str">
        <f>IF(OR(D22="4",E22="4"),"-",INDEX([14]Names!$K$1:$K$65602,MATCH(A22,[14]Names!$F$1:$F$65602,0),1))</f>
        <v>US</v>
      </c>
      <c r="H22" s="154" t="str">
        <f>IF(OR(D22="4",E22="4"),INDEX([14]NamesElementary!$D$1:$D$65536,MATCH($A22,[14]NamesElementary!$A$1:$A$65536,0),1),"-")</f>
        <v>-</v>
      </c>
      <c r="I22" s="123" t="str">
        <f>IF(OR(D22="4",E22="4"),INDEX([14]NamesElementary!$E$1:$E$65536,MATCH($A22,[14]NamesElementary!$A$1:$A$65536,0),1),"-")</f>
        <v>-</v>
      </c>
      <c r="J22" s="124">
        <f>IF(OR(D22="4",E22="4"),"-",INDEX([14]Names!$N$1:$N$65602,MATCH(A22,[14]Names!$F$1:$F$65602,0),1))</f>
        <v>0</v>
      </c>
      <c r="K22" s="125" t="str">
        <f>IF(OR(D22="4",E22="4"),INDEX([14]NamesElementary!$G$1:$G$65536,MATCH(A22,[14]NamesElementary!$A$1:$A$65536,0),1),INDEX([14]Names!$O$1:$O$65602,MATCH(A22,[14]Names!$F$1:$F$65602,0),1))</f>
        <v>kg</v>
      </c>
      <c r="L22" s="155">
        <f>Y$24*$X22</f>
        <v>4.0053562308884202E-3</v>
      </c>
      <c r="M22" s="29">
        <v>1</v>
      </c>
      <c r="N22" s="1">
        <f t="shared" si="0"/>
        <v>2.3254787670098134</v>
      </c>
      <c r="O22" s="139" t="str">
        <f t="shared" si="1"/>
        <v>(5,5,2,1,1,5); literature and own assumptions, basic uncertainty = 2</v>
      </c>
      <c r="P22" s="155">
        <v>0</v>
      </c>
      <c r="Q22" s="29">
        <v>1</v>
      </c>
      <c r="R22" s="1">
        <f t="shared" si="2"/>
        <v>2.3254787670098134</v>
      </c>
      <c r="S22" s="31" t="str">
        <f t="shared" si="3"/>
        <v>(5,5,2,1,1,5); literature and own assumptions, basic uncertainty = 2</v>
      </c>
      <c r="T22" s="278" t="s">
        <v>676</v>
      </c>
      <c r="U22" s="182"/>
      <c r="V22" s="278" t="s">
        <v>676</v>
      </c>
      <c r="W22" s="259"/>
      <c r="X22" s="350">
        <v>5.2553001833973496E-2</v>
      </c>
      <c r="Y22" s="253"/>
      <c r="Z22" s="286" t="str">
        <f>Z$21</f>
        <v>literature and own assumptions, basic uncertainty = 2</v>
      </c>
      <c r="AA22" s="357">
        <f t="shared" ref="AA22:AH25" si="10">AA$21</f>
        <v>5</v>
      </c>
      <c r="AB22" s="357">
        <f t="shared" si="10"/>
        <v>5</v>
      </c>
      <c r="AC22" s="357">
        <f t="shared" si="10"/>
        <v>2</v>
      </c>
      <c r="AD22" s="357">
        <f t="shared" si="10"/>
        <v>1</v>
      </c>
      <c r="AE22" s="357">
        <f t="shared" si="10"/>
        <v>1</v>
      </c>
      <c r="AF22" s="357">
        <f t="shared" si="10"/>
        <v>5</v>
      </c>
      <c r="AG22" s="50">
        <f>IF(OR($D22="4",$E22="4"),INDEX([14]NamesElementary!$J$1:$J$65536,MATCH($A22,[14]NamesElementary!$A$1:$A$65536,0),1),INDEX([14]Names!$W$1:$W$65602,MATCH($A22,[14]Names!$F$1:$F$65602,0),1))</f>
        <v>3</v>
      </c>
      <c r="AH22" s="357">
        <f t="shared" si="10"/>
        <v>2</v>
      </c>
      <c r="AI22" s="87">
        <f>EXP(SQRT((LN(AL22)^2)+(LN(AM22)^2)+(LN(AN22)^2)+(LN(AO22)^2)+(LN(AP22)^2)+(LN(AQ22)^2)))</f>
        <v>1.6183586893966107</v>
      </c>
      <c r="AJ22" s="88">
        <f>EXP(SQRT((LN(AL22)^2)+(LN(AM22)^2)+(LN(AN22)^2)+(LN(AO22)^2)+(LN(AP22)^2)+(LN(AQ22)^2)+LN(AH22)^2))</f>
        <v>2.3254787670098134</v>
      </c>
      <c r="AK22" s="89" t="str">
        <f>CONCATENATE("(",AA22,",",AB22,",",AC22,",",AD22,",",AE22,",",AF22,")")</f>
        <v>(5,5,2,1,1,5)</v>
      </c>
      <c r="AL22" s="52">
        <f>IF(AA22=1,'[14]SDG^2 values'!$B$4,IF(AA22=2,'[14]SDG^2 values'!$C$4,IF(AA22=3,'[14]SDG^2 values'!$D$4,IF(AA22=4,'[14]SDG^2 values'!$E$4,IF(AA22=5,'[14]SDG^2 values'!$F$4,1)))))</f>
        <v>1.5</v>
      </c>
      <c r="AM22" s="52">
        <f>IF(AB22=1,'[14]SDG^2 values'!$B$5,IF(AB22=2,'[14]SDG^2 values'!$C$5,IF(AB22=3,'[14]SDG^2 values'!$D$5,IF(AB22=4,'[14]SDG^2 values'!$E$5,IF(AB22=5,'[14]SDG^2 values'!$F$5,1)))))</f>
        <v>1.2</v>
      </c>
      <c r="AN22" s="52">
        <f>IF(AC22=1,'[14]SDG^2 values'!$B$6,IF(AC22=2,'[14]SDG^2 values'!$C$6,IF(AC22=3,'[14]SDG^2 values'!$D$6,IF(AC22=4,'[14]SDG^2 values'!$E$6,IF(AC22=5,'[14]SDG^2 values'!$F$6,1)))))</f>
        <v>1.03</v>
      </c>
      <c r="AO22" s="52">
        <f>IF(AD22=1,'[14]SDG^2 values'!$B$7,IF(AD22=2,'[14]SDG^2 values'!$C$7,IF(AD22=3,'[14]SDG^2 values'!$D$7,IF(AD22=4,'[14]SDG^2 values'!$E$7,IF(AD22=5,'[14]SDG^2 values'!$F$7,1)))))</f>
        <v>1</v>
      </c>
      <c r="AP22" s="52">
        <f>IF(AE22=1,'[14]SDG^2 values'!$B$8,IF(AE22=2,'[14]SDG^2 values'!$C$8,IF(AE22=3,'[14]SDG^2 values'!$D$8,IF(AE22=4,'[14]SDG^2 values'!$E$8,IF(AE22=5,'[14]SDG^2 values'!$F$8,1)))))</f>
        <v>1</v>
      </c>
      <c r="AQ22" s="52">
        <f>IF(AF22=1,'[14]SDG^2 values'!$B$9,IF(AF22=2,'[14]SDG^2 values'!$C$9,IF(AF22=3,'[14]SDG^2 values'!$D$9,IF(AF22=4,'[14]SDG^2 values'!$E$9,IF(AF22=5,'[14]SDG^2 values'!$F$9,1)))))</f>
        <v>1.2</v>
      </c>
    </row>
    <row r="23" spans="1:45" ht="24">
      <c r="A23" s="226">
        <v>32119</v>
      </c>
      <c r="B23" s="37"/>
      <c r="C23" s="151" t="s">
        <v>525</v>
      </c>
      <c r="D23" s="152" t="s">
        <v>526</v>
      </c>
      <c r="E23" s="153" t="s">
        <v>402</v>
      </c>
      <c r="F23" s="144" t="str">
        <f>IF(OR(D23="4",E23="4"),INDEX([14]NamesElementary!$B$1:$B$65536,MATCH(A23,[14]NamesElementary!$A$1:$A$65536,0),1),INDEX([14]Names!$J$1:$J$65602,MATCH(A23,[14]Names!$F$1:$F$65602,0),1))</f>
        <v>cadmium telluride, semiconductor-grade, at plant</v>
      </c>
      <c r="G23" s="125" t="str">
        <f>IF(OR(D23="4",E23="4"),"-",INDEX([14]Names!$K$1:$K$65602,MATCH(A23,[14]Names!$F$1:$F$65602,0),1))</f>
        <v>US</v>
      </c>
      <c r="H23" s="154" t="str">
        <f>IF(OR(D23="4",E23="4"),INDEX([14]NamesElementary!$D$1:$D$65536,MATCH($A23,[14]NamesElementary!$A$1:$A$65536,0),1),"-")</f>
        <v>-</v>
      </c>
      <c r="I23" s="123" t="str">
        <f>IF(OR(D23="4",E23="4"),INDEX([14]NamesElementary!$E$1:$E$65536,MATCH($A23,[14]NamesElementary!$A$1:$A$65536,0),1),"-")</f>
        <v>-</v>
      </c>
      <c r="J23" s="124">
        <f>IF(OR(D23="4",E23="4"),"-",INDEX([14]Names!$N$1:$N$65602,MATCH(A23,[14]Names!$F$1:$F$65602,0),1))</f>
        <v>0</v>
      </c>
      <c r="K23" s="125" t="str">
        <f>IF(OR(D23="4",E23="4"),INDEX([14]NamesElementary!$G$1:$G$65536,MATCH(A23,[14]NamesElementary!$A$1:$A$65536,0),1),INDEX([14]Names!$O$1:$O$65602,MATCH(A23,[14]Names!$F$1:$F$65602,0),1))</f>
        <v>kg</v>
      </c>
      <c r="L23" s="155">
        <f>Y$24*$X23</f>
        <v>2.5214115025309517E-2</v>
      </c>
      <c r="M23" s="29">
        <v>1</v>
      </c>
      <c r="N23" s="1">
        <f t="shared" si="0"/>
        <v>2.3254787670098134</v>
      </c>
      <c r="O23" s="139" t="str">
        <f t="shared" si="1"/>
        <v>(5,5,2,1,1,5); literature and own assumptions, basic uncertainty = 2</v>
      </c>
      <c r="P23" s="155">
        <v>0</v>
      </c>
      <c r="Q23" s="29">
        <v>1</v>
      </c>
      <c r="R23" s="1">
        <f t="shared" si="2"/>
        <v>2.3254787670098134</v>
      </c>
      <c r="S23" s="31" t="str">
        <f t="shared" si="3"/>
        <v>(5,5,2,1,1,5); literature and own assumptions, basic uncertainty = 2</v>
      </c>
      <c r="T23" s="278" t="s">
        <v>676</v>
      </c>
      <c r="U23" s="182"/>
      <c r="V23" s="278" t="s">
        <v>676</v>
      </c>
      <c r="W23" s="259">
        <f>SUM(62,37.2,15.5,12.4)/4000</f>
        <v>3.1775000000000005E-2</v>
      </c>
      <c r="X23" s="350">
        <v>0.33082636269613325</v>
      </c>
      <c r="Y23" s="253"/>
      <c r="Z23" s="286" t="str">
        <f>Z$21</f>
        <v>literature and own assumptions, basic uncertainty = 2</v>
      </c>
      <c r="AA23" s="357">
        <f t="shared" si="10"/>
        <v>5</v>
      </c>
      <c r="AB23" s="357">
        <f t="shared" si="10"/>
        <v>5</v>
      </c>
      <c r="AC23" s="357">
        <f t="shared" si="10"/>
        <v>2</v>
      </c>
      <c r="AD23" s="357">
        <f t="shared" si="10"/>
        <v>1</v>
      </c>
      <c r="AE23" s="357">
        <f t="shared" si="10"/>
        <v>1</v>
      </c>
      <c r="AF23" s="357">
        <f t="shared" si="10"/>
        <v>5</v>
      </c>
      <c r="AG23" s="50">
        <f>IF(OR($D23="4",$E23="4"),INDEX([14]NamesElementary!$J$1:$J$65536,MATCH($A23,[14]NamesElementary!$A$1:$A$65536,0),1),INDEX([14]Names!$W$1:$W$65602,MATCH($A23,[14]Names!$F$1:$F$65602,0),1))</f>
        <v>3</v>
      </c>
      <c r="AH23" s="357">
        <f t="shared" si="10"/>
        <v>2</v>
      </c>
      <c r="AI23" s="87">
        <f>EXP(SQRT((LN(AL23)^2)+(LN(AM23)^2)+(LN(AN23)^2)+(LN(AO23)^2)+(LN(AP23)^2)+(LN(AQ23)^2)))</f>
        <v>1.6183586893966107</v>
      </c>
      <c r="AJ23" s="88">
        <f>EXP(SQRT((LN(AL23)^2)+(LN(AM23)^2)+(LN(AN23)^2)+(LN(AO23)^2)+(LN(AP23)^2)+(LN(AQ23)^2)+LN(AH23)^2))</f>
        <v>2.3254787670098134</v>
      </c>
      <c r="AK23" s="89" t="str">
        <f>CONCATENATE("(",AA23,",",AB23,",",AC23,",",AD23,",",AE23,",",AF23,")")</f>
        <v>(5,5,2,1,1,5)</v>
      </c>
      <c r="AL23" s="52">
        <f>IF(AA23=1,'[14]SDG^2 values'!$B$4,IF(AA23=2,'[14]SDG^2 values'!$C$4,IF(AA23=3,'[14]SDG^2 values'!$D$4,IF(AA23=4,'[14]SDG^2 values'!$E$4,IF(AA23=5,'[14]SDG^2 values'!$F$4,1)))))</f>
        <v>1.5</v>
      </c>
      <c r="AM23" s="52">
        <f>IF(AB23=1,'[14]SDG^2 values'!$B$5,IF(AB23=2,'[14]SDG^2 values'!$C$5,IF(AB23=3,'[14]SDG^2 values'!$D$5,IF(AB23=4,'[14]SDG^2 values'!$E$5,IF(AB23=5,'[14]SDG^2 values'!$F$5,1)))))</f>
        <v>1.2</v>
      </c>
      <c r="AN23" s="52">
        <f>IF(AC23=1,'[14]SDG^2 values'!$B$6,IF(AC23=2,'[14]SDG^2 values'!$C$6,IF(AC23=3,'[14]SDG^2 values'!$D$6,IF(AC23=4,'[14]SDG^2 values'!$E$6,IF(AC23=5,'[14]SDG^2 values'!$F$6,1)))))</f>
        <v>1.03</v>
      </c>
      <c r="AO23" s="52">
        <f>IF(AD23=1,'[14]SDG^2 values'!$B$7,IF(AD23=2,'[14]SDG^2 values'!$C$7,IF(AD23=3,'[14]SDG^2 values'!$D$7,IF(AD23=4,'[14]SDG^2 values'!$E$7,IF(AD23=5,'[14]SDG^2 values'!$F$7,1)))))</f>
        <v>1</v>
      </c>
      <c r="AP23" s="52">
        <f>IF(AE23=1,'[14]SDG^2 values'!$B$8,IF(AE23=2,'[14]SDG^2 values'!$C$8,IF(AE23=3,'[14]SDG^2 values'!$D$8,IF(AE23=4,'[14]SDG^2 values'!$E$8,IF(AE23=5,'[14]SDG^2 values'!$F$8,1)))))</f>
        <v>1</v>
      </c>
      <c r="AQ23" s="52">
        <f>IF(AF23=1,'[14]SDG^2 values'!$B$9,IF(AF23=2,'[14]SDG^2 values'!$C$9,IF(AF23=3,'[14]SDG^2 values'!$D$9,IF(AF23=4,'[14]SDG^2 values'!$E$9,IF(AF23=5,'[14]SDG^2 values'!$F$9,1)))))</f>
        <v>1.2</v>
      </c>
    </row>
    <row r="24" spans="1:45" ht="24">
      <c r="A24" s="120">
        <v>32117</v>
      </c>
      <c r="B24" s="37"/>
      <c r="C24" s="151" t="s">
        <v>525</v>
      </c>
      <c r="D24" s="152" t="s">
        <v>526</v>
      </c>
      <c r="E24" s="153" t="s">
        <v>402</v>
      </c>
      <c r="F24" s="144" t="str">
        <f>IF(OR(D24="4",E24="4"),INDEX([14]NamesElementary!$B$1:$B$65536,MATCH(A24,[14]NamesElementary!$A$1:$A$65536,0),1),INDEX([14]Names!$J$1:$J$65602,MATCH(A24,[14]Names!$F$1:$F$65602,0),1))</f>
        <v>cadmium sulphide, semiconductor-grade, at plant</v>
      </c>
      <c r="G24" s="125" t="str">
        <f>IF(OR(D24="4",E24="4"),"-",INDEX([14]Names!$K$1:$K$65602,MATCH(A24,[14]Names!$F$1:$F$65602,0),1))</f>
        <v>US</v>
      </c>
      <c r="H24" s="154" t="str">
        <f>IF(OR(D24="4",E24="4"),INDEX([14]NamesElementary!$D$1:$D$65536,MATCH($A24,[14]NamesElementary!$A$1:$A$65536,0),1),"-")</f>
        <v>-</v>
      </c>
      <c r="I24" s="123" t="str">
        <f>IF(OR(D24="4",E24="4"),INDEX([14]NamesElementary!$E$1:$E$65536,MATCH($A24,[14]NamesElementary!$A$1:$A$65536,0),1),"-")</f>
        <v>-</v>
      </c>
      <c r="J24" s="124">
        <f>IF(OR(D24="4",E24="4"),"-",INDEX([14]Names!$N$1:$N$65602,MATCH(A24,[14]Names!$F$1:$F$65602,0),1))</f>
        <v>0</v>
      </c>
      <c r="K24" s="125" t="str">
        <f>IF(OR(D24="4",E24="4"),INDEX([14]NamesElementary!$G$1:$G$65536,MATCH(A24,[14]NamesElementary!$A$1:$A$65536,0),1),INDEX([14]Names!$O$1:$O$65602,MATCH(A24,[14]Names!$F$1:$F$65602,0),1))</f>
        <v>kg</v>
      </c>
      <c r="L24" s="155">
        <f>Y$24*$X24</f>
        <v>1.1535925892348704E-2</v>
      </c>
      <c r="M24" s="29">
        <v>1</v>
      </c>
      <c r="N24" s="1">
        <f t="shared" si="0"/>
        <v>2.3254787670098134</v>
      </c>
      <c r="O24" s="139" t="str">
        <f t="shared" si="1"/>
        <v>(5,5,2,1,1,5); literature and own assumptions, basic uncertainty = 2</v>
      </c>
      <c r="P24" s="155">
        <v>0</v>
      </c>
      <c r="Q24" s="29">
        <v>1</v>
      </c>
      <c r="R24" s="1">
        <f t="shared" si="2"/>
        <v>2.3254787670098134</v>
      </c>
      <c r="S24" s="31" t="str">
        <f t="shared" si="3"/>
        <v>(5,5,2,1,1,5); literature and own assumptions, basic uncertainty = 2</v>
      </c>
      <c r="T24" s="284">
        <v>0.23100000000000001</v>
      </c>
      <c r="U24" s="182"/>
      <c r="V24" s="284">
        <f>V40*0.1%</f>
        <v>2.2222222222222223E-2</v>
      </c>
      <c r="W24" s="259">
        <f>SUM(48.2,28.9,1.4,0.96)/4000</f>
        <v>1.9864999999999997E-2</v>
      </c>
      <c r="X24" s="350">
        <v>0.15135920493211991</v>
      </c>
      <c r="Y24" s="253">
        <f>AVERAGE(T24,V24,W24,W23)</f>
        <v>7.6215555555555564E-2</v>
      </c>
      <c r="Z24" s="286" t="str">
        <f>Z$21</f>
        <v>literature and own assumptions, basic uncertainty = 2</v>
      </c>
      <c r="AA24" s="357">
        <f t="shared" si="10"/>
        <v>5</v>
      </c>
      <c r="AB24" s="357">
        <f t="shared" si="10"/>
        <v>5</v>
      </c>
      <c r="AC24" s="357">
        <f t="shared" si="10"/>
        <v>2</v>
      </c>
      <c r="AD24" s="357">
        <f t="shared" si="10"/>
        <v>1</v>
      </c>
      <c r="AE24" s="357">
        <f t="shared" si="10"/>
        <v>1</v>
      </c>
      <c r="AF24" s="357">
        <f t="shared" si="10"/>
        <v>5</v>
      </c>
      <c r="AG24" s="50">
        <f>IF(OR($D24="4",$E24="4"),INDEX([14]NamesElementary!$J$1:$J$65536,MATCH($A24,[14]NamesElementary!$A$1:$A$65536,0),1),INDEX([14]Names!$W$1:$W$65602,MATCH($A24,[14]Names!$F$1:$F$65602,0),1))</f>
        <v>3</v>
      </c>
      <c r="AH24" s="357">
        <f t="shared" si="10"/>
        <v>2</v>
      </c>
      <c r="AI24" s="87">
        <f t="shared" si="5"/>
        <v>1.6183586893966107</v>
      </c>
      <c r="AJ24" s="88">
        <f t="shared" si="6"/>
        <v>2.3254787670098134</v>
      </c>
      <c r="AK24" s="89" t="str">
        <f t="shared" si="7"/>
        <v>(5,5,2,1,1,5)</v>
      </c>
      <c r="AL24" s="52">
        <f>IF(AA24=1,'[14]SDG^2 values'!$B$4,IF(AA24=2,'[14]SDG^2 values'!$C$4,IF(AA24=3,'[14]SDG^2 values'!$D$4,IF(AA24=4,'[14]SDG^2 values'!$E$4,IF(AA24=5,'[14]SDG^2 values'!$F$4,1)))))</f>
        <v>1.5</v>
      </c>
      <c r="AM24" s="52">
        <f>IF(AB24=1,'[14]SDG^2 values'!$B$5,IF(AB24=2,'[14]SDG^2 values'!$C$5,IF(AB24=3,'[14]SDG^2 values'!$D$5,IF(AB24=4,'[14]SDG^2 values'!$E$5,IF(AB24=5,'[14]SDG^2 values'!$F$5,1)))))</f>
        <v>1.2</v>
      </c>
      <c r="AN24" s="52">
        <f>IF(AC24=1,'[14]SDG^2 values'!$B$6,IF(AC24=2,'[14]SDG^2 values'!$C$6,IF(AC24=3,'[14]SDG^2 values'!$D$6,IF(AC24=4,'[14]SDG^2 values'!$E$6,IF(AC24=5,'[14]SDG^2 values'!$F$6,1)))))</f>
        <v>1.03</v>
      </c>
      <c r="AO24" s="52">
        <f>IF(AD24=1,'[14]SDG^2 values'!$B$7,IF(AD24=2,'[14]SDG^2 values'!$C$7,IF(AD24=3,'[14]SDG^2 values'!$D$7,IF(AD24=4,'[14]SDG^2 values'!$E$7,IF(AD24=5,'[14]SDG^2 values'!$F$7,1)))))</f>
        <v>1</v>
      </c>
      <c r="AP24" s="52">
        <f>IF(AE24=1,'[14]SDG^2 values'!$B$8,IF(AE24=2,'[14]SDG^2 values'!$C$8,IF(AE24=3,'[14]SDG^2 values'!$D$8,IF(AE24=4,'[14]SDG^2 values'!$E$8,IF(AE24=5,'[14]SDG^2 values'!$F$8,1)))))</f>
        <v>1</v>
      </c>
      <c r="AQ24" s="52">
        <f>IF(AF24=1,'[14]SDG^2 values'!$B$9,IF(AF24=2,'[14]SDG^2 values'!$C$9,IF(AF24=3,'[14]SDG^2 values'!$D$9,IF(AF24=4,'[14]SDG^2 values'!$E$9,IF(AF24=5,'[14]SDG^2 values'!$F$9,1)))))</f>
        <v>1.2</v>
      </c>
    </row>
    <row r="25" spans="1:45" ht="24">
      <c r="A25" s="120">
        <v>2796</v>
      </c>
      <c r="B25" s="37"/>
      <c r="C25" s="151" t="s">
        <v>525</v>
      </c>
      <c r="D25" s="152" t="s">
        <v>526</v>
      </c>
      <c r="E25" s="153" t="s">
        <v>402</v>
      </c>
      <c r="F25" s="144" t="str">
        <f>IF(OR(D25="4",E25="4"),INDEX([14]NamesElementary!$B$1:$B$65536,MATCH(A25,[14]NamesElementary!$A$1:$A$65536,0),1),INDEX([14]Names!$J$1:$J$65602,MATCH(A25,[14]Names!$F$1:$F$65602,0),1))</f>
        <v>tin, at regional storage</v>
      </c>
      <c r="G25" s="125" t="str">
        <f>IF(OR(D25="4",E25="4"),"-",INDEX([14]Names!$K$1:$K$65602,MATCH(A25,[14]Names!$F$1:$F$65602,0),1))</f>
        <v>RER</v>
      </c>
      <c r="H25" s="154" t="str">
        <f>IF(OR(D25="4",E25="4"),INDEX([14]NamesElementary!$D$1:$D$65536,MATCH($A25,[14]NamesElementary!$A$1:$A$65536,0),1),"-")</f>
        <v>-</v>
      </c>
      <c r="I25" s="123" t="str">
        <f>IF(OR(D25="4",E25="4"),INDEX([14]NamesElementary!$E$1:$E$65536,MATCH($A25,[14]NamesElementary!$A$1:$A$65536,0),1),"-")</f>
        <v>-</v>
      </c>
      <c r="J25" s="124">
        <f>IF(OR(D25="4",E25="4"),"-",INDEX([14]Names!$N$1:$N$65602,MATCH(A25,[14]Names!$F$1:$F$65602,0),1))</f>
        <v>0</v>
      </c>
      <c r="K25" s="125" t="str">
        <f>IF(OR(D25="4",E25="4"),INDEX([14]NamesElementary!$G$1:$G$65536,MATCH(A25,[14]NamesElementary!$A$1:$A$65536,0),1),INDEX([14]Names!$O$1:$O$65602,MATCH(A25,[14]Names!$F$1:$F$65602,0),1))</f>
        <v>kg</v>
      </c>
      <c r="L25" s="155">
        <f>Y$24*$X25</f>
        <v>1.7730079203504459E-2</v>
      </c>
      <c r="M25" s="29">
        <v>1</v>
      </c>
      <c r="N25" s="1">
        <f t="shared" si="0"/>
        <v>2.3254787670098134</v>
      </c>
      <c r="O25" s="139" t="str">
        <f t="shared" si="1"/>
        <v>(5,5,2,1,1,5); literature and own assumptions, basic uncertainty = 2</v>
      </c>
      <c r="P25" s="155">
        <v>0</v>
      </c>
      <c r="Q25" s="29">
        <v>1</v>
      </c>
      <c r="R25" s="1">
        <f t="shared" si="2"/>
        <v>2.3254787670098134</v>
      </c>
      <c r="S25" s="31" t="str">
        <f t="shared" si="3"/>
        <v>(5,5,2,1,1,5); literature and own assumptions, basic uncertainty = 2</v>
      </c>
      <c r="T25" s="279" t="s">
        <v>676</v>
      </c>
      <c r="U25" s="182"/>
      <c r="V25" s="279" t="s">
        <v>676</v>
      </c>
      <c r="W25" s="259"/>
      <c r="X25" s="350">
        <v>0.23263071526888665</v>
      </c>
      <c r="Y25" s="253"/>
      <c r="Z25" s="286" t="str">
        <f>Z$21</f>
        <v>literature and own assumptions, basic uncertainty = 2</v>
      </c>
      <c r="AA25" s="357">
        <f t="shared" si="10"/>
        <v>5</v>
      </c>
      <c r="AB25" s="357">
        <f t="shared" si="10"/>
        <v>5</v>
      </c>
      <c r="AC25" s="357">
        <f t="shared" si="10"/>
        <v>2</v>
      </c>
      <c r="AD25" s="357">
        <f t="shared" si="10"/>
        <v>1</v>
      </c>
      <c r="AE25" s="357">
        <f t="shared" si="10"/>
        <v>1</v>
      </c>
      <c r="AF25" s="357">
        <f t="shared" si="10"/>
        <v>5</v>
      </c>
      <c r="AG25" s="50">
        <f>IF(OR($D25="4",$E25="4"),INDEX([14]NamesElementary!$J$1:$J$65536,MATCH($A25,[14]NamesElementary!$A$1:$A$65536,0),1),INDEX([14]Names!$W$1:$W$65602,MATCH($A25,[14]Names!$F$1:$F$65602,0),1))</f>
        <v>3</v>
      </c>
      <c r="AH25" s="357">
        <f t="shared" si="10"/>
        <v>2</v>
      </c>
      <c r="AI25" s="87">
        <f t="shared" si="5"/>
        <v>1.6183586893966107</v>
      </c>
      <c r="AJ25" s="88">
        <f t="shared" si="6"/>
        <v>2.3254787670098134</v>
      </c>
      <c r="AK25" s="89" t="str">
        <f t="shared" si="7"/>
        <v>(5,5,2,1,1,5)</v>
      </c>
      <c r="AL25" s="52">
        <f>IF(AA25=1,'[14]SDG^2 values'!$B$4,IF(AA25=2,'[14]SDG^2 values'!$C$4,IF(AA25=3,'[14]SDG^2 values'!$D$4,IF(AA25=4,'[14]SDG^2 values'!$E$4,IF(AA25=5,'[14]SDG^2 values'!$F$4,1)))))</f>
        <v>1.5</v>
      </c>
      <c r="AM25" s="52">
        <f>IF(AB25=1,'[14]SDG^2 values'!$B$5,IF(AB25=2,'[14]SDG^2 values'!$C$5,IF(AB25=3,'[14]SDG^2 values'!$D$5,IF(AB25=4,'[14]SDG^2 values'!$E$5,IF(AB25=5,'[14]SDG^2 values'!$F$5,1)))))</f>
        <v>1.2</v>
      </c>
      <c r="AN25" s="52">
        <f>IF(AC25=1,'[14]SDG^2 values'!$B$6,IF(AC25=2,'[14]SDG^2 values'!$C$6,IF(AC25=3,'[14]SDG^2 values'!$D$6,IF(AC25=4,'[14]SDG^2 values'!$E$6,IF(AC25=5,'[14]SDG^2 values'!$F$6,1)))))</f>
        <v>1.03</v>
      </c>
      <c r="AO25" s="52">
        <f>IF(AD25=1,'[14]SDG^2 values'!$B$7,IF(AD25=2,'[14]SDG^2 values'!$C$7,IF(AD25=3,'[14]SDG^2 values'!$D$7,IF(AD25=4,'[14]SDG^2 values'!$E$7,IF(AD25=5,'[14]SDG^2 values'!$F$7,1)))))</f>
        <v>1</v>
      </c>
      <c r="AP25" s="52">
        <f>IF(AE25=1,'[14]SDG^2 values'!$B$8,IF(AE25=2,'[14]SDG^2 values'!$C$8,IF(AE25=3,'[14]SDG^2 values'!$D$8,IF(AE25=4,'[14]SDG^2 values'!$E$8,IF(AE25=5,'[14]SDG^2 values'!$F$8,1)))))</f>
        <v>1</v>
      </c>
      <c r="AQ25" s="52">
        <f>IF(AF25=1,'[14]SDG^2 values'!$B$9,IF(AF25=2,'[14]SDG^2 values'!$C$9,IF(AF25=3,'[14]SDG^2 values'!$D$9,IF(AF25=4,'[14]SDG^2 values'!$E$9,IF(AF25=5,'[14]SDG^2 values'!$F$9,1)))))</f>
        <v>1.2</v>
      </c>
    </row>
    <row r="26" spans="1:45" ht="12.75">
      <c r="A26" s="120">
        <v>1239</v>
      </c>
      <c r="B26" s="37" t="s">
        <v>151</v>
      </c>
      <c r="C26" s="151" t="s">
        <v>525</v>
      </c>
      <c r="D26" s="152" t="s">
        <v>526</v>
      </c>
      <c r="E26" s="153" t="s">
        <v>402</v>
      </c>
      <c r="F26" s="144" t="str">
        <f>IF(OR(D26="4",E26="4"),INDEX([14]NamesElementary!$B$1:$B$65536,MATCH(A26,[14]NamesElementary!$A$1:$A$65536,0),1),INDEX([14]Names!$J$1:$J$65602,MATCH(A26,[14]Names!$F$1:$F$65602,0),1))</f>
        <v>nitric acid, 50% in H2O, at plant</v>
      </c>
      <c r="G26" s="125" t="str">
        <f>IF(OR(D26="4",E26="4"),"-",INDEX([14]Names!$K$1:$K$65602,MATCH(A26,[14]Names!$F$1:$F$65602,0),1))</f>
        <v>RER</v>
      </c>
      <c r="H26" s="154" t="str">
        <f>IF(OR(D26="4",E26="4"),INDEX([14]NamesElementary!$D$1:$D$65536,MATCH($A26,[14]NamesElementary!$A$1:$A$65536,0),1),"-")</f>
        <v>-</v>
      </c>
      <c r="I26" s="123" t="str">
        <f>IF(OR(D26="4",E26="4"),INDEX([14]NamesElementary!$E$1:$E$65536,MATCH($A26,[14]NamesElementary!$A$1:$A$65536,0),1),"-")</f>
        <v>-</v>
      </c>
      <c r="J26" s="124">
        <f>IF(OR(D26="4",E26="4"),"-",INDEX([14]Names!$N$1:$N$65602,MATCH(A26,[14]Names!$F$1:$F$65602,0),1))</f>
        <v>0</v>
      </c>
      <c r="K26" s="125" t="str">
        <f>IF(OR(D26="4",E26="4"),INDEX([14]NamesElementary!$G$1:$G$65536,MATCH(A26,[14]NamesElementary!$A$1:$A$65536,0),1),INDEX([14]Names!$O$1:$O$65602,MATCH(A26,[14]Names!$F$1:$F$65602,0),1))</f>
        <v>kg</v>
      </c>
      <c r="L26" s="155">
        <f>T26</f>
        <v>2.5500000000000002E-3</v>
      </c>
      <c r="M26" s="29">
        <v>1</v>
      </c>
      <c r="N26" s="1">
        <f t="shared" si="0"/>
        <v>1.1267298112245603</v>
      </c>
      <c r="O26" s="139" t="str">
        <f t="shared" si="1"/>
        <v>(3,2,1,1,1,3); Raugei, literature</v>
      </c>
      <c r="P26" s="155">
        <v>0</v>
      </c>
      <c r="Q26" s="29">
        <v>1</v>
      </c>
      <c r="R26" s="1">
        <f t="shared" si="2"/>
        <v>1.1267298112245603</v>
      </c>
      <c r="S26" s="31" t="str">
        <f t="shared" si="3"/>
        <v>(3,2,1,1,1,3); Raugei, literature</v>
      </c>
      <c r="T26" s="182">
        <v>2.5500000000000002E-3</v>
      </c>
      <c r="U26" s="182"/>
      <c r="V26" s="182"/>
      <c r="W26" s="259"/>
      <c r="X26" s="259"/>
      <c r="Y26" s="253"/>
      <c r="Z26" s="286" t="s">
        <v>474</v>
      </c>
      <c r="AA26" s="11">
        <f t="shared" si="9"/>
        <v>3</v>
      </c>
      <c r="AB26" s="11">
        <f t="shared" si="9"/>
        <v>2</v>
      </c>
      <c r="AC26" s="11">
        <f t="shared" si="9"/>
        <v>1</v>
      </c>
      <c r="AD26" s="11">
        <f t="shared" si="9"/>
        <v>1</v>
      </c>
      <c r="AE26" s="11">
        <f t="shared" si="9"/>
        <v>1</v>
      </c>
      <c r="AF26" s="11">
        <f t="shared" si="9"/>
        <v>3</v>
      </c>
      <c r="AG26" s="50">
        <f>IF(OR($D26="4",$E26="4"),INDEX([14]NamesElementary!$J$1:$J$65536,MATCH($A26,[14]NamesElementary!$A$1:$A$65536,0),1),INDEX([14]Names!$W$1:$W$65602,MATCH($A26,[14]Names!$F$1:$F$65602,0),1))</f>
        <v>3</v>
      </c>
      <c r="AH26" s="51">
        <f>INDEX([14]BasicUncertainty!$H$1:$H$65536,MATCH(AG26,[14]BasicUncertainty!$B$1:$B$65536,0),1)</f>
        <v>1.05</v>
      </c>
      <c r="AI26" s="87">
        <f t="shared" si="5"/>
        <v>1.1150377561073679</v>
      </c>
      <c r="AJ26" s="88">
        <f t="shared" si="6"/>
        <v>1.1267298112245603</v>
      </c>
      <c r="AK26" s="89" t="str">
        <f t="shared" si="7"/>
        <v>(3,2,1,1,1,3)</v>
      </c>
      <c r="AL26" s="52">
        <f>IF(AA26=1,'[14]SDG^2 values'!$B$4,IF(AA26=2,'[14]SDG^2 values'!$C$4,IF(AA26=3,'[14]SDG^2 values'!$D$4,IF(AA26=4,'[14]SDG^2 values'!$E$4,IF(AA26=5,'[14]SDG^2 values'!$F$4,1)))))</f>
        <v>1.1000000000000001</v>
      </c>
      <c r="AM26" s="52">
        <f>IF(AB26=1,'[14]SDG^2 values'!$B$5,IF(AB26=2,'[14]SDG^2 values'!$C$5,IF(AB26=3,'[14]SDG^2 values'!$D$5,IF(AB26=4,'[14]SDG^2 values'!$E$5,IF(AB26=5,'[14]SDG^2 values'!$F$5,1)))))</f>
        <v>1.02</v>
      </c>
      <c r="AN26" s="52">
        <f>IF(AC26=1,'[14]SDG^2 values'!$B$6,IF(AC26=2,'[14]SDG^2 values'!$C$6,IF(AC26=3,'[14]SDG^2 values'!$D$6,IF(AC26=4,'[14]SDG^2 values'!$E$6,IF(AC26=5,'[14]SDG^2 values'!$F$6,1)))))</f>
        <v>1</v>
      </c>
      <c r="AO26" s="52">
        <f>IF(AD26=1,'[14]SDG^2 values'!$B$7,IF(AD26=2,'[14]SDG^2 values'!$C$7,IF(AD26=3,'[14]SDG^2 values'!$D$7,IF(AD26=4,'[14]SDG^2 values'!$E$7,IF(AD26=5,'[14]SDG^2 values'!$F$7,1)))))</f>
        <v>1</v>
      </c>
      <c r="AP26" s="52">
        <f>IF(AE26=1,'[14]SDG^2 values'!$B$8,IF(AE26=2,'[14]SDG^2 values'!$C$8,IF(AE26=3,'[14]SDG^2 values'!$D$8,IF(AE26=4,'[14]SDG^2 values'!$E$8,IF(AE26=5,'[14]SDG^2 values'!$F$8,1)))))</f>
        <v>1</v>
      </c>
      <c r="AQ26" s="52">
        <f>IF(AF26=1,'[14]SDG^2 values'!$B$9,IF(AF26=2,'[14]SDG^2 values'!$C$9,IF(AF26=3,'[14]SDG^2 values'!$D$9,IF(AF26=4,'[14]SDG^2 values'!$E$9,IF(AF26=5,'[14]SDG^2 values'!$F$9,1)))))</f>
        <v>1.05</v>
      </c>
      <c r="AR26" s="182">
        <v>60</v>
      </c>
      <c r="AS26" s="7">
        <f>60*0.791</f>
        <v>47.46</v>
      </c>
    </row>
    <row r="27" spans="1:45" ht="24">
      <c r="A27" s="120">
        <v>3411</v>
      </c>
      <c r="B27" s="37" t="s">
        <v>150</v>
      </c>
      <c r="C27" s="151" t="s">
        <v>525</v>
      </c>
      <c r="D27" s="152" t="s">
        <v>526</v>
      </c>
      <c r="E27" s="153" t="s">
        <v>402</v>
      </c>
      <c r="F27" s="144" t="str">
        <f>IF(OR(D27="4",E27="4"),INDEX([14]NamesElementary!$B$1:$B$65536,MATCH(A27,[14]NamesElementary!$A$1:$A$65536,0),1),INDEX([14]Names!$J$1:$J$65602,MATCH(A27,[14]Names!$F$1:$F$65602,0),1))</f>
        <v>phosphoric acid, industrial grade, 85% in H2O, at plant</v>
      </c>
      <c r="G27" s="125" t="str">
        <f>IF(OR(D27="4",E27="4"),"-",INDEX([14]Names!$K$1:$K$65602,MATCH(A27,[14]Names!$F$1:$F$65602,0),1))</f>
        <v>RER</v>
      </c>
      <c r="H27" s="154" t="str">
        <f>IF(OR(D27="4",E27="4"),INDEX([14]NamesElementary!$D$1:$D$65536,MATCH($A27,[14]NamesElementary!$A$1:$A$65536,0),1),"-")</f>
        <v>-</v>
      </c>
      <c r="I27" s="123" t="str">
        <f>IF(OR(D27="4",E27="4"),INDEX([14]NamesElementary!$E$1:$E$65536,MATCH($A27,[14]NamesElementary!$A$1:$A$65536,0),1),"-")</f>
        <v>-</v>
      </c>
      <c r="J27" s="124">
        <f>IF(OR(D27="4",E27="4"),"-",INDEX([14]Names!$N$1:$N$65602,MATCH(A27,[14]Names!$F$1:$F$65602,0),1))</f>
        <v>0</v>
      </c>
      <c r="K27" s="125" t="str">
        <f>IF(OR(D27="4",E27="4"),INDEX([14]NamesElementary!$G$1:$G$65536,MATCH(A27,[14]NamesElementary!$A$1:$A$65536,0),1),INDEX([14]Names!$O$1:$O$65602,MATCH(A27,[14]Names!$F$1:$F$65602,0),1))</f>
        <v>kg</v>
      </c>
      <c r="L27" s="155">
        <f>T27</f>
        <v>0.17799999999999999</v>
      </c>
      <c r="M27" s="29">
        <v>1</v>
      </c>
      <c r="N27" s="1">
        <f t="shared" si="0"/>
        <v>1.1267298112245603</v>
      </c>
      <c r="O27" s="139" t="str">
        <f t="shared" si="1"/>
        <v>(3,2,1,1,1,3); Raugei, literature</v>
      </c>
      <c r="P27" s="155">
        <v>0</v>
      </c>
      <c r="Q27" s="29">
        <v>1</v>
      </c>
      <c r="R27" s="1">
        <f t="shared" si="2"/>
        <v>1.1267298112245603</v>
      </c>
      <c r="S27" s="31" t="str">
        <f t="shared" si="3"/>
        <v>(3,2,1,1,1,3); Raugei, literature</v>
      </c>
      <c r="T27" s="182">
        <v>0.17799999999999999</v>
      </c>
      <c r="U27" s="182"/>
      <c r="V27" s="182"/>
      <c r="W27" s="259"/>
      <c r="X27" s="259"/>
      <c r="Y27" s="253"/>
      <c r="Z27" s="115" t="s">
        <v>474</v>
      </c>
      <c r="AA27" s="11">
        <f t="shared" si="9"/>
        <v>3</v>
      </c>
      <c r="AB27" s="11">
        <f t="shared" si="9"/>
        <v>2</v>
      </c>
      <c r="AC27" s="11">
        <f t="shared" si="9"/>
        <v>1</v>
      </c>
      <c r="AD27" s="11">
        <f t="shared" si="9"/>
        <v>1</v>
      </c>
      <c r="AE27" s="11">
        <f t="shared" si="9"/>
        <v>1</v>
      </c>
      <c r="AF27" s="11">
        <f t="shared" si="9"/>
        <v>3</v>
      </c>
      <c r="AG27" s="50">
        <f>IF(OR($D27="4",$E27="4"),INDEX([14]NamesElementary!$J$1:$J$65536,MATCH($A27,[14]NamesElementary!$A$1:$A$65536,0),1),INDEX([14]Names!$W$1:$W$65602,MATCH($A27,[14]Names!$F$1:$F$65602,0),1))</f>
        <v>3</v>
      </c>
      <c r="AH27" s="51">
        <f>INDEX([14]BasicUncertainty!$H$1:$H$65536,MATCH(AG27,[14]BasicUncertainty!$B$1:$B$65536,0),1)</f>
        <v>1.05</v>
      </c>
      <c r="AI27" s="87">
        <f>EXP(SQRT((LN(AL27)^2)+(LN(AM27)^2)+(LN(AN27)^2)+(LN(AO27)^2)+(LN(AP27)^2)+(LN(AQ27)^2)))</f>
        <v>1.1150377561073679</v>
      </c>
      <c r="AJ27" s="88">
        <f>EXP(SQRT((LN(AL27)^2)+(LN(AM27)^2)+(LN(AN27)^2)+(LN(AO27)^2)+(LN(AP27)^2)+(LN(AQ27)^2)+LN(AH27)^2))</f>
        <v>1.1267298112245603</v>
      </c>
      <c r="AK27" s="89" t="str">
        <f>CONCATENATE("(",AA27,",",AB27,",",AC27,",",AD27,",",AE27,",",AF27,")")</f>
        <v>(3,2,1,1,1,3)</v>
      </c>
      <c r="AL27" s="52">
        <f>IF(AA27=1,'[14]SDG^2 values'!$B$4,IF(AA27=2,'[14]SDG^2 values'!$C$4,IF(AA27=3,'[14]SDG^2 values'!$D$4,IF(AA27=4,'[14]SDG^2 values'!$E$4,IF(AA27=5,'[14]SDG^2 values'!$F$4,1)))))</f>
        <v>1.1000000000000001</v>
      </c>
      <c r="AM27" s="52">
        <f>IF(AB27=1,'[14]SDG^2 values'!$B$5,IF(AB27=2,'[14]SDG^2 values'!$C$5,IF(AB27=3,'[14]SDG^2 values'!$D$5,IF(AB27=4,'[14]SDG^2 values'!$E$5,IF(AB27=5,'[14]SDG^2 values'!$F$5,1)))))</f>
        <v>1.02</v>
      </c>
      <c r="AN27" s="52">
        <f>IF(AC27=1,'[14]SDG^2 values'!$B$6,IF(AC27=2,'[14]SDG^2 values'!$C$6,IF(AC27=3,'[14]SDG^2 values'!$D$6,IF(AC27=4,'[14]SDG^2 values'!$E$6,IF(AC27=5,'[14]SDG^2 values'!$F$6,1)))))</f>
        <v>1</v>
      </c>
      <c r="AO27" s="52">
        <f>IF(AD27=1,'[14]SDG^2 values'!$B$7,IF(AD27=2,'[14]SDG^2 values'!$C$7,IF(AD27=3,'[14]SDG^2 values'!$D$7,IF(AD27=4,'[14]SDG^2 values'!$E$7,IF(AD27=5,'[14]SDG^2 values'!$F$7,1)))))</f>
        <v>1</v>
      </c>
      <c r="AP27" s="52">
        <f>IF(AE27=1,'[14]SDG^2 values'!$B$8,IF(AE27=2,'[14]SDG^2 values'!$C$8,IF(AE27=3,'[14]SDG^2 values'!$D$8,IF(AE27=4,'[14]SDG^2 values'!$E$8,IF(AE27=5,'[14]SDG^2 values'!$F$8,1)))))</f>
        <v>1</v>
      </c>
      <c r="AQ27" s="52">
        <f>IF(AF27=1,'[14]SDG^2 values'!$B$9,IF(AF27=2,'[14]SDG^2 values'!$C$9,IF(AF27=3,'[14]SDG^2 values'!$D$9,IF(AF27=4,'[14]SDG^2 values'!$E$9,IF(AF27=5,'[14]SDG^2 values'!$F$9,1)))))</f>
        <v>1.05</v>
      </c>
      <c r="AR27" s="182">
        <v>40</v>
      </c>
      <c r="AS27" s="7">
        <f>0.8945*40</f>
        <v>35.78</v>
      </c>
    </row>
    <row r="28" spans="1:45" ht="24">
      <c r="A28" s="156">
        <v>1198</v>
      </c>
      <c r="B28" s="168" t="s">
        <v>525</v>
      </c>
      <c r="C28" s="151" t="s">
        <v>525</v>
      </c>
      <c r="D28" s="152" t="s">
        <v>526</v>
      </c>
      <c r="E28" s="153" t="s">
        <v>402</v>
      </c>
      <c r="F28" s="144" t="str">
        <f>IF(OR(D28="4",E28="4"),INDEX([14]NamesElementary!$B$1:$B$65536,MATCH(A28,[14]NamesElementary!$A$1:$A$65536,0),1),INDEX([14]Names!$J$1:$J$65602,MATCH(A28,[14]Names!$F$1:$F$65602,0),1))</f>
        <v>corrugated board, mixed fibre, single wall, at plant</v>
      </c>
      <c r="G28" s="125" t="str">
        <f>IF(OR(D28="4",E28="4"),"-",INDEX([14]Names!$K$1:$K$65602,MATCH(A28,[14]Names!$F$1:$F$65602,0),1))</f>
        <v>RER</v>
      </c>
      <c r="H28" s="154" t="str">
        <f>IF(OR(D28="4",E28="4"),INDEX([14]NamesElementary!$D$1:$D$65536,MATCH($A28,[14]NamesElementary!$A$1:$A$65536,0),1),"-")</f>
        <v>-</v>
      </c>
      <c r="I28" s="123" t="str">
        <f>IF(OR(D28="4",E28="4"),INDEX([14]NamesElementary!$E$1:$E$65536,MATCH($A28,[14]NamesElementary!$A$1:$A$65536,0),1),"-")</f>
        <v>-</v>
      </c>
      <c r="J28" s="124">
        <f>IF(OR(D28="4",E28="4"),"-",INDEX([14]Names!$N$1:$N$65602,MATCH(A28,[14]Names!$F$1:$F$65602,0),1))</f>
        <v>0</v>
      </c>
      <c r="K28" s="125" t="str">
        <f>IF(OR(D28="4",E28="4"),INDEX([14]NamesElementary!$G$1:$G$65536,MATCH(A28,[14]NamesElementary!$A$1:$A$65536,0),1),INDEX([14]Names!$O$1:$O$65602,MATCH(A28,[14]Names!$F$1:$F$65602,0),1))</f>
        <v>kg</v>
      </c>
      <c r="L28" s="155">
        <f>'old CdTe'!M42</f>
        <v>1.37</v>
      </c>
      <c r="M28" s="29">
        <v>1</v>
      </c>
      <c r="N28" s="1">
        <f t="shared" si="0"/>
        <v>1.1267298112245603</v>
      </c>
      <c r="O28" s="139" t="str">
        <f t="shared" si="1"/>
        <v>(3,2,1,1,1,3); Fthenakis, packaging material</v>
      </c>
      <c r="P28" s="155">
        <v>0</v>
      </c>
      <c r="Q28" s="29">
        <v>1</v>
      </c>
      <c r="R28" s="1">
        <f t="shared" si="2"/>
        <v>1.1267298112245603</v>
      </c>
      <c r="S28" s="31" t="str">
        <f t="shared" si="3"/>
        <v>(3,2,1,1,1,3); Fthenakis, packaging material</v>
      </c>
      <c r="T28" s="182"/>
      <c r="U28" s="182"/>
      <c r="V28" s="182"/>
      <c r="W28" s="259"/>
      <c r="X28" s="259"/>
      <c r="Y28" s="253">
        <f>1.75</f>
        <v>1.75</v>
      </c>
      <c r="Z28" s="115" t="s">
        <v>690</v>
      </c>
      <c r="AA28" s="11">
        <f t="shared" si="9"/>
        <v>3</v>
      </c>
      <c r="AB28" s="11">
        <f t="shared" si="9"/>
        <v>2</v>
      </c>
      <c r="AC28" s="11">
        <f t="shared" si="9"/>
        <v>1</v>
      </c>
      <c r="AD28" s="11">
        <f t="shared" si="9"/>
        <v>1</v>
      </c>
      <c r="AE28" s="11">
        <f t="shared" si="9"/>
        <v>1</v>
      </c>
      <c r="AF28" s="11">
        <f t="shared" si="9"/>
        <v>3</v>
      </c>
      <c r="AG28" s="50">
        <f>IF(OR($D28="4",$E28="4"),INDEX([14]NamesElementary!$J$1:$J$65536,MATCH($A28,[14]NamesElementary!$A$1:$A$65536,0),1),INDEX([14]Names!$W$1:$W$65602,MATCH($A28,[14]Names!$F$1:$F$65602,0),1))</f>
        <v>3</v>
      </c>
      <c r="AH28" s="51">
        <f>INDEX([14]BasicUncertainty!$H$1:$H$65536,MATCH(AG28,[14]BasicUncertainty!$B$1:$B$65536,0),1)</f>
        <v>1.05</v>
      </c>
      <c r="AI28" s="87">
        <f t="shared" si="5"/>
        <v>1.1150377561073679</v>
      </c>
      <c r="AJ28" s="88">
        <f t="shared" si="6"/>
        <v>1.1267298112245603</v>
      </c>
      <c r="AK28" s="89" t="str">
        <f t="shared" si="7"/>
        <v>(3,2,1,1,1,3)</v>
      </c>
      <c r="AL28" s="52">
        <f>IF(AA28=1,'[14]SDG^2 values'!$B$4,IF(AA28=2,'[14]SDG^2 values'!$C$4,IF(AA28=3,'[14]SDG^2 values'!$D$4,IF(AA28=4,'[14]SDG^2 values'!$E$4,IF(AA28=5,'[14]SDG^2 values'!$F$4,1)))))</f>
        <v>1.1000000000000001</v>
      </c>
      <c r="AM28" s="52">
        <f>IF(AB28=1,'[14]SDG^2 values'!$B$5,IF(AB28=2,'[14]SDG^2 values'!$C$5,IF(AB28=3,'[14]SDG^2 values'!$D$5,IF(AB28=4,'[14]SDG^2 values'!$E$5,IF(AB28=5,'[14]SDG^2 values'!$F$5,1)))))</f>
        <v>1.02</v>
      </c>
      <c r="AN28" s="52">
        <f>IF(AC28=1,'[14]SDG^2 values'!$B$6,IF(AC28=2,'[14]SDG^2 values'!$C$6,IF(AC28=3,'[14]SDG^2 values'!$D$6,IF(AC28=4,'[14]SDG^2 values'!$E$6,IF(AC28=5,'[14]SDG^2 values'!$F$6,1)))))</f>
        <v>1</v>
      </c>
      <c r="AO28" s="52">
        <f>IF(AD28=1,'[14]SDG^2 values'!$B$7,IF(AD28=2,'[14]SDG^2 values'!$C$7,IF(AD28=3,'[14]SDG^2 values'!$D$7,IF(AD28=4,'[14]SDG^2 values'!$E$7,IF(AD28=5,'[14]SDG^2 values'!$F$7,1)))))</f>
        <v>1</v>
      </c>
      <c r="AP28" s="52">
        <f>IF(AE28=1,'[14]SDG^2 values'!$B$8,IF(AE28=2,'[14]SDG^2 values'!$C$8,IF(AE28=3,'[14]SDG^2 values'!$D$8,IF(AE28=4,'[14]SDG^2 values'!$E$8,IF(AE28=5,'[14]SDG^2 values'!$F$8,1)))))</f>
        <v>1</v>
      </c>
      <c r="AQ28" s="52">
        <f>IF(AF28=1,'[14]SDG^2 values'!$B$9,IF(AF28=2,'[14]SDG^2 values'!$C$9,IF(AF28=3,'[14]SDG^2 values'!$D$9,IF(AF28=4,'[14]SDG^2 values'!$E$9,IF(AF28=5,'[14]SDG^2 values'!$F$9,1)))))</f>
        <v>1.05</v>
      </c>
    </row>
    <row r="29" spans="1:45" ht="24">
      <c r="A29" s="157">
        <v>2987</v>
      </c>
      <c r="B29" s="37" t="s">
        <v>152</v>
      </c>
      <c r="C29" s="151" t="s">
        <v>525</v>
      </c>
      <c r="D29" s="152" t="s">
        <v>526</v>
      </c>
      <c r="E29" s="153" t="s">
        <v>402</v>
      </c>
      <c r="F29" s="144" t="str">
        <f>IF(OR(D29="4",E29="4"),INDEX([14]NamesElementary!$B$1:$B$65536,MATCH(A29,[14]NamesElementary!$A$1:$A$65536,0),1),INDEX([14]Names!$J$1:$J$65602,MATCH(A29,[14]Names!$F$1:$F$65602,0),1))</f>
        <v>transport, lorry &gt;16t, fleet average</v>
      </c>
      <c r="G29" s="125" t="str">
        <f>IF(OR(D29="4",E29="4"),"-",INDEX([14]Names!$K$1:$K$65602,MATCH(A29,[14]Names!$F$1:$F$65602,0),1))</f>
        <v>RER</v>
      </c>
      <c r="H29" s="154" t="str">
        <f>IF(OR(D29="4",E29="4"),INDEX([14]NamesElementary!$D$1:$D$65536,MATCH($A29,[14]NamesElementary!$A$1:$A$65536,0),1),"-")</f>
        <v>-</v>
      </c>
      <c r="I29" s="123" t="str">
        <f>IF(OR(D29="4",E29="4"),INDEX([14]NamesElementary!$E$1:$E$65536,MATCH($A29,[14]NamesElementary!$A$1:$A$65536,0),1),"-")</f>
        <v>-</v>
      </c>
      <c r="J29" s="124">
        <f>IF(OR(D29="4",E29="4"),"-",INDEX([14]Names!$N$1:$N$65602,MATCH(A29,[14]Names!$F$1:$F$65602,0),1))</f>
        <v>0</v>
      </c>
      <c r="K29" s="125" t="str">
        <f>IF(OR(D29="4",E29="4"),INDEX([14]NamesElementary!$G$1:$G$65536,MATCH(A29,[14]NamesElementary!$A$1:$A$65536,0),1),INDEX([14]Names!$O$1:$O$65602,MATCH(A29,[14]Names!$F$1:$F$65602,0),1))</f>
        <v>tkm</v>
      </c>
      <c r="L29" s="155">
        <f>0.6*SUM(L16:L28)+0.015*SUM(L32:L33)</f>
        <v>15.506070280000001</v>
      </c>
      <c r="M29" s="29">
        <v>1</v>
      </c>
      <c r="N29" s="1">
        <f t="shared" si="0"/>
        <v>2.0170737523429207</v>
      </c>
      <c r="O29" s="139" t="str">
        <f t="shared" si="1"/>
        <v>(3,2,1,1,1,3); Average distance 600km, Fthenakis</v>
      </c>
      <c r="P29" s="155">
        <f>0.6*SUM(P16:P28)+0.015*SUM(P32:P33)</f>
        <v>0</v>
      </c>
      <c r="Q29" s="29">
        <v>1</v>
      </c>
      <c r="R29" s="1">
        <f t="shared" si="2"/>
        <v>2.0170737523429207</v>
      </c>
      <c r="S29" s="31" t="str">
        <f t="shared" si="3"/>
        <v>(3,2,1,1,1,3); Average distance 600km, Fthenakis</v>
      </c>
      <c r="T29" s="182"/>
      <c r="U29" s="182"/>
      <c r="V29" s="182"/>
      <c r="W29" s="259"/>
      <c r="X29" s="259"/>
      <c r="Y29" s="253"/>
      <c r="Z29" s="115" t="s">
        <v>657</v>
      </c>
      <c r="AA29" s="11">
        <f t="shared" si="9"/>
        <v>3</v>
      </c>
      <c r="AB29" s="11">
        <f t="shared" si="9"/>
        <v>2</v>
      </c>
      <c r="AC29" s="11">
        <f t="shared" si="9"/>
        <v>1</v>
      </c>
      <c r="AD29" s="11">
        <f t="shared" si="9"/>
        <v>1</v>
      </c>
      <c r="AE29" s="11">
        <f t="shared" si="9"/>
        <v>1</v>
      </c>
      <c r="AF29" s="11">
        <f t="shared" si="9"/>
        <v>3</v>
      </c>
      <c r="AG29" s="50">
        <f>IF(OR($D29="4",$E29="4"),INDEX([14]NamesElementary!$J$1:$J$65536,MATCH($A29,[14]NamesElementary!$A$1:$A$65536,0),1),INDEX([14]Names!$W$1:$W$65602,MATCH($A29,[14]Names!$F$1:$F$65602,0),1))</f>
        <v>5</v>
      </c>
      <c r="AH29" s="51">
        <f>INDEX([14]BasicUncertainty!$H$1:$H$65536,MATCH(AG29,[14]BasicUncertainty!$B$1:$B$65536,0),1)</f>
        <v>2</v>
      </c>
      <c r="AI29" s="87">
        <f t="shared" si="5"/>
        <v>1.1150377561073679</v>
      </c>
      <c r="AJ29" s="88">
        <f t="shared" si="6"/>
        <v>2.0170737523429207</v>
      </c>
      <c r="AK29" s="89" t="str">
        <f t="shared" si="7"/>
        <v>(3,2,1,1,1,3)</v>
      </c>
      <c r="AL29" s="52">
        <f>IF(AA29=1,'[14]SDG^2 values'!$B$4,IF(AA29=2,'[14]SDG^2 values'!$C$4,IF(AA29=3,'[14]SDG^2 values'!$D$4,IF(AA29=4,'[14]SDG^2 values'!$E$4,IF(AA29=5,'[14]SDG^2 values'!$F$4,1)))))</f>
        <v>1.1000000000000001</v>
      </c>
      <c r="AM29" s="52">
        <f>IF(AB29=1,'[14]SDG^2 values'!$B$5,IF(AB29=2,'[14]SDG^2 values'!$C$5,IF(AB29=3,'[14]SDG^2 values'!$D$5,IF(AB29=4,'[14]SDG^2 values'!$E$5,IF(AB29=5,'[14]SDG^2 values'!$F$5,1)))))</f>
        <v>1.02</v>
      </c>
      <c r="AN29" s="52">
        <f>IF(AC29=1,'[14]SDG^2 values'!$B$6,IF(AC29=2,'[14]SDG^2 values'!$C$6,IF(AC29=3,'[14]SDG^2 values'!$D$6,IF(AC29=4,'[14]SDG^2 values'!$E$6,IF(AC29=5,'[14]SDG^2 values'!$F$6,1)))))</f>
        <v>1</v>
      </c>
      <c r="AO29" s="52">
        <f>IF(AD29=1,'[14]SDG^2 values'!$B$7,IF(AD29=2,'[14]SDG^2 values'!$C$7,IF(AD29=3,'[14]SDG^2 values'!$D$7,IF(AD29=4,'[14]SDG^2 values'!$E$7,IF(AD29=5,'[14]SDG^2 values'!$F$7,1)))))</f>
        <v>1</v>
      </c>
      <c r="AP29" s="52">
        <f>IF(AE29=1,'[14]SDG^2 values'!$B$8,IF(AE29=2,'[14]SDG^2 values'!$C$8,IF(AE29=3,'[14]SDG^2 values'!$D$8,IF(AE29=4,'[14]SDG^2 values'!$E$8,IF(AE29=5,'[14]SDG^2 values'!$F$8,1)))))</f>
        <v>1</v>
      </c>
      <c r="AQ29" s="52">
        <f>IF(AF29=1,'[14]SDG^2 values'!$B$9,IF(AF29=2,'[14]SDG^2 values'!$C$9,IF(AF29=3,'[14]SDG^2 values'!$D$9,IF(AF29=4,'[14]SDG^2 values'!$E$9,IF(AF29=5,'[14]SDG^2 values'!$F$9,1)))))</f>
        <v>1.05</v>
      </c>
    </row>
    <row r="30" spans="1:45" ht="24">
      <c r="A30" s="2">
        <v>1824</v>
      </c>
      <c r="B30" s="168" t="s">
        <v>525</v>
      </c>
      <c r="C30" s="151" t="s">
        <v>525</v>
      </c>
      <c r="D30" s="152" t="s">
        <v>526</v>
      </c>
      <c r="E30" s="153" t="s">
        <v>402</v>
      </c>
      <c r="F30" s="144" t="str">
        <f>IF(OR(D30="4",E30="4"),INDEX([14]NamesElementary!$B$1:$B$65536,MATCH(A30,[14]NamesElementary!$A$1:$A$65536,0),1),INDEX([14]Names!$J$1:$J$65602,MATCH(A30,[14]Names!$F$1:$F$65602,0),1))</f>
        <v>transport, transoceanic freight ship</v>
      </c>
      <c r="G30" s="125" t="str">
        <f>IF(OR(D30="4",E30="4"),"-",INDEX([14]Names!$K$1:$K$65602,MATCH(A30,[14]Names!$F$1:$F$65602,0),1))</f>
        <v>OCE</v>
      </c>
      <c r="H30" s="154" t="str">
        <f>IF(OR(D30="4",E30="4"),INDEX([14]NamesElementary!$D$1:$D$65536,MATCH($A30,[14]NamesElementary!$A$1:$A$65536,0),1),"-")</f>
        <v>-</v>
      </c>
      <c r="I30" s="123" t="str">
        <f>IF(OR(D30="4",E30="4"),INDEX([14]NamesElementary!$E$1:$E$65536,MATCH($A30,[14]NamesElementary!$A$1:$A$65536,0),1),"-")</f>
        <v>-</v>
      </c>
      <c r="J30" s="124">
        <f>IF(OR(D30="4",E30="4"),"-",INDEX([14]Names!$N$1:$N$65602,MATCH(A30,[14]Names!$F$1:$F$65602,0),1))</f>
        <v>0</v>
      </c>
      <c r="K30" s="125" t="str">
        <f>IF(OR(D30="4",E30="4"),INDEX([14]NamesElementary!$G$1:$G$65536,MATCH(A30,[14]NamesElementary!$A$1:$A$65536,0),1),INDEX([14]Names!$O$1:$O$65602,MATCH(A30,[14]Names!$F$1:$F$65602,0),1))</f>
        <v>tkm</v>
      </c>
      <c r="L30" s="155">
        <v>0</v>
      </c>
      <c r="M30" s="29">
        <v>1</v>
      </c>
      <c r="N30" s="1">
        <f t="shared" si="0"/>
        <v>2.0949941301068096</v>
      </c>
      <c r="O30" s="139" t="str">
        <f t="shared" si="1"/>
        <v>(4,5,na,na,na,na); Import of modules from the US 6300km</v>
      </c>
      <c r="P30" s="155">
        <f>1.852*3.383*P14*'old CdTe'!M51</f>
        <v>14.103048889874628</v>
      </c>
      <c r="Q30" s="29">
        <v>1</v>
      </c>
      <c r="R30" s="1">
        <f t="shared" si="2"/>
        <v>2.0949941301068096</v>
      </c>
      <c r="S30" s="31" t="str">
        <f t="shared" si="3"/>
        <v>(4,5,na,na,na,na); Import of modules from the US 6300km</v>
      </c>
      <c r="T30" s="182"/>
      <c r="U30" s="182"/>
      <c r="V30" s="182"/>
      <c r="W30" s="259"/>
      <c r="X30" s="259"/>
      <c r="Y30" s="253"/>
      <c r="Z30" s="115" t="s">
        <v>691</v>
      </c>
      <c r="AA30" s="10">
        <v>4</v>
      </c>
      <c r="AB30" s="50">
        <v>5</v>
      </c>
      <c r="AC30" s="50" t="s">
        <v>271</v>
      </c>
      <c r="AD30" s="50" t="s">
        <v>271</v>
      </c>
      <c r="AE30" s="50" t="s">
        <v>271</v>
      </c>
      <c r="AF30" s="50" t="s">
        <v>271</v>
      </c>
      <c r="AG30" s="50">
        <f>IF(OR($D30="4",$E30="4"),INDEX([14]NamesElementary!$J$1:$J$65536,MATCH($A30,[14]NamesElementary!$A$1:$A$65536,0),1),INDEX([14]Names!$W$1:$W$65602,MATCH($A30,[14]Names!$F$1:$F$65602,0),1))</f>
        <v>5</v>
      </c>
      <c r="AH30" s="51">
        <f>INDEX([14]BasicUncertainty!$H$1:$H$65536,MATCH(AG30,[14]BasicUncertainty!$B$1:$B$65536,0),1)</f>
        <v>2</v>
      </c>
      <c r="AI30" s="87">
        <f>EXP(SQRT((LN(AL30)^2)+(LN(AM30)^2)+(LN(AN30)^2)+(LN(AO30)^2)+(LN(AP30)^2)+(LN(AQ30)^2)))</f>
        <v>1.2941338353151037</v>
      </c>
      <c r="AJ30" s="88">
        <f>EXP(SQRT((LN(AL30)^2)+(LN(AM30)^2)+(LN(AN30)^2)+(LN(AO30)^2)+(LN(AP30)^2)+(LN(AQ30)^2)+LN(AH30)^2))</f>
        <v>2.0949941301068096</v>
      </c>
      <c r="AK30" s="89" t="str">
        <f>CONCATENATE("(",AA30,",",AB30,",",AC30,",",AD30,",",AE30,",",AF30,")")</f>
        <v>(4,5,na,na,na,na)</v>
      </c>
      <c r="AL30" s="52">
        <f>IF(AA30=1,'[14]SDG^2 values'!$B$4,IF(AA30=2,'[14]SDG^2 values'!$C$4,IF(AA30=3,'[14]SDG^2 values'!$D$4,IF(AA30=4,'[14]SDG^2 values'!$E$4,IF(AA30=5,'[14]SDG^2 values'!$F$4,1)))))</f>
        <v>1.2</v>
      </c>
      <c r="AM30" s="52">
        <f>IF(AB30=1,'[14]SDG^2 values'!$B$5,IF(AB30=2,'[14]SDG^2 values'!$C$5,IF(AB30=3,'[14]SDG^2 values'!$D$5,IF(AB30=4,'[14]SDG^2 values'!$E$5,IF(AB30=5,'[14]SDG^2 values'!$F$5,1)))))</f>
        <v>1.2</v>
      </c>
      <c r="AN30" s="52">
        <f>IF(AC30=1,'[14]SDG^2 values'!$B$6,IF(AC30=2,'[14]SDG^2 values'!$C$6,IF(AC30=3,'[14]SDG^2 values'!$D$6,IF(AC30=4,'[14]SDG^2 values'!$E$6,IF(AC30=5,'[14]SDG^2 values'!$F$6,1)))))</f>
        <v>1</v>
      </c>
      <c r="AO30" s="52">
        <f>IF(AD30=1,'[14]SDG^2 values'!$B$7,IF(AD30=2,'[14]SDG^2 values'!$C$7,IF(AD30=3,'[14]SDG^2 values'!$D$7,IF(AD30=4,'[14]SDG^2 values'!$E$7,IF(AD30=5,'[14]SDG^2 values'!$F$7,1)))))</f>
        <v>1</v>
      </c>
      <c r="AP30" s="52">
        <f>IF(AE30=1,'[14]SDG^2 values'!$B$8,IF(AE30=2,'[14]SDG^2 values'!$C$8,IF(AE30=3,'[14]SDG^2 values'!$D$8,IF(AE30=4,'[14]SDG^2 values'!$E$8,IF(AE30=5,'[14]SDG^2 values'!$F$8,1)))))</f>
        <v>1</v>
      </c>
      <c r="AQ30" s="52">
        <f>IF(AF30=1,'[14]SDG^2 values'!$B$9,IF(AF30=2,'[14]SDG^2 values'!$C$9,IF(AF30=3,'[14]SDG^2 values'!$D$9,IF(AF30=4,'[14]SDG^2 values'!$E$9,IF(AF30=5,'[14]SDG^2 values'!$F$9,1)))))</f>
        <v>1</v>
      </c>
    </row>
    <row r="31" spans="1:45" ht="12.75">
      <c r="A31" s="157">
        <v>1841</v>
      </c>
      <c r="B31" s="168" t="s">
        <v>525</v>
      </c>
      <c r="C31" s="151" t="s">
        <v>525</v>
      </c>
      <c r="D31" s="152" t="s">
        <v>526</v>
      </c>
      <c r="E31" s="153" t="s">
        <v>402</v>
      </c>
      <c r="F31" s="144" t="str">
        <f>IF(OR(D31="4",E31="4"),INDEX([14]NamesElementary!$B$1:$B$65536,MATCH(A31,[14]NamesElementary!$A$1:$A$65536,0),1),INDEX([14]Names!$J$1:$J$65602,MATCH(A31,[14]Names!$F$1:$F$65602,0),1))</f>
        <v>transport, freight, rail</v>
      </c>
      <c r="G31" s="125" t="str">
        <f>IF(OR(D31="4",E31="4"),"-",INDEX([14]Names!$K$1:$K$65602,MATCH(A31,[14]Names!$F$1:$F$65602,0),1))</f>
        <v>RER</v>
      </c>
      <c r="H31" s="154" t="str">
        <f>IF(OR(D31="4",E31="4"),INDEX([14]NamesElementary!$D$1:$D$65536,MATCH($A31,[14]NamesElementary!$A$1:$A$65536,0),1),"-")</f>
        <v>-</v>
      </c>
      <c r="I31" s="123" t="str">
        <f>IF(OR(D31="4",E31="4"),INDEX([14]NamesElementary!$E$1:$E$65536,MATCH($A31,[14]NamesElementary!$A$1:$A$65536,0),1),"-")</f>
        <v>-</v>
      </c>
      <c r="J31" s="124">
        <f>IF(OR(D31="4",E31="4"),"-",INDEX([14]Names!$N$1:$N$65602,MATCH(A31,[14]Names!$F$1:$F$65602,0),1))</f>
        <v>0</v>
      </c>
      <c r="K31" s="125" t="str">
        <f>IF(OR(D31="4",E31="4"),INDEX([14]NamesElementary!$G$1:$G$65536,MATCH(A31,[14]NamesElementary!$A$1:$A$65536,0),1),INDEX([14]Names!$O$1:$O$65602,MATCH(A31,[14]Names!$F$1:$F$65602,0),1))</f>
        <v>tkm</v>
      </c>
      <c r="L31" s="155">
        <f>0.6*SUM(L16:L28)</f>
        <v>15.495570280000001</v>
      </c>
      <c r="M31" s="29">
        <v>1</v>
      </c>
      <c r="N31" s="1">
        <f t="shared" si="0"/>
        <v>2.0949941301068096</v>
      </c>
      <c r="O31" s="139" t="str">
        <f t="shared" si="1"/>
        <v>(4,5,na,na,na,na); Average distance 600km</v>
      </c>
      <c r="P31" s="155">
        <f>0.6*SUM(P16:P28)</f>
        <v>0</v>
      </c>
      <c r="Q31" s="29">
        <v>1</v>
      </c>
      <c r="R31" s="1">
        <f t="shared" si="2"/>
        <v>2.0949941301068096</v>
      </c>
      <c r="S31" s="31" t="str">
        <f t="shared" si="3"/>
        <v>(4,5,na,na,na,na); Average distance 600km</v>
      </c>
      <c r="T31" s="182"/>
      <c r="U31" s="182"/>
      <c r="V31" s="182"/>
      <c r="W31" s="259"/>
      <c r="X31" s="259"/>
      <c r="Y31" s="253"/>
      <c r="Z31" s="115" t="s">
        <v>2</v>
      </c>
      <c r="AA31" s="10">
        <v>4</v>
      </c>
      <c r="AB31" s="50">
        <v>5</v>
      </c>
      <c r="AC31" s="50" t="s">
        <v>271</v>
      </c>
      <c r="AD31" s="50" t="s">
        <v>271</v>
      </c>
      <c r="AE31" s="50" t="s">
        <v>271</v>
      </c>
      <c r="AF31" s="50" t="s">
        <v>271</v>
      </c>
      <c r="AG31" s="50">
        <f>IF(OR($D31="4",$E31="4"),INDEX([14]NamesElementary!$J$1:$J$65536,MATCH($A31,[14]NamesElementary!$A$1:$A$65536,0),1),INDEX([14]Names!$W$1:$W$65602,MATCH($A31,[14]Names!$F$1:$F$65602,0),1))</f>
        <v>5</v>
      </c>
      <c r="AH31" s="51">
        <f>INDEX([14]BasicUncertainty!$H$1:$H$65536,MATCH(AG31,[14]BasicUncertainty!$B$1:$B$65536,0),1)</f>
        <v>2</v>
      </c>
      <c r="AI31" s="87">
        <f t="shared" si="5"/>
        <v>1.2941338353151037</v>
      </c>
      <c r="AJ31" s="88">
        <f t="shared" si="6"/>
        <v>2.0949941301068096</v>
      </c>
      <c r="AK31" s="89" t="str">
        <f t="shared" si="7"/>
        <v>(4,5,na,na,na,na)</v>
      </c>
      <c r="AL31" s="52">
        <f>IF(AA31=1,'[14]SDG^2 values'!$B$4,IF(AA31=2,'[14]SDG^2 values'!$C$4,IF(AA31=3,'[14]SDG^2 values'!$D$4,IF(AA31=4,'[14]SDG^2 values'!$E$4,IF(AA31=5,'[14]SDG^2 values'!$F$4,1)))))</f>
        <v>1.2</v>
      </c>
      <c r="AM31" s="52">
        <f>IF(AB31=1,'[14]SDG^2 values'!$B$5,IF(AB31=2,'[14]SDG^2 values'!$C$5,IF(AB31=3,'[14]SDG^2 values'!$D$5,IF(AB31=4,'[14]SDG^2 values'!$E$5,IF(AB31=5,'[14]SDG^2 values'!$F$5,1)))))</f>
        <v>1.2</v>
      </c>
      <c r="AN31" s="52">
        <f>IF(AC31=1,'[14]SDG^2 values'!$B$6,IF(AC31=2,'[14]SDG^2 values'!$C$6,IF(AC31=3,'[14]SDG^2 values'!$D$6,IF(AC31=4,'[14]SDG^2 values'!$E$6,IF(AC31=5,'[14]SDG^2 values'!$F$6,1)))))</f>
        <v>1</v>
      </c>
      <c r="AO31" s="52">
        <f>IF(AD31=1,'[14]SDG^2 values'!$B$7,IF(AD31=2,'[14]SDG^2 values'!$C$7,IF(AD31=3,'[14]SDG^2 values'!$D$7,IF(AD31=4,'[14]SDG^2 values'!$E$7,IF(AD31=5,'[14]SDG^2 values'!$F$7,1)))))</f>
        <v>1</v>
      </c>
      <c r="AP31" s="52">
        <f>IF(AE31=1,'[14]SDG^2 values'!$B$8,IF(AE31=2,'[14]SDG^2 values'!$C$8,IF(AE31=3,'[14]SDG^2 values'!$D$8,IF(AE31=4,'[14]SDG^2 values'!$E$8,IF(AE31=5,'[14]SDG^2 values'!$F$8,1)))))</f>
        <v>1</v>
      </c>
      <c r="AQ31" s="52">
        <f>IF(AF31=1,'[14]SDG^2 values'!$B$9,IF(AF31=2,'[14]SDG^2 values'!$C$9,IF(AF31=3,'[14]SDG^2 values'!$D$9,IF(AF31=4,'[14]SDG^2 values'!$E$9,IF(AF31=5,'[14]SDG^2 values'!$F$9,1)))))</f>
        <v>1</v>
      </c>
    </row>
    <row r="32" spans="1:45" ht="24">
      <c r="A32" s="157">
        <v>1436</v>
      </c>
      <c r="B32" s="37" t="s">
        <v>153</v>
      </c>
      <c r="C32" s="151" t="s">
        <v>525</v>
      </c>
      <c r="D32" s="152" t="s">
        <v>526</v>
      </c>
      <c r="E32" s="153" t="s">
        <v>402</v>
      </c>
      <c r="F32" s="144" t="str">
        <f>IF(OR(D32="4",E32="4"),INDEX([14]NamesElementary!$B$1:$B$65536,MATCH(A32,[14]NamesElementary!$A$1:$A$65536,0),1),INDEX([14]Names!$J$1:$J$65602,MATCH(A32,[14]Names!$F$1:$F$65602,0),1))</f>
        <v>disposal, municipal solid waste, 22.9% water, to municipal incineration</v>
      </c>
      <c r="G32" s="125" t="str">
        <f>IF(OR(D32="4",E32="4"),"-",INDEX([14]Names!$K$1:$K$65602,MATCH(A32,[14]Names!$F$1:$F$65602,0),1))</f>
        <v>CH</v>
      </c>
      <c r="H32" s="154" t="str">
        <f>IF(OR(D32="4",E32="4"),INDEX([14]NamesElementary!$D$1:$D$65536,MATCH($A32,[14]NamesElementary!$A$1:$A$65536,0),1),"-")</f>
        <v>-</v>
      </c>
      <c r="I32" s="123" t="str">
        <f>IF(OR(D32="4",E32="4"),INDEX([14]NamesElementary!$E$1:$E$65536,MATCH($A32,[14]NamesElementary!$A$1:$A$65536,0),1),"-")</f>
        <v>-</v>
      </c>
      <c r="J32" s="124">
        <f>IF(OR(D32="4",E32="4"),"-",INDEX([14]Names!$N$1:$N$65602,MATCH(A32,[14]Names!$F$1:$F$65602,0),1))</f>
        <v>0</v>
      </c>
      <c r="K32" s="125" t="str">
        <f>IF(OR(D32="4",E32="4"),INDEX([14]NamesElementary!$G$1:$G$65536,MATCH(A32,[14]NamesElementary!$A$1:$A$65536,0),1),INDEX([14]Names!$O$1:$O$65602,MATCH(A32,[14]Names!$F$1:$F$65602,0),1))</f>
        <v>kg</v>
      </c>
      <c r="L32" s="155">
        <f>disposal_panel</f>
        <v>0.03</v>
      </c>
      <c r="M32" s="29">
        <v>1</v>
      </c>
      <c r="N32" s="1">
        <f t="shared" si="0"/>
        <v>1.1267298112245603</v>
      </c>
      <c r="O32" s="139" t="str">
        <f t="shared" si="1"/>
        <v>(1,4,1,3,1,3); Alsema (personal communication) 2007, production waste</v>
      </c>
      <c r="P32" s="155">
        <v>0</v>
      </c>
      <c r="Q32" s="29">
        <v>1</v>
      </c>
      <c r="R32" s="1">
        <f t="shared" si="2"/>
        <v>1.1267298112245603</v>
      </c>
      <c r="S32" s="31" t="str">
        <f t="shared" si="3"/>
        <v>(1,4,1,3,1,3); Alsema (personal communication) 2007, production waste</v>
      </c>
      <c r="T32" s="182"/>
      <c r="U32" s="182"/>
      <c r="V32" s="182"/>
      <c r="W32" s="259"/>
      <c r="X32" s="259"/>
      <c r="Y32" s="253">
        <f>0.012</f>
        <v>1.2E-2</v>
      </c>
      <c r="Z32" s="115" t="str">
        <f>'X-Panel'!$CO$72</f>
        <v>Alsema (personal communication) 2007, production waste</v>
      </c>
      <c r="AA32" s="10">
        <v>1</v>
      </c>
      <c r="AB32" s="50">
        <v>4</v>
      </c>
      <c r="AC32" s="50">
        <v>1</v>
      </c>
      <c r="AD32" s="50">
        <v>3</v>
      </c>
      <c r="AE32" s="50">
        <v>1</v>
      </c>
      <c r="AF32" s="50">
        <v>3</v>
      </c>
      <c r="AG32" s="50">
        <f>IF(OR($D32="4",$E32="4"),INDEX([14]NamesElementary!$J$1:$J$65536,MATCH($A32,[14]NamesElementary!$A$1:$A$65536,0),1),INDEX([14]Names!$W$1:$W$65602,MATCH($A32,[14]Names!$F$1:$F$65602,0),1))</f>
        <v>6</v>
      </c>
      <c r="AH32" s="51">
        <f>INDEX([14]BasicUncertainty!$H$1:$H$65536,MATCH(AG32,[14]BasicUncertainty!$B$1:$B$65536,0),1)</f>
        <v>1.05</v>
      </c>
      <c r="AI32" s="87">
        <f t="shared" si="5"/>
        <v>1.1150377561073679</v>
      </c>
      <c r="AJ32" s="88">
        <f t="shared" si="6"/>
        <v>1.1267298112245603</v>
      </c>
      <c r="AK32" s="89" t="str">
        <f t="shared" si="7"/>
        <v>(1,4,1,3,1,3)</v>
      </c>
      <c r="AL32" s="52">
        <f>IF(AA32=1,'[14]SDG^2 values'!$B$4,IF(AA32=2,'[14]SDG^2 values'!$C$4,IF(AA32=3,'[14]SDG^2 values'!$D$4,IF(AA32=4,'[14]SDG^2 values'!$E$4,IF(AA32=5,'[14]SDG^2 values'!$F$4,1)))))</f>
        <v>1</v>
      </c>
      <c r="AM32" s="52">
        <f>IF(AB32=1,'[14]SDG^2 values'!$B$5,IF(AB32=2,'[14]SDG^2 values'!$C$5,IF(AB32=3,'[14]SDG^2 values'!$D$5,IF(AB32=4,'[14]SDG^2 values'!$E$5,IF(AB32=5,'[14]SDG^2 values'!$F$5,1)))))</f>
        <v>1.1000000000000001</v>
      </c>
      <c r="AN32" s="52">
        <f>IF(AC32=1,'[14]SDG^2 values'!$B$6,IF(AC32=2,'[14]SDG^2 values'!$C$6,IF(AC32=3,'[14]SDG^2 values'!$D$6,IF(AC32=4,'[14]SDG^2 values'!$E$6,IF(AC32=5,'[14]SDG^2 values'!$F$6,1)))))</f>
        <v>1</v>
      </c>
      <c r="AO32" s="52">
        <f>IF(AD32=1,'[14]SDG^2 values'!$B$7,IF(AD32=2,'[14]SDG^2 values'!$C$7,IF(AD32=3,'[14]SDG^2 values'!$D$7,IF(AD32=4,'[14]SDG^2 values'!$E$7,IF(AD32=5,'[14]SDG^2 values'!$F$7,1)))))</f>
        <v>1.02</v>
      </c>
      <c r="AP32" s="52">
        <f>IF(AE32=1,'[14]SDG^2 values'!$B$8,IF(AE32=2,'[14]SDG^2 values'!$C$8,IF(AE32=3,'[14]SDG^2 values'!$D$8,IF(AE32=4,'[14]SDG^2 values'!$E$8,IF(AE32=5,'[14]SDG^2 values'!$F$8,1)))))</f>
        <v>1</v>
      </c>
      <c r="AQ32" s="52">
        <f>IF(AF32=1,'[14]SDG^2 values'!$B$9,IF(AF32=2,'[14]SDG^2 values'!$C$9,IF(AF32=3,'[14]SDG^2 values'!$D$9,IF(AF32=4,'[14]SDG^2 values'!$E$9,IF(AF32=5,'[14]SDG^2 values'!$F$9,1)))))</f>
        <v>1.05</v>
      </c>
      <c r="AR32" s="182">
        <f>18*600</f>
        <v>10800</v>
      </c>
    </row>
    <row r="33" spans="1:43" ht="24">
      <c r="A33" s="252">
        <v>1409</v>
      </c>
      <c r="B33" s="168" t="s">
        <v>525</v>
      </c>
      <c r="C33" s="151" t="s">
        <v>525</v>
      </c>
      <c r="D33" s="152" t="s">
        <v>526</v>
      </c>
      <c r="E33" s="153" t="s">
        <v>402</v>
      </c>
      <c r="F33" s="144" t="str">
        <f>IF(OR(D33="4",E33="4"),INDEX([14]NamesElementary!$B$1:$B$65536,MATCH(A33,[14]NamesElementary!$A$1:$A$65536,0),1),INDEX([14]Names!$J$1:$J$65602,MATCH(A33,[14]Names!$F$1:$F$65602,0),1))</f>
        <v>disposal, plastics, mixture, 15.3% water, to municipal incineration</v>
      </c>
      <c r="G33" s="125" t="str">
        <f>IF(OR(D33="4",E33="4"),"-",INDEX([14]Names!$K$1:$K$65602,MATCH(A33,[14]Names!$F$1:$F$65602,0),1))</f>
        <v>CH</v>
      </c>
      <c r="H33" s="154" t="str">
        <f>IF(OR(D33="4",E33="4"),INDEX([14]NamesElementary!$D$1:$D$65536,MATCH($A33,[14]NamesElementary!$A$1:$A$65536,0),1),"-")</f>
        <v>-</v>
      </c>
      <c r="I33" s="123" t="str">
        <f>IF(OR(D33="4",E33="4"),INDEX([14]NamesElementary!$E$1:$E$65536,MATCH($A33,[14]NamesElementary!$A$1:$A$65536,0),1),"-")</f>
        <v>-</v>
      </c>
      <c r="J33" s="124">
        <f>IF(OR(D33="4",E33="4"),"-",INDEX([14]Names!$N$1:$N$65602,MATCH(A33,[14]Names!$F$1:$F$65602,0),1))</f>
        <v>0</v>
      </c>
      <c r="K33" s="125" t="str">
        <f>IF(OR(D33="4",E33="4"),INDEX([14]NamesElementary!$G$1:$G$65536,MATCH(A33,[14]NamesElementary!$A$1:$A$65536,0),1),INDEX([14]Names!$O$1:$O$65602,MATCH(A33,[14]Names!$F$1:$F$65602,0),1))</f>
        <v>kg</v>
      </c>
      <c r="L33" s="155">
        <f>L19+L20</f>
        <v>0.67</v>
      </c>
      <c r="M33" s="29">
        <v>1</v>
      </c>
      <c r="N33" s="1">
        <f t="shared" si="0"/>
        <v>1.1267298112245603</v>
      </c>
      <c r="O33" s="139" t="str">
        <f t="shared" si="1"/>
        <v>(3,2,1,1,1,3); Calculation</v>
      </c>
      <c r="P33" s="155">
        <f>P19+P20</f>
        <v>0</v>
      </c>
      <c r="Q33" s="29">
        <v>1</v>
      </c>
      <c r="R33" s="1">
        <f t="shared" si="2"/>
        <v>1.1267298112245603</v>
      </c>
      <c r="S33" s="31" t="str">
        <f t="shared" si="3"/>
        <v>(3,2,1,1,1,3); Calculation</v>
      </c>
      <c r="T33" s="182"/>
      <c r="U33" s="182"/>
      <c r="V33" s="182"/>
      <c r="W33" s="259"/>
      <c r="X33" s="259"/>
      <c r="Y33" s="253"/>
      <c r="Z33" s="115" t="s">
        <v>401</v>
      </c>
      <c r="AA33" s="272">
        <f t="shared" ref="AA33:AF34" si="11">AA$16</f>
        <v>3</v>
      </c>
      <c r="AB33" s="272">
        <f t="shared" si="11"/>
        <v>2</v>
      </c>
      <c r="AC33" s="272">
        <f t="shared" si="11"/>
        <v>1</v>
      </c>
      <c r="AD33" s="272">
        <f t="shared" si="11"/>
        <v>1</v>
      </c>
      <c r="AE33" s="272">
        <f t="shared" si="11"/>
        <v>1</v>
      </c>
      <c r="AF33" s="272">
        <f t="shared" si="11"/>
        <v>3</v>
      </c>
      <c r="AG33" s="50">
        <f>IF(OR($D33="4",$E33="4"),INDEX([14]NamesElementary!$J$1:$J$65536,MATCH($A33,[14]NamesElementary!$A$1:$A$65536,0),1),INDEX([14]Names!$W$1:$W$65602,MATCH($A33,[14]Names!$F$1:$F$65602,0),1))</f>
        <v>6</v>
      </c>
      <c r="AH33" s="51">
        <f>INDEX([14]BasicUncertainty!$H$1:$H$65536,MATCH(AG33,[14]BasicUncertainty!$B$1:$B$65536,0),1)</f>
        <v>1.05</v>
      </c>
      <c r="AI33" s="87">
        <f>EXP(SQRT((LN(AL33)^2)+(LN(AM33)^2)+(LN(AN33)^2)+(LN(AO33)^2)+(LN(AP33)^2)+(LN(AQ33)^2)))</f>
        <v>1.1150377561073679</v>
      </c>
      <c r="AJ33" s="88">
        <f>EXP(SQRT((LN(AL33)^2)+(LN(AM33)^2)+(LN(AN33)^2)+(LN(AO33)^2)+(LN(AP33)^2)+(LN(AQ33)^2)+LN(AH33)^2))</f>
        <v>1.1267298112245603</v>
      </c>
      <c r="AK33" s="89" t="str">
        <f>CONCATENATE("(",AA33,",",AB33,",",AC33,",",AD33,",",AE33,",",AF33,")")</f>
        <v>(3,2,1,1,1,3)</v>
      </c>
      <c r="AL33" s="52">
        <f>IF(AA33=1,'[14]SDG^2 values'!$B$4,IF(AA33=2,'[14]SDG^2 values'!$C$4,IF(AA33=3,'[14]SDG^2 values'!$D$4,IF(AA33=4,'[14]SDG^2 values'!$E$4,IF(AA33=5,'[14]SDG^2 values'!$F$4,1)))))</f>
        <v>1.1000000000000001</v>
      </c>
      <c r="AM33" s="52">
        <f>IF(AB33=1,'[14]SDG^2 values'!$B$5,IF(AB33=2,'[14]SDG^2 values'!$C$5,IF(AB33=3,'[14]SDG^2 values'!$D$5,IF(AB33=4,'[14]SDG^2 values'!$E$5,IF(AB33=5,'[14]SDG^2 values'!$F$5,1)))))</f>
        <v>1.02</v>
      </c>
      <c r="AN33" s="52">
        <f>IF(AC33=1,'[14]SDG^2 values'!$B$6,IF(AC33=2,'[14]SDG^2 values'!$C$6,IF(AC33=3,'[14]SDG^2 values'!$D$6,IF(AC33=4,'[14]SDG^2 values'!$E$6,IF(AC33=5,'[14]SDG^2 values'!$F$6,1)))))</f>
        <v>1</v>
      </c>
      <c r="AO33" s="52">
        <f>IF(AD33=1,'[14]SDG^2 values'!$B$7,IF(AD33=2,'[14]SDG^2 values'!$C$7,IF(AD33=3,'[14]SDG^2 values'!$D$7,IF(AD33=4,'[14]SDG^2 values'!$E$7,IF(AD33=5,'[14]SDG^2 values'!$F$7,1)))))</f>
        <v>1</v>
      </c>
      <c r="AP33" s="52">
        <f>IF(AE33=1,'[14]SDG^2 values'!$B$8,IF(AE33=2,'[14]SDG^2 values'!$C$8,IF(AE33=3,'[14]SDG^2 values'!$D$8,IF(AE33=4,'[14]SDG^2 values'!$E$8,IF(AE33=5,'[14]SDG^2 values'!$F$8,1)))))</f>
        <v>1</v>
      </c>
      <c r="AQ33" s="52">
        <f>IF(AF33=1,'[14]SDG^2 values'!$B$9,IF(AF33=2,'[14]SDG^2 values'!$C$9,IF(AF33=3,'[14]SDG^2 values'!$D$9,IF(AF33=4,'[14]SDG^2 values'!$E$9,IF(AF33=5,'[14]SDG^2 values'!$F$9,1)))))</f>
        <v>1.05</v>
      </c>
    </row>
    <row r="34" spans="1:43" ht="24">
      <c r="A34" s="226">
        <v>4087</v>
      </c>
      <c r="B34" s="168" t="s">
        <v>525</v>
      </c>
      <c r="C34" s="151" t="s">
        <v>525</v>
      </c>
      <c r="D34" s="152" t="s">
        <v>526</v>
      </c>
      <c r="E34" s="153" t="s">
        <v>402</v>
      </c>
      <c r="F34" s="144" t="str">
        <f>IF(OR(D34="4",E34="4"),INDEX([14]NamesElementary!$B$1:$B$65536,MATCH(A34,[14]NamesElementary!$A$1:$A$65536,0),1),INDEX([14]Names!$J$1:$J$65602,MATCH(A34,[14]Names!$F$1:$F$65602,0),1))</f>
        <v>treatment, glass production effluent, to wastewater treatment, class 2</v>
      </c>
      <c r="G34" s="125" t="str">
        <f>IF(OR(D34="4",E34="4"),"-",INDEX([14]Names!$K$1:$K$65602,MATCH(A34,[14]Names!$F$1:$F$65602,0),1))</f>
        <v>CH</v>
      </c>
      <c r="H34" s="154" t="str">
        <f>IF(OR(D34="4",E34="4"),INDEX([14]NamesElementary!$D$1:$D$65536,MATCH($A34,[14]NamesElementary!$A$1:$A$65536,0),1),"-")</f>
        <v>-</v>
      </c>
      <c r="I34" s="123" t="str">
        <f>IF(OR(D34="4",E34="4"),INDEX([14]NamesElementary!$E$1:$E$65536,MATCH($A34,[14]NamesElementary!$A$1:$A$65536,0),1),"-")</f>
        <v>-</v>
      </c>
      <c r="J34" s="124">
        <f>IF(OR(D34="4",E34="4"),"-",INDEX([14]Names!$N$1:$N$65602,MATCH(A34,[14]Names!$F$1:$F$65602,0),1))</f>
        <v>0</v>
      </c>
      <c r="K34" s="125" t="str">
        <f>IF(OR(D34="4",E34="4"),INDEX([14]NamesElementary!$G$1:$G$65536,MATCH(A34,[14]NamesElementary!$A$1:$A$65536,0),1),INDEX([14]Names!$O$1:$O$65602,MATCH(A34,[14]Names!$F$1:$F$65602,0),1))</f>
        <v>m3</v>
      </c>
      <c r="L34" s="155">
        <f>L12/1000</f>
        <v>0.219</v>
      </c>
      <c r="M34" s="29">
        <v>1</v>
      </c>
      <c r="N34" s="1">
        <f t="shared" si="0"/>
        <v>1.1267298112245603</v>
      </c>
      <c r="O34" s="139" t="str">
        <f t="shared" si="1"/>
        <v>(3,2,1,1,1,3); Calculation</v>
      </c>
      <c r="P34" s="155">
        <f>P12/1000</f>
        <v>0</v>
      </c>
      <c r="Q34" s="29">
        <v>1</v>
      </c>
      <c r="R34" s="1">
        <f t="shared" si="2"/>
        <v>1.1267298112245603</v>
      </c>
      <c r="S34" s="31" t="str">
        <f t="shared" si="3"/>
        <v>(3,2,1,1,1,3); Calculation</v>
      </c>
      <c r="T34" s="182"/>
      <c r="U34" s="182"/>
      <c r="V34" s="182"/>
      <c r="W34" s="259"/>
      <c r="X34" s="259"/>
      <c r="Y34" s="253"/>
      <c r="Z34" s="115" t="s">
        <v>401</v>
      </c>
      <c r="AA34" s="272">
        <f t="shared" si="11"/>
        <v>3</v>
      </c>
      <c r="AB34" s="272">
        <f t="shared" si="11"/>
        <v>2</v>
      </c>
      <c r="AC34" s="272">
        <f t="shared" si="11"/>
        <v>1</v>
      </c>
      <c r="AD34" s="272">
        <f t="shared" si="11"/>
        <v>1</v>
      </c>
      <c r="AE34" s="272">
        <f t="shared" si="11"/>
        <v>1</v>
      </c>
      <c r="AF34" s="272">
        <f t="shared" si="11"/>
        <v>3</v>
      </c>
      <c r="AG34" s="50">
        <f>IF(OR($D34="4",$E34="4"),INDEX([14]NamesElementary!$J$1:$J$65536,MATCH($A34,[14]NamesElementary!$A$1:$A$65536,0),1),INDEX([14]Names!$W$1:$W$65602,MATCH($A34,[14]Names!$F$1:$F$65602,0),1))</f>
        <v>6</v>
      </c>
      <c r="AH34" s="51">
        <f>INDEX([14]BasicUncertainty!$H$1:$H$65536,MATCH(AG34,[14]BasicUncertainty!$B$1:$B$65536,0),1)</f>
        <v>1.05</v>
      </c>
      <c r="AI34" s="87">
        <f t="shared" si="5"/>
        <v>1.1150377561073679</v>
      </c>
      <c r="AJ34" s="88">
        <f t="shared" si="6"/>
        <v>1.1267298112245603</v>
      </c>
      <c r="AK34" s="89" t="str">
        <f t="shared" si="7"/>
        <v>(3,2,1,1,1,3)</v>
      </c>
      <c r="AL34" s="52">
        <f>IF(AA34=1,'[14]SDG^2 values'!$B$4,IF(AA34=2,'[14]SDG^2 values'!$C$4,IF(AA34=3,'[14]SDG^2 values'!$D$4,IF(AA34=4,'[14]SDG^2 values'!$E$4,IF(AA34=5,'[14]SDG^2 values'!$F$4,1)))))</f>
        <v>1.1000000000000001</v>
      </c>
      <c r="AM34" s="52">
        <f>IF(AB34=1,'[14]SDG^2 values'!$B$5,IF(AB34=2,'[14]SDG^2 values'!$C$5,IF(AB34=3,'[14]SDG^2 values'!$D$5,IF(AB34=4,'[14]SDG^2 values'!$E$5,IF(AB34=5,'[14]SDG^2 values'!$F$5,1)))))</f>
        <v>1.02</v>
      </c>
      <c r="AN34" s="52">
        <f>IF(AC34=1,'[14]SDG^2 values'!$B$6,IF(AC34=2,'[14]SDG^2 values'!$C$6,IF(AC34=3,'[14]SDG^2 values'!$D$6,IF(AC34=4,'[14]SDG^2 values'!$E$6,IF(AC34=5,'[14]SDG^2 values'!$F$6,1)))))</f>
        <v>1</v>
      </c>
      <c r="AO34" s="52">
        <f>IF(AD34=1,'[14]SDG^2 values'!$B$7,IF(AD34=2,'[14]SDG^2 values'!$C$7,IF(AD34=3,'[14]SDG^2 values'!$D$7,IF(AD34=4,'[14]SDG^2 values'!$E$7,IF(AD34=5,'[14]SDG^2 values'!$F$7,1)))))</f>
        <v>1</v>
      </c>
      <c r="AP34" s="52">
        <f>IF(AE34=1,'[14]SDG^2 values'!$B$8,IF(AE34=2,'[14]SDG^2 values'!$C$8,IF(AE34=3,'[14]SDG^2 values'!$D$8,IF(AE34=4,'[14]SDG^2 values'!$E$8,IF(AE34=5,'[14]SDG^2 values'!$F$8,1)))))</f>
        <v>1</v>
      </c>
      <c r="AQ34" s="52">
        <f>IF(AF34=1,'[14]SDG^2 values'!$B$9,IF(AF34=2,'[14]SDG^2 values'!$C$9,IF(AF34=3,'[14]SDG^2 values'!$D$9,IF(AF34=4,'[14]SDG^2 values'!$E$9,IF(AF34=5,'[14]SDG^2 values'!$F$9,1)))))</f>
        <v>1.05</v>
      </c>
    </row>
    <row r="35" spans="1:43" ht="12.75">
      <c r="A35" s="215">
        <v>490</v>
      </c>
      <c r="B35" s="168" t="s">
        <v>692</v>
      </c>
      <c r="C35" s="169" t="s">
        <v>525</v>
      </c>
      <c r="D35" s="50" t="s">
        <v>402</v>
      </c>
      <c r="E35" s="10" t="s">
        <v>527</v>
      </c>
      <c r="F35" s="144" t="str">
        <f>IF(OR(D35="4",E35="4"),INDEX([14]NamesElementary!$B$1:$B$65536,MATCH(A35,[14]NamesElementary!$A$1:$A$65536,0),1),INDEX([14]Names!$J$1:$J$65602,MATCH(A35,[14]Names!$F$1:$F$65602,0),1))</f>
        <v>Heat, waste</v>
      </c>
      <c r="G35" s="125" t="str">
        <f>IF(OR(D35="4",E35="4"),"-",INDEX([14]Names!$K$1:$K$65602,MATCH(A35,[14]Names!$F$1:$F$65602,0),1))</f>
        <v>-</v>
      </c>
      <c r="H35" s="154" t="str">
        <f>IF(OR(D35="4",E35="4"),INDEX([14]NamesElementary!$D$1:$D$65536,MATCH($A35,[14]NamesElementary!$A$1:$A$65536,0),1),"-")</f>
        <v>air</v>
      </c>
      <c r="I35" s="123" t="str">
        <f>IF(OR(D35="4",E35="4"),INDEX([14]NamesElementary!$E$1:$E$65536,MATCH($A35,[14]NamesElementary!$A$1:$A$65536,0),1),"-")</f>
        <v>high population density</v>
      </c>
      <c r="J35" s="124" t="str">
        <f>IF(OR(D35="4",E35="4"),"-",INDEX([14]Names!$N$1:$N$65602,MATCH(A35,[14]Names!$F$1:$F$65602,0),1))</f>
        <v>-</v>
      </c>
      <c r="K35" s="125" t="str">
        <f>IF(OR(D35="4",E35="4"),INDEX([14]NamesElementary!$G$1:$G$65536,MATCH(A35,[14]NamesElementary!$A$1:$A$65536,0),1),INDEX([14]Names!$O$1:$O$65602,MATCH(A35,[14]Names!$F$1:$F$65602,0),1))</f>
        <v>MJ</v>
      </c>
      <c r="L35" s="155">
        <f>3.6*(L9)</f>
        <v>110.83106796116506</v>
      </c>
      <c r="M35" s="29">
        <v>1</v>
      </c>
      <c r="N35" s="1">
        <f t="shared" si="0"/>
        <v>1.2859877072397368</v>
      </c>
      <c r="O35" s="139" t="str">
        <f t="shared" si="1"/>
        <v>(3,4,3,3,1,5); Calculation</v>
      </c>
      <c r="P35" s="155">
        <f>3.6*(P9)</f>
        <v>0</v>
      </c>
      <c r="Q35" s="29">
        <v>1</v>
      </c>
      <c r="R35" s="1">
        <f t="shared" si="2"/>
        <v>1.2859877072397368</v>
      </c>
      <c r="S35" s="31" t="str">
        <f t="shared" si="3"/>
        <v>(3,4,3,3,1,5); Calculation</v>
      </c>
      <c r="T35" s="182"/>
      <c r="U35" s="182"/>
      <c r="V35" s="182"/>
      <c r="W35" s="259"/>
      <c r="X35" s="259"/>
      <c r="Y35" s="253"/>
      <c r="Z35" s="191" t="s">
        <v>401</v>
      </c>
      <c r="AA35" s="10">
        <v>3</v>
      </c>
      <c r="AB35" s="50">
        <v>4</v>
      </c>
      <c r="AC35" s="50">
        <v>3</v>
      </c>
      <c r="AD35" s="50">
        <v>3</v>
      </c>
      <c r="AE35" s="50">
        <v>1</v>
      </c>
      <c r="AF35" s="50">
        <v>5</v>
      </c>
      <c r="AG35" s="50">
        <f>IF(OR($D35="4",$E35="4"),INDEX([14]NamesElementary!$J$1:$J$65536,MATCH($A35,[14]NamesElementary!$A$1:$A$65536,0),1),INDEX([14]Names!$W$1:$W$65602,MATCH($A35,[14]Names!$F$1:$F$65602,0),1))</f>
        <v>13</v>
      </c>
      <c r="AH35" s="51">
        <f>INDEX([14]BasicUncertainty!$H$1:$H$65536,MATCH(AG35,[14]BasicUncertainty!$B$1:$B$65536,0),1)</f>
        <v>1.05</v>
      </c>
      <c r="AI35" s="87">
        <f t="shared" si="5"/>
        <v>1.2798586482969265</v>
      </c>
      <c r="AJ35" s="88">
        <f t="shared" si="6"/>
        <v>1.2859877072397368</v>
      </c>
      <c r="AK35" s="89" t="str">
        <f t="shared" si="7"/>
        <v>(3,4,3,3,1,5)</v>
      </c>
      <c r="AL35" s="52">
        <f>IF(AA35=1,'[14]SDG^2 values'!$B$4,IF(AA35=2,'[14]SDG^2 values'!$C$4,IF(AA35=3,'[14]SDG^2 values'!$D$4,IF(AA35=4,'[14]SDG^2 values'!$E$4,IF(AA35=5,'[14]SDG^2 values'!$F$4,1)))))</f>
        <v>1.1000000000000001</v>
      </c>
      <c r="AM35" s="52">
        <f>IF(AB35=1,'[14]SDG^2 values'!$B$5,IF(AB35=2,'[14]SDG^2 values'!$C$5,IF(AB35=3,'[14]SDG^2 values'!$D$5,IF(AB35=4,'[14]SDG^2 values'!$E$5,IF(AB35=5,'[14]SDG^2 values'!$F$5,1)))))</f>
        <v>1.1000000000000001</v>
      </c>
      <c r="AN35" s="52">
        <f>IF(AC35=1,'[14]SDG^2 values'!$B$6,IF(AC35=2,'[14]SDG^2 values'!$C$6,IF(AC35=3,'[14]SDG^2 values'!$D$6,IF(AC35=4,'[14]SDG^2 values'!$E$6,IF(AC35=5,'[14]SDG^2 values'!$F$6,1)))))</f>
        <v>1.1000000000000001</v>
      </c>
      <c r="AO35" s="52">
        <f>IF(AD35=1,'[14]SDG^2 values'!$B$7,IF(AD35=2,'[14]SDG^2 values'!$C$7,IF(AD35=3,'[14]SDG^2 values'!$D$7,IF(AD35=4,'[14]SDG^2 values'!$E$7,IF(AD35=5,'[14]SDG^2 values'!$F$7,1)))))</f>
        <v>1.02</v>
      </c>
      <c r="AP35" s="52">
        <f>IF(AE35=1,'[14]SDG^2 values'!$B$8,IF(AE35=2,'[14]SDG^2 values'!$C$8,IF(AE35=3,'[14]SDG^2 values'!$D$8,IF(AE35=4,'[14]SDG^2 values'!$E$8,IF(AE35=5,'[14]SDG^2 values'!$F$8,1)))))</f>
        <v>1</v>
      </c>
      <c r="AQ35" s="52">
        <f>IF(AF35=1,'[14]SDG^2 values'!$B$9,IF(AF35=2,'[14]SDG^2 values'!$C$9,IF(AF35=3,'[14]SDG^2 values'!$D$9,IF(AF35=4,'[14]SDG^2 values'!$E$9,IF(AF35=5,'[14]SDG^2 values'!$F$9,1)))))</f>
        <v>1.2</v>
      </c>
    </row>
    <row r="36" spans="1:43" ht="24">
      <c r="A36" s="215">
        <v>178</v>
      </c>
      <c r="B36" s="168"/>
      <c r="C36" s="169" t="s">
        <v>525</v>
      </c>
      <c r="D36" s="50" t="s">
        <v>402</v>
      </c>
      <c r="E36" s="10" t="s">
        <v>527</v>
      </c>
      <c r="F36" s="144" t="str">
        <f>IF(OR(D36="4",E36="4"),INDEX([14]NamesElementary!$B$1:$B$65536,MATCH(A36,[14]NamesElementary!$A$1:$A$65536,0),1),INDEX([14]Names!$J$1:$J$65602,MATCH(A36,[14]Names!$F$1:$F$65602,0),1))</f>
        <v>Cadmium</v>
      </c>
      <c r="G36" s="125" t="str">
        <f>IF(OR(D36="4",E36="4"),"-",INDEX([14]Names!$K$1:$K$65602,MATCH(A36,[14]Names!$F$1:$F$65602,0),1))</f>
        <v>-</v>
      </c>
      <c r="H36" s="154" t="str">
        <f>IF(OR(D36="4",E36="4"),INDEX([14]NamesElementary!$D$1:$D$65536,MATCH($A36,[14]NamesElementary!$A$1:$A$65536,0),1),"-")</f>
        <v>air</v>
      </c>
      <c r="I36" s="123" t="str">
        <f>IF(OR(D36="4",E36="4"),INDEX([14]NamesElementary!$E$1:$E$65536,MATCH($A36,[14]NamesElementary!$A$1:$A$65536,0),1),"-")</f>
        <v>high population density</v>
      </c>
      <c r="J36" s="124" t="str">
        <f>IF(OR(D36="4",E36="4"),"-",INDEX([14]Names!$N$1:$N$65602,MATCH(A36,[14]Names!$F$1:$F$65602,0),1))</f>
        <v>-</v>
      </c>
      <c r="K36" s="125" t="str">
        <f>IF(OR(D36="4",E36="4"),INDEX([14]NamesElementary!$G$1:$G$65536,MATCH(A36,[14]NamesElementary!$A$1:$A$65536,0),1),INDEX([14]Names!$O$1:$O$65602,MATCH(A36,[14]Names!$F$1:$F$65602,0),1))</f>
        <v>kg</v>
      </c>
      <c r="L36" s="155">
        <f>'old CdTe'!M49</f>
        <v>2.0999999999999999E-8</v>
      </c>
      <c r="M36" s="29">
        <v>1</v>
      </c>
      <c r="N36" s="1">
        <f t="shared" si="0"/>
        <v>5.1042893572085166</v>
      </c>
      <c r="O36" s="139" t="str">
        <f t="shared" si="1"/>
        <v>(4,1,1,3,3,na); Literature data and own assumption for share of different inputs</v>
      </c>
      <c r="P36" s="155">
        <v>0</v>
      </c>
      <c r="Q36" s="29">
        <v>1</v>
      </c>
      <c r="R36" s="1">
        <f t="shared" si="2"/>
        <v>5.1042893572085166</v>
      </c>
      <c r="S36" s="31" t="str">
        <f t="shared" si="3"/>
        <v>(4,1,1,3,3,na); Literature data and own assumption for share of different inputs</v>
      </c>
      <c r="T36" s="182"/>
      <c r="U36" s="182"/>
      <c r="V36" s="182"/>
      <c r="W36" s="259"/>
      <c r="X36" s="259"/>
      <c r="Y36" s="253"/>
      <c r="Z36" s="115" t="s">
        <v>484</v>
      </c>
      <c r="AA36" s="10">
        <v>4</v>
      </c>
      <c r="AB36" s="10">
        <v>1</v>
      </c>
      <c r="AC36" s="10">
        <v>1</v>
      </c>
      <c r="AD36" s="10">
        <v>3</v>
      </c>
      <c r="AE36" s="10">
        <v>3</v>
      </c>
      <c r="AF36" s="10" t="s">
        <v>271</v>
      </c>
      <c r="AG36" s="50">
        <f>IF(OR($D36="4",$E36="4"),INDEX([14]NamesElementary!$J$1:$J$65536,MATCH($A36,[14]NamesElementary!$A$1:$A$65536,0),1),INDEX([14]Names!$W$1:$W$65602,MATCH($A36,[14]Names!$F$1:$F$65602,0),1))</f>
        <v>22</v>
      </c>
      <c r="AH36" s="51">
        <f>INDEX([14]BasicUncertainty!$H$1:$H$65536,MATCH(AG36,[14]BasicUncertainty!$B$1:$B$65536,0),1)</f>
        <v>5</v>
      </c>
      <c r="AI36" s="87">
        <f>EXP(SQRT((LN(AL36)^2)+(LN(AM36)^2)+(LN(AN36)^2)+(LN(AO36)^2)+(LN(AP36)^2)+(LN(AQ36)^2)))</f>
        <v>1.2951168674004403</v>
      </c>
      <c r="AJ36" s="88">
        <f>EXP(SQRT((LN(AL36)^2)+(LN(AM36)^2)+(LN(AN36)^2)+(LN(AO36)^2)+(LN(AP36)^2)+(LN(AQ36)^2)+LN(AH36)^2))</f>
        <v>5.1042893572085166</v>
      </c>
      <c r="AK36" s="89" t="str">
        <f>CONCATENATE("(",AA36,",",AB36,",",AC36,",",AD36,",",AE36,",",AF36,")")</f>
        <v>(4,1,1,3,3,na)</v>
      </c>
      <c r="AL36" s="52">
        <f>IF(AA36=1,'[14]SDG^2 values'!$B$4,IF(AA36=2,'[14]SDG^2 values'!$C$4,IF(AA36=3,'[14]SDG^2 values'!$D$4,IF(AA36=4,'[14]SDG^2 values'!$E$4,IF(AA36=5,'[14]SDG^2 values'!$F$4,1)))))</f>
        <v>1.2</v>
      </c>
      <c r="AM36" s="52">
        <f>IF(AB36=1,'[14]SDG^2 values'!$B$5,IF(AB36=2,'[14]SDG^2 values'!$C$5,IF(AB36=3,'[14]SDG^2 values'!$D$5,IF(AB36=4,'[14]SDG^2 values'!$E$5,IF(AB36=5,'[14]SDG^2 values'!$F$5,1)))))</f>
        <v>1</v>
      </c>
      <c r="AN36" s="52">
        <f>IF(AC36=1,'[14]SDG^2 values'!$B$6,IF(AC36=2,'[14]SDG^2 values'!$C$6,IF(AC36=3,'[14]SDG^2 values'!$D$6,IF(AC36=4,'[14]SDG^2 values'!$E$6,IF(AC36=5,'[14]SDG^2 values'!$F$6,1)))))</f>
        <v>1</v>
      </c>
      <c r="AO36" s="52">
        <f>IF(AD36=1,'[14]SDG^2 values'!$B$7,IF(AD36=2,'[14]SDG^2 values'!$C$7,IF(AD36=3,'[14]SDG^2 values'!$D$7,IF(AD36=4,'[14]SDG^2 values'!$E$7,IF(AD36=5,'[14]SDG^2 values'!$F$7,1)))))</f>
        <v>1.02</v>
      </c>
      <c r="AP36" s="52">
        <f>IF(AE36=1,'[14]SDG^2 values'!$B$8,IF(AE36=2,'[14]SDG^2 values'!$C$8,IF(AE36=3,'[14]SDG^2 values'!$D$8,IF(AE36=4,'[14]SDG^2 values'!$E$8,IF(AE36=5,'[14]SDG^2 values'!$F$8,1)))))</f>
        <v>1.2</v>
      </c>
      <c r="AQ36" s="52">
        <f>IF(AF36=1,'[14]SDG^2 values'!$B$9,IF(AF36=2,'[14]SDG^2 values'!$C$9,IF(AF36=3,'[14]SDG^2 values'!$D$9,IF(AF36=4,'[14]SDG^2 values'!$E$9,IF(AF36=5,'[14]SDG^2 values'!$F$9,1)))))</f>
        <v>1</v>
      </c>
    </row>
    <row r="37" spans="1:43">
      <c r="T37" s="182"/>
      <c r="U37" s="182"/>
      <c r="V37" s="182"/>
      <c r="W37" s="259"/>
      <c r="X37" s="259"/>
    </row>
    <row r="38" spans="1:43">
      <c r="B38" s="168"/>
      <c r="C38" s="169"/>
      <c r="D38" s="50"/>
      <c r="E38" s="10"/>
      <c r="F38" s="173" t="str">
        <f>'old CdTe'!G51</f>
        <v>total weight of used materials</v>
      </c>
      <c r="G38" s="19"/>
      <c r="H38" s="17"/>
      <c r="I38" s="53"/>
      <c r="J38" s="18"/>
      <c r="K38" s="19" t="s">
        <v>395</v>
      </c>
      <c r="L38" s="221">
        <f>SUM(L16:L28)</f>
        <v>25.825950466666669</v>
      </c>
      <c r="M38" s="222"/>
      <c r="N38" s="222"/>
      <c r="O38" s="223"/>
      <c r="P38" s="221"/>
      <c r="Q38" s="222"/>
      <c r="R38" s="222"/>
      <c r="S38" s="223" t="str">
        <f>'old CdTe'!P51</f>
        <v>including chemicals, packaging, losses, etc.</v>
      </c>
      <c r="T38" s="221">
        <f>SUM(T16:T28)</f>
        <v>26.001550000000002</v>
      </c>
      <c r="U38" s="221">
        <f>SUM(U16:U28)</f>
        <v>1.94</v>
      </c>
      <c r="V38" s="221">
        <f>SUM(V16:V28)</f>
        <v>22.222222222222221</v>
      </c>
      <c r="W38" s="221">
        <f>SUM(W16:W25)</f>
        <v>9.0866399999999992</v>
      </c>
      <c r="X38" s="221">
        <f>SUM(X21:X26)</f>
        <v>1</v>
      </c>
      <c r="Y38" s="221" t="e">
        <f>SUM(Y16:Y25)+'X-cell'!#REF!*SUM(Y14:Y14)</f>
        <v>#REF!</v>
      </c>
    </row>
    <row r="39" spans="1:43" outlineLevel="1">
      <c r="B39" s="168"/>
      <c r="C39" s="169"/>
      <c r="D39" s="50"/>
      <c r="E39" s="10"/>
      <c r="F39" s="173" t="str">
        <f>'old CdTe'!G52</f>
        <v>disposal</v>
      </c>
      <c r="G39" s="19"/>
      <c r="H39" s="17"/>
      <c r="I39" s="53"/>
      <c r="J39" s="18"/>
      <c r="K39" s="19" t="s">
        <v>395</v>
      </c>
      <c r="L39" s="263">
        <f>SUM(L32:L32)</f>
        <v>0.03</v>
      </c>
      <c r="M39" s="222"/>
      <c r="N39" s="222"/>
      <c r="O39" s="223"/>
      <c r="P39" s="263"/>
      <c r="Q39" s="222"/>
      <c r="R39" s="222"/>
      <c r="S39" s="223"/>
      <c r="T39" s="221"/>
      <c r="U39" s="221"/>
      <c r="V39" s="221"/>
      <c r="W39" s="221"/>
      <c r="X39" s="221"/>
      <c r="Y39" s="221">
        <f>SUM(Y32:Y32)</f>
        <v>1.2E-2</v>
      </c>
    </row>
    <row r="40" spans="1:43">
      <c r="B40" s="168"/>
      <c r="C40" s="169"/>
      <c r="D40" s="50"/>
      <c r="E40" s="10"/>
      <c r="F40" s="173" t="str">
        <f>'old CdTe'!G53</f>
        <v>laminate materials</v>
      </c>
      <c r="G40" s="19"/>
      <c r="H40" s="17"/>
      <c r="I40" s="53"/>
      <c r="J40" s="18"/>
      <c r="K40" s="19" t="s">
        <v>395</v>
      </c>
      <c r="L40" s="221">
        <f>SUM(L16:L25)</f>
        <v>24.275400466666667</v>
      </c>
      <c r="M40" s="222"/>
      <c r="N40" s="222"/>
      <c r="O40" s="223"/>
      <c r="P40" s="221">
        <f>X14*'old CdTe'!M53+X15*L40</f>
        <v>23.918327590000001</v>
      </c>
      <c r="Q40" s="222"/>
      <c r="R40" s="222"/>
      <c r="S40" s="223" t="str">
        <f>'old CdTe'!P53</f>
        <v>including losses</v>
      </c>
      <c r="T40" s="221">
        <f t="shared" ref="T40:Y40" si="12">SUM(T16:T25)</f>
        <v>25.821000000000002</v>
      </c>
      <c r="U40" s="221">
        <f t="shared" si="12"/>
        <v>1.94</v>
      </c>
      <c r="V40" s="221">
        <f>16/V42</f>
        <v>22.222222222222221</v>
      </c>
      <c r="W40" s="221">
        <f t="shared" si="12"/>
        <v>9.0866399999999992</v>
      </c>
      <c r="X40" s="221">
        <f>SUM(X16:X26)</f>
        <v>1</v>
      </c>
      <c r="Y40" s="221">
        <f t="shared" si="12"/>
        <v>22.27647555555556</v>
      </c>
    </row>
    <row r="41" spans="1:43">
      <c r="K41" s="7" t="s">
        <v>710</v>
      </c>
      <c r="V41" s="186">
        <v>43</v>
      </c>
      <c r="W41" s="255"/>
      <c r="X41" s="255"/>
      <c r="Y41" s="254"/>
    </row>
    <row r="42" spans="1:43">
      <c r="K42" s="7" t="s">
        <v>396</v>
      </c>
      <c r="V42" s="225">
        <f>1.2*0.6</f>
        <v>0.72</v>
      </c>
    </row>
    <row r="44" spans="1:43" ht="12.75">
      <c r="A44" s="215">
        <v>178</v>
      </c>
      <c r="B44" s="168"/>
      <c r="C44" s="169" t="s">
        <v>525</v>
      </c>
      <c r="D44" s="50" t="s">
        <v>402</v>
      </c>
      <c r="E44" s="10" t="s">
        <v>527</v>
      </c>
      <c r="F44" s="144" t="str">
        <f>IF(OR(D44="4",E44="4"),INDEX([14]NamesElementary!$B$1:$B$65536,MATCH(A44,[14]NamesElementary!$A$1:$A$65536,0),1),INDEX([14]Names!$J$1:$J$65602,MATCH(A44,[14]Names!$F$1:$F$65602,0),1))</f>
        <v>Cadmium</v>
      </c>
      <c r="G44" s="125" t="str">
        <f>IF(OR(D44="4",E44="4"),"-",INDEX([14]Names!$K$1:$K$65602,MATCH(A44,[14]Names!$F$1:$F$65602,0),1))</f>
        <v>-</v>
      </c>
      <c r="H44" s="154" t="str">
        <f>IF(OR(D44="4",E44="4"),INDEX([14]NamesElementary!$D$1:$D$65536,MATCH($A44,[14]NamesElementary!$A$1:$A$65536,0),1),"-")</f>
        <v>air</v>
      </c>
      <c r="I44" s="123" t="str">
        <f>IF(OR(D44="4",E44="4"),INDEX([14]NamesElementary!$E$1:$E$65536,MATCH($A44,[14]NamesElementary!$A$1:$A$65536,0),1),"-")</f>
        <v>high population density</v>
      </c>
      <c r="J44" s="124" t="str">
        <f>IF(OR(D44="4",E44="4"),"-",INDEX([14]Names!$N$1:$N$65602,MATCH(A44,[14]Names!$F$1:$F$65602,0),1))</f>
        <v>-</v>
      </c>
      <c r="K44" s="125" t="str">
        <f>IF(OR(D44="4",E44="4"),INDEX([14]NamesElementary!$G$1:$G$65536,MATCH(A44,[14]NamesElementary!$A$1:$A$65536,0),1),INDEX([14]Names!$O$1:$O$65602,MATCH(A44,[14]Names!$F$1:$F$65602,0),1))</f>
        <v>kg</v>
      </c>
      <c r="L44" s="155" t="e">
        <f>3.6*L11</f>
        <v>#REF!</v>
      </c>
      <c r="M44" s="29">
        <v>1</v>
      </c>
      <c r="N44" s="1">
        <f>$AJ44</f>
        <v>5.0949158853185388</v>
      </c>
      <c r="O44" s="139" t="str">
        <f>$AK44&amp;"; "&amp;$Z44</f>
        <v>(3,4,3,3,1,5); Tellurium</v>
      </c>
      <c r="P44" s="155">
        <f>3.6*P11</f>
        <v>0</v>
      </c>
      <c r="Q44" s="29">
        <v>1</v>
      </c>
      <c r="R44" s="1">
        <f>$AJ44</f>
        <v>5.0949158853185388</v>
      </c>
      <c r="S44" s="31" t="str">
        <f>$AK44&amp;"; "&amp;$Z44</f>
        <v>(3,4,3,3,1,5); Tellurium</v>
      </c>
      <c r="T44" s="182"/>
      <c r="U44" s="182"/>
      <c r="V44" s="182"/>
      <c r="W44" s="259"/>
      <c r="X44" s="259"/>
      <c r="Y44" s="253"/>
      <c r="Z44" s="191" t="s">
        <v>469</v>
      </c>
      <c r="AA44" s="10">
        <v>3</v>
      </c>
      <c r="AB44" s="50">
        <v>4</v>
      </c>
      <c r="AC44" s="50">
        <v>3</v>
      </c>
      <c r="AD44" s="50">
        <v>3</v>
      </c>
      <c r="AE44" s="50">
        <v>1</v>
      </c>
      <c r="AF44" s="50">
        <v>5</v>
      </c>
      <c r="AG44" s="50">
        <f>IF(OR($D44="4",$E44="4"),INDEX([14]NamesElementary!$J$1:$J$65536,MATCH($A44,[14]NamesElementary!$A$1:$A$65536,0),1),INDEX([14]Names!$W$1:$W$65602,MATCH($A44,[14]Names!$F$1:$F$65602,0),1))</f>
        <v>22</v>
      </c>
      <c r="AH44" s="51">
        <f>INDEX([14]BasicUncertainty!$H$1:$H$65536,MATCH(AG44,[14]BasicUncertainty!$B$1:$B$65536,0),1)</f>
        <v>5</v>
      </c>
      <c r="AI44" s="87">
        <f>EXP(SQRT((LN(AL44)^2)+(LN(AM44)^2)+(LN(AN44)^2)+(LN(AO44)^2)+(LN(AP44)^2)+(LN(AQ44)^2)))</f>
        <v>1.2798586482969265</v>
      </c>
      <c r="AJ44" s="88">
        <f>EXP(SQRT((LN(AL44)^2)+(LN(AM44)^2)+(LN(AN44)^2)+(LN(AO44)^2)+(LN(AP44)^2)+(LN(AQ44)^2)+LN(AH44)^2))</f>
        <v>5.0949158853185388</v>
      </c>
      <c r="AK44" s="89" t="str">
        <f>CONCATENATE("(",AA44,",",AB44,",",AC44,",",AD44,",",AE44,",",AF44,")")</f>
        <v>(3,4,3,3,1,5)</v>
      </c>
      <c r="AL44" s="52">
        <f>IF(AA44=1,'[14]SDG^2 values'!$B$4,IF(AA44=2,'[14]SDG^2 values'!$C$4,IF(AA44=3,'[14]SDG^2 values'!$D$4,IF(AA44=4,'[14]SDG^2 values'!$E$4,IF(AA44=5,'[14]SDG^2 values'!$F$4,1)))))</f>
        <v>1.1000000000000001</v>
      </c>
      <c r="AM44" s="52">
        <f>IF(AB44=1,'[14]SDG^2 values'!$B$5,IF(AB44=2,'[14]SDG^2 values'!$C$5,IF(AB44=3,'[14]SDG^2 values'!$D$5,IF(AB44=4,'[14]SDG^2 values'!$E$5,IF(AB44=5,'[14]SDG^2 values'!$F$5,1)))))</f>
        <v>1.1000000000000001</v>
      </c>
      <c r="AN44" s="52">
        <f>IF(AC44=1,'[14]SDG^2 values'!$B$6,IF(AC44=2,'[14]SDG^2 values'!$C$6,IF(AC44=3,'[14]SDG^2 values'!$D$6,IF(AC44=4,'[14]SDG^2 values'!$E$6,IF(AC44=5,'[14]SDG^2 values'!$F$6,1)))))</f>
        <v>1.1000000000000001</v>
      </c>
      <c r="AO44" s="52">
        <f>IF(AD44=1,'[14]SDG^2 values'!$B$7,IF(AD44=2,'[14]SDG^2 values'!$C$7,IF(AD44=3,'[14]SDG^2 values'!$D$7,IF(AD44=4,'[14]SDG^2 values'!$E$7,IF(AD44=5,'[14]SDG^2 values'!$F$7,1)))))</f>
        <v>1.02</v>
      </c>
      <c r="AP44" s="52">
        <f>IF(AE44=1,'[14]SDG^2 values'!$B$8,IF(AE44=2,'[14]SDG^2 values'!$C$8,IF(AE44=3,'[14]SDG^2 values'!$D$8,IF(AE44=4,'[14]SDG^2 values'!$E$8,IF(AE44=5,'[14]SDG^2 values'!$F$8,1)))))</f>
        <v>1</v>
      </c>
      <c r="AQ44" s="52">
        <f>IF(AF44=1,'[14]SDG^2 values'!$B$9,IF(AF44=2,'[14]SDG^2 values'!$C$9,IF(AF44=3,'[14]SDG^2 values'!$D$9,IF(AF44=4,'[14]SDG^2 values'!$E$9,IF(AF44=5,'[14]SDG^2 values'!$F$9,1)))))</f>
        <v>1.2</v>
      </c>
    </row>
    <row r="46" spans="1:43">
      <c r="L46" s="294">
        <f>SUM(L21:L25)</f>
        <v>7.6215555555555564E-2</v>
      </c>
    </row>
  </sheetData>
  <phoneticPr fontId="0" type="noConversion"/>
  <conditionalFormatting sqref="AA44:AF44 AA7:AF7 AA33:AF40 AH21:AH25 AA9:AF29">
    <cfRule type="cellIs" dxfId="151" priority="1" stopIfTrue="1" operator="notBetween">
      <formula>1</formula>
      <formula>5</formula>
    </cfRule>
  </conditionalFormatting>
  <conditionalFormatting sqref="AL29:AQ32 AL35:AQ40 AL44:AQ44 AL7:AQ25">
    <cfRule type="cellIs" dxfId="150" priority="2" stopIfTrue="1" operator="equal">
      <formula>0</formula>
    </cfRule>
  </conditionalFormatting>
  <dataValidations disablePrompts="1" xWindow="608" yWindow="187" count="1">
    <dataValidation allowBlank="1" showInputMessage="1" showErrorMessage="1" promptTitle="Do not change" prompt="This field is automatically updated from the names-list" sqref="AG44 AG9:AG36"/>
  </dataValidations>
  <pageMargins left="0.78740157499999996" right="0.78740157499999996" top="0.984251969" bottom="0.984251969" header="0.4921259845" footer="0.4921259845"/>
  <pageSetup paperSize="9" scale="55"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enableFormatConditionsCalculation="0">
    <tabColor indexed="14"/>
    <pageSetUpPr fitToPage="1"/>
  </sheetPr>
  <dimension ref="A1:AJ27"/>
  <sheetViews>
    <sheetView zoomScale="75" zoomScaleNormal="75" workbookViewId="0">
      <pane xSplit="12" topLeftCell="M1" activePane="topRight" state="frozen"/>
      <selection pane="topRight" activeCell="L11" sqref="L11"/>
    </sheetView>
  </sheetViews>
  <sheetFormatPr defaultColWidth="11.42578125" defaultRowHeight="12" outlineLevelRow="1" outlineLevelCol="1"/>
  <cols>
    <col min="1" max="1" width="7" style="7" customWidth="1" outlineLevel="1"/>
    <col min="2" max="2" width="12.140625" style="158" bestFit="1" customWidth="1"/>
    <col min="3" max="3" width="3.7109375" style="159" hidden="1" customWidth="1"/>
    <col min="4" max="4" width="2.85546875" style="7" hidden="1" customWidth="1" outlineLevel="1"/>
    <col min="5" max="5" width="3" style="7" hidden="1" customWidth="1" outlineLevel="1"/>
    <col min="6" max="6" width="57.140625" style="8" customWidth="1" collapsed="1"/>
    <col min="7" max="7" width="6" style="7" customWidth="1"/>
    <col min="8" max="8" width="4.5703125" style="7" hidden="1" customWidth="1" outlineLevel="1"/>
    <col min="9" max="9" width="7.42578125" style="7" hidden="1" customWidth="1" outlineLevel="1"/>
    <col min="10" max="10" width="2.5703125" style="7" customWidth="1" collapsed="1"/>
    <col min="11" max="11" width="5.140625" style="7" customWidth="1"/>
    <col min="12" max="12" width="16" style="7" bestFit="1" customWidth="1"/>
    <col min="13" max="13" width="2.42578125" style="32" customWidth="1" outlineLevel="1"/>
    <col min="14" max="14" width="7.7109375" style="32" customWidth="1" outlineLevel="1"/>
    <col min="15" max="15" width="44.5703125" style="33" customWidth="1" outlineLevel="1"/>
    <col min="16" max="17" width="11.85546875" style="211" customWidth="1"/>
    <col min="18" max="18" width="23.140625" style="79" customWidth="1"/>
    <col min="19" max="19" width="4" style="47" bestFit="1" customWidth="1"/>
    <col min="20" max="20" width="6.28515625" style="39" bestFit="1" customWidth="1"/>
    <col min="21" max="21" width="5.85546875" style="39" bestFit="1" customWidth="1"/>
    <col min="22" max="22" width="4.7109375" style="39" bestFit="1" customWidth="1"/>
    <col min="23" max="23" width="5.28515625" style="39" bestFit="1" customWidth="1"/>
    <col min="24" max="24" width="5.85546875" style="39" bestFit="1" customWidth="1"/>
    <col min="25" max="26" width="6.85546875" style="39" bestFit="1" customWidth="1"/>
    <col min="27" max="27" width="8.28515625" style="39" bestFit="1" customWidth="1"/>
    <col min="28" max="28" width="9.140625" style="39" bestFit="1" customWidth="1"/>
    <col min="29" max="29" width="12.140625" style="39" customWidth="1"/>
    <col min="30" max="30" width="11.42578125" style="7"/>
    <col min="31" max="33" width="5.42578125" style="7" customWidth="1"/>
    <col min="34" max="34" width="5.85546875" style="7" customWidth="1"/>
    <col min="35" max="35" width="5.42578125" style="7" customWidth="1"/>
    <col min="36" max="36" width="5.28515625" style="7" customWidth="1"/>
    <col min="37" max="16384" width="11.42578125" style="7"/>
  </cols>
  <sheetData>
    <row r="1" spans="1:36">
      <c r="A1" s="36"/>
      <c r="B1" s="34"/>
      <c r="C1" s="35"/>
      <c r="D1" s="36"/>
      <c r="E1" s="36"/>
      <c r="F1" s="37" t="s">
        <v>510</v>
      </c>
      <c r="G1" s="36"/>
      <c r="H1" s="36"/>
      <c r="I1" s="36"/>
      <c r="J1" s="36"/>
      <c r="K1" s="36"/>
      <c r="L1" s="464" t="s">
        <v>702</v>
      </c>
      <c r="M1" s="22"/>
      <c r="N1" s="22"/>
      <c r="O1" s="22"/>
      <c r="P1" s="261"/>
      <c r="Q1" s="261"/>
      <c r="S1" s="44"/>
      <c r="T1" s="160"/>
      <c r="U1" s="160"/>
      <c r="V1" s="160"/>
      <c r="W1" s="160"/>
      <c r="X1" s="160"/>
    </row>
    <row r="2" spans="1:36" ht="36">
      <c r="A2" s="36"/>
      <c r="B2" s="147"/>
      <c r="C2" s="35" t="s">
        <v>511</v>
      </c>
      <c r="D2" s="147">
        <v>3503</v>
      </c>
      <c r="E2" s="147">
        <v>3504</v>
      </c>
      <c r="F2" s="147">
        <v>3702</v>
      </c>
      <c r="G2" s="147">
        <v>3703</v>
      </c>
      <c r="H2" s="147">
        <v>3506</v>
      </c>
      <c r="I2" s="147">
        <v>3507</v>
      </c>
      <c r="J2" s="147">
        <v>3508</v>
      </c>
      <c r="K2" s="147">
        <v>3706</v>
      </c>
      <c r="L2" s="147">
        <v>3707</v>
      </c>
      <c r="M2" s="23">
        <v>3708</v>
      </c>
      <c r="N2" s="23">
        <v>3709</v>
      </c>
      <c r="O2" s="24">
        <v>3792</v>
      </c>
      <c r="P2" s="262"/>
      <c r="Q2" s="262"/>
      <c r="R2" s="9" t="s">
        <v>264</v>
      </c>
      <c r="S2" s="10" t="s">
        <v>249</v>
      </c>
      <c r="T2" s="10" t="s">
        <v>250</v>
      </c>
      <c r="U2" s="10" t="s">
        <v>251</v>
      </c>
      <c r="V2" s="10" t="s">
        <v>252</v>
      </c>
      <c r="W2" s="10" t="s">
        <v>253</v>
      </c>
      <c r="X2" s="10" t="s">
        <v>254</v>
      </c>
      <c r="Y2" s="82" t="s">
        <v>255</v>
      </c>
      <c r="Z2" s="82" t="s">
        <v>256</v>
      </c>
      <c r="AA2" s="11" t="s">
        <v>257</v>
      </c>
      <c r="AB2" s="11" t="s">
        <v>390</v>
      </c>
      <c r="AC2" s="132" t="s">
        <v>263</v>
      </c>
      <c r="AE2" s="40" t="s">
        <v>249</v>
      </c>
      <c r="AF2" s="40" t="s">
        <v>250</v>
      </c>
      <c r="AG2" s="40" t="s">
        <v>251</v>
      </c>
      <c r="AH2" s="40" t="s">
        <v>252</v>
      </c>
      <c r="AI2" s="40" t="s">
        <v>253</v>
      </c>
      <c r="AJ2" s="40" t="s">
        <v>254</v>
      </c>
    </row>
    <row r="3" spans="1:36" ht="57.75" customHeight="1">
      <c r="A3" s="36" t="s">
        <v>398</v>
      </c>
      <c r="B3" s="166"/>
      <c r="C3" s="35">
        <v>401</v>
      </c>
      <c r="D3" s="167" t="s">
        <v>514</v>
      </c>
      <c r="E3" s="167" t="s">
        <v>515</v>
      </c>
      <c r="F3" s="132" t="s">
        <v>516</v>
      </c>
      <c r="G3" s="41" t="s">
        <v>517</v>
      </c>
      <c r="H3" s="41" t="s">
        <v>518</v>
      </c>
      <c r="I3" s="41" t="s">
        <v>519</v>
      </c>
      <c r="J3" s="41" t="s">
        <v>520</v>
      </c>
      <c r="K3" s="41" t="s">
        <v>394</v>
      </c>
      <c r="L3" s="178" t="str">
        <f>INDEX([14]Names!$J$1:$J$65602,MATCH(L$1,[14]Names!$F$1:$F$65602,0),1)</f>
        <v>open ground construction, on ground, Mont Soleil</v>
      </c>
      <c r="M3" s="25" t="s">
        <v>265</v>
      </c>
      <c r="N3" s="25" t="s">
        <v>266</v>
      </c>
      <c r="O3" s="128" t="s">
        <v>548</v>
      </c>
      <c r="P3" s="458" t="s">
        <v>380</v>
      </c>
      <c r="Q3" s="458" t="s">
        <v>742</v>
      </c>
      <c r="R3" s="162"/>
      <c r="S3" s="42"/>
      <c r="T3" s="10"/>
      <c r="U3" s="10"/>
      <c r="V3" s="10"/>
      <c r="W3" s="10"/>
      <c r="X3" s="10"/>
      <c r="Y3" s="9"/>
      <c r="Z3" s="9"/>
      <c r="AA3" s="11" t="s">
        <v>267</v>
      </c>
      <c r="AB3" s="11" t="s">
        <v>267</v>
      </c>
      <c r="AC3" s="161"/>
    </row>
    <row r="4" spans="1:36" ht="19.5" customHeight="1">
      <c r="A4" s="36"/>
      <c r="B4" s="166"/>
      <c r="C4" s="35">
        <v>662</v>
      </c>
      <c r="D4" s="9"/>
      <c r="E4" s="9"/>
      <c r="F4" s="132" t="s">
        <v>517</v>
      </c>
      <c r="G4" s="132"/>
      <c r="H4" s="132"/>
      <c r="I4" s="132"/>
      <c r="J4" s="132"/>
      <c r="K4" s="132"/>
      <c r="L4" s="178" t="str">
        <f>INDEX([14]Names!$K$1:$K$65602,MATCH(L$1,[14]Names!$F$1:$F$65602,0),1)</f>
        <v>CH</v>
      </c>
      <c r="M4" s="129"/>
      <c r="N4" s="129"/>
      <c r="O4" s="130"/>
      <c r="P4" s="459" t="s">
        <v>379</v>
      </c>
      <c r="Q4" s="458" t="s">
        <v>743</v>
      </c>
      <c r="R4" s="84"/>
      <c r="S4" s="44" t="s">
        <v>269</v>
      </c>
      <c r="AA4" s="45"/>
      <c r="AB4" s="45"/>
      <c r="AC4" s="46"/>
    </row>
    <row r="5" spans="1:36">
      <c r="A5" s="36"/>
      <c r="B5" s="166"/>
      <c r="C5" s="35">
        <v>493</v>
      </c>
      <c r="D5" s="9"/>
      <c r="E5" s="9"/>
      <c r="F5" s="132" t="s">
        <v>520</v>
      </c>
      <c r="G5" s="132"/>
      <c r="H5" s="132"/>
      <c r="I5" s="132"/>
      <c r="J5" s="132"/>
      <c r="K5" s="132"/>
      <c r="L5" s="178">
        <f>INDEX([14]Names!$N$1:$N$65602,MATCH(L$1,[14]Names!$F$1:$F$65602,0),1)</f>
        <v>1</v>
      </c>
      <c r="M5" s="129"/>
      <c r="N5" s="129"/>
      <c r="O5" s="130"/>
      <c r="P5" s="457">
        <v>2006</v>
      </c>
      <c r="Q5" s="465">
        <v>1996</v>
      </c>
    </row>
    <row r="6" spans="1:36">
      <c r="A6" s="36"/>
      <c r="B6" s="166"/>
      <c r="C6" s="35">
        <v>403</v>
      </c>
      <c r="D6" s="9"/>
      <c r="E6" s="9"/>
      <c r="F6" s="132" t="s">
        <v>394</v>
      </c>
      <c r="G6" s="352"/>
      <c r="H6" s="132"/>
      <c r="I6" s="132"/>
      <c r="J6" s="132"/>
      <c r="K6" s="132"/>
      <c r="L6" s="178" t="str">
        <f>INDEX([14]Names!$O$1:$O$65602,MATCH(L$1,[14]Names!$F$1:$F$65602,0),1)</f>
        <v>m2</v>
      </c>
      <c r="M6" s="129"/>
      <c r="N6" s="129"/>
      <c r="O6" s="130"/>
      <c r="P6" s="457" t="s">
        <v>697</v>
      </c>
      <c r="Q6" s="457" t="s">
        <v>697</v>
      </c>
      <c r="S6" s="48"/>
      <c r="T6" s="48"/>
      <c r="U6" s="48"/>
      <c r="V6" s="48"/>
      <c r="W6" s="48"/>
      <c r="X6" s="48"/>
      <c r="AA6" s="49"/>
      <c r="AB6" s="49"/>
      <c r="AC6" s="46"/>
    </row>
    <row r="7" spans="1:36" ht="12.75">
      <c r="A7" s="226">
        <v>2745</v>
      </c>
      <c r="B7" s="168"/>
      <c r="C7" s="151" t="s">
        <v>525</v>
      </c>
      <c r="D7" s="152" t="s">
        <v>526</v>
      </c>
      <c r="E7" s="153" t="s">
        <v>402</v>
      </c>
      <c r="F7" s="144" t="str">
        <f>IF(OR(D7="4",E7="4"),INDEX([14]NamesElementary!$B$1:$B$65536,MATCH(A7,[14]NamesElementary!$A$1:$A$65536,0),1),INDEX([14]Names!$J$1:$J$65602,MATCH(A7,[14]Names!$F$1:$F$65602,0),1))</f>
        <v>concrete, normal, at plant</v>
      </c>
      <c r="G7" s="125" t="str">
        <f>IF(OR(D7="4",E7="4"),"-",INDEX([14]Names!$K$1:$K$65602,MATCH(A7,[14]Names!$F$1:$F$65602,0),1))</f>
        <v>CH</v>
      </c>
      <c r="H7" s="164" t="str">
        <f>IF(OR(D7="4",E7="4"),INDEX([14]NamesElementary!$D$1:$D$65536,MATCH($A7,[14]NamesElementary!$A$1:$A$65536,0),1),"-")</f>
        <v>-</v>
      </c>
      <c r="I7" s="123" t="str">
        <f>IF(OR(D7="4",E7="4"),INDEX([14]NamesElementary!$E$1:$E$65536,MATCH($A7,[14]NamesElementary!$A$1:$A$65536,0),1),"-")</f>
        <v>-</v>
      </c>
      <c r="J7" s="124">
        <f>IF(OR(D7="4",E7="4"),"-",INDEX([14]Names!$N$1:$N$65602,MATCH(A7,[14]Names!$F$1:$F$65602,0),1))</f>
        <v>0</v>
      </c>
      <c r="K7" s="125" t="str">
        <f>IF(OR(D7="4",E7="4"),INDEX([14]NamesElementary!$G$1:$G$65536,MATCH(A7,[14]NamesElementary!$A$1:$A$65536,0),1),INDEX([14]Names!$O$1:$O$65602,MATCH(A7,[14]Names!$F$1:$F$65602,0),1))</f>
        <v>m3</v>
      </c>
      <c r="L7" s="165" t="e">
        <f>#REF!/#REF!</f>
        <v>#REF!</v>
      </c>
      <c r="M7" s="29">
        <v>1</v>
      </c>
      <c r="N7" s="1">
        <f t="shared" ref="N7:N13" si="0">EXP(SQRT((LN(AB7)^2)+(LN(AB7)^2)))</f>
        <v>1.8893735831548104</v>
      </c>
      <c r="O7" s="31" t="str">
        <f t="shared" ref="O7:O13" si="1">AC7&amp;"; "&amp;R7</f>
        <v xml:space="preserve">(2,1,5,1,1,5); </v>
      </c>
      <c r="P7" s="7"/>
      <c r="Q7" s="376"/>
      <c r="R7" s="86"/>
      <c r="S7" s="10">
        <v>2</v>
      </c>
      <c r="T7" s="50">
        <v>1</v>
      </c>
      <c r="U7" s="50">
        <v>5</v>
      </c>
      <c r="V7" s="50">
        <v>1</v>
      </c>
      <c r="W7" s="50">
        <v>1</v>
      </c>
      <c r="X7" s="50">
        <v>5</v>
      </c>
      <c r="Y7" s="50">
        <f>IF(OR($D7="4",$E7="4"),INDEX([14]NamesElementary!$J$1:$J$65536,MATCH($A7,[14]NamesElementary!$A$1:$A$65536,0),1),INDEX([14]Names!$W$1:$W$65602,MATCH($A7,[14]Names!$F$1:$F$65602,0),1))</f>
        <v>3</v>
      </c>
      <c r="Z7" s="51">
        <f>INDEX([14]BasicUncertainty!$H$1:$H$65536,MATCH(Y7,[14]BasicUncertainty!$B$1:$B$65536,0),1)</f>
        <v>1.05</v>
      </c>
      <c r="AA7" s="87">
        <f t="shared" ref="AA7:AA13" si="2">EXP(SQRT((LN(AE7)^2)+(LN(AF7)^2)+(LN(AG7)^2)+(LN(AH7)^2)+(LN(AI7)^2)+(LN(AJ7)^2)))</f>
        <v>1.5639895531526171</v>
      </c>
      <c r="AB7" s="87">
        <f t="shared" ref="AB7:AB13" si="3">EXP(SQRT((LN(AE7)^2)+(LN(AF7)^2)+(LN(AG7)^2)+(LN(AH7)^2)+(LN(AI7)^2)+(LN(AJ7)^2)+LN(Z7)^2))</f>
        <v>1.5681449998445471</v>
      </c>
      <c r="AC7" s="89" t="str">
        <f t="shared" ref="AC7:AC13" si="4">CONCATENATE("(",S7,",",T7,",",U7,",",V7,",",W7,",",X7,")")</f>
        <v>(2,1,5,1,1,5)</v>
      </c>
      <c r="AE7" s="52">
        <f>IF(S7=1,'[14]SDG^2 values'!$B$4,IF(S7=2,'[14]SDG^2 values'!$C$4,IF(S7=3,'[14]SDG^2 values'!$D$4,IF(S7=4,'[14]SDG^2 values'!$E$4,IF(S7=5,'[14]SDG^2 values'!$F$4,1)))))</f>
        <v>1.05</v>
      </c>
      <c r="AF7" s="52">
        <f>IF(T7=1,'[14]SDG^2 values'!$B$5,IF(T7=2,'[14]SDG^2 values'!$C$5,IF(T7=3,'[14]SDG^2 values'!$D$5,IF(T7=4,'[14]SDG^2 values'!$E$5,IF(T7=5,'[14]SDG^2 values'!$F$5,1)))))</f>
        <v>1</v>
      </c>
      <c r="AG7" s="52">
        <f>IF(U7=1,'[14]SDG^2 values'!$B$6,IF(U7=2,'[14]SDG^2 values'!$C$6,IF(U7=3,'[14]SDG^2 values'!$D$6,IF(U7=4,'[14]SDG^2 values'!$E$6,IF(U7=5,'[14]SDG^2 values'!$F$6,1)))))</f>
        <v>1.5</v>
      </c>
      <c r="AH7" s="52">
        <f>IF(V7=1,'[14]SDG^2 values'!$B$7,IF(V7=2,'[14]SDG^2 values'!$C$7,IF(V7=3,'[14]SDG^2 values'!$D$7,IF(V7=4,'[14]SDG^2 values'!$E$7,IF(V7=5,'[14]SDG^2 values'!$F$7,1)))))</f>
        <v>1</v>
      </c>
      <c r="AI7" s="52">
        <f>IF(W7=1,'[14]SDG^2 values'!$B$8,IF(W7=2,'[14]SDG^2 values'!$C$8,IF(W7=3,'[14]SDG^2 values'!$D$8,IF(W7=4,'[14]SDG^2 values'!$E$8,IF(W7=5,'[14]SDG^2 values'!$F$8,1)))))</f>
        <v>1</v>
      </c>
      <c r="AJ7" s="52">
        <f>IF(X7=1,'[14]SDG^2 values'!$B$9,IF(X7=2,'[14]SDG^2 values'!$C$9,IF(X7=3,'[14]SDG^2 values'!$D$9,IF(X7=4,'[14]SDG^2 values'!$E$9,IF(X7=5,'[14]SDG^2 values'!$F$9,1)))))</f>
        <v>1.2</v>
      </c>
    </row>
    <row r="8" spans="1:36" ht="12.75">
      <c r="A8" s="226">
        <v>942</v>
      </c>
      <c r="B8" s="168"/>
      <c r="C8" s="151" t="s">
        <v>525</v>
      </c>
      <c r="D8" s="152" t="s">
        <v>526</v>
      </c>
      <c r="E8" s="153" t="s">
        <v>402</v>
      </c>
      <c r="F8" s="144" t="str">
        <f>IF(OR(D8="4",E8="4"),INDEX([14]NamesElementary!$B$1:$B$65536,MATCH(A8,[14]NamesElementary!$A$1:$A$65536,0),1),INDEX([14]Names!$J$1:$J$65602,MATCH(A8,[14]Names!$F$1:$F$65602,0),1))</f>
        <v>reinforcing steel, at plant</v>
      </c>
      <c r="G8" s="125" t="str">
        <f>IF(OR(D8="4",E8="4"),"-",INDEX([14]Names!$K$1:$K$65602,MATCH(A8,[14]Names!$F$1:$F$65602,0),1))</f>
        <v>RER</v>
      </c>
      <c r="H8" s="164" t="str">
        <f>IF(OR(D8="4",E8="4"),INDEX([14]NamesElementary!$D$1:$D$65536,MATCH($A8,[14]NamesElementary!$A$1:$A$65536,0),1),"-")</f>
        <v>-</v>
      </c>
      <c r="I8" s="123" t="str">
        <f>IF(OR(D8="4",E8="4"),INDEX([14]NamesElementary!$E$1:$E$65536,MATCH($A8,[14]NamesElementary!$A$1:$A$65536,0),1),"-")</f>
        <v>-</v>
      </c>
      <c r="J8" s="124">
        <f>IF(OR(D8="4",E8="4"),"-",INDEX([14]Names!$N$1:$N$65602,MATCH(A8,[14]Names!$F$1:$F$65602,0),1))</f>
        <v>0</v>
      </c>
      <c r="K8" s="125" t="str">
        <f>IF(OR(D8="4",E8="4"),INDEX([14]NamesElementary!$G$1:$G$65536,MATCH(A8,[14]NamesElementary!$A$1:$A$65536,0),1),INDEX([14]Names!$O$1:$O$65602,MATCH(A8,[14]Names!$F$1:$F$65602,0),1))</f>
        <v>kg</v>
      </c>
      <c r="L8" s="165" t="e">
        <f>#REF!/#REF!</f>
        <v>#REF!</v>
      </c>
      <c r="M8" s="29">
        <v>1</v>
      </c>
      <c r="N8" s="1">
        <f t="shared" si="0"/>
        <v>1.8893735831548104</v>
      </c>
      <c r="O8" s="31" t="str">
        <f t="shared" si="1"/>
        <v xml:space="preserve">(2,1,5,1,1,5); </v>
      </c>
      <c r="Q8" s="376"/>
      <c r="R8" s="86"/>
      <c r="S8" s="10">
        <v>2</v>
      </c>
      <c r="T8" s="50">
        <v>1</v>
      </c>
      <c r="U8" s="50">
        <v>5</v>
      </c>
      <c r="V8" s="50">
        <v>1</v>
      </c>
      <c r="W8" s="50">
        <v>1</v>
      </c>
      <c r="X8" s="50">
        <v>5</v>
      </c>
      <c r="Y8" s="50">
        <f>IF(OR($D8="4",$E8="4"),INDEX([14]NamesElementary!$J$1:$J$65536,MATCH($A8,[14]NamesElementary!$A$1:$A$65536,0),1),INDEX([14]Names!$W$1:$W$65602,MATCH($A8,[14]Names!$F$1:$F$65602,0),1))</f>
        <v>3</v>
      </c>
      <c r="Z8" s="51">
        <f>INDEX([14]BasicUncertainty!$H$1:$H$65536,MATCH(Y8,[14]BasicUncertainty!$B$1:$B$65536,0),1)</f>
        <v>1.05</v>
      </c>
      <c r="AA8" s="87">
        <f t="shared" si="2"/>
        <v>1.5639895531526171</v>
      </c>
      <c r="AB8" s="87">
        <f t="shared" si="3"/>
        <v>1.5681449998445471</v>
      </c>
      <c r="AC8" s="89" t="str">
        <f t="shared" si="4"/>
        <v>(2,1,5,1,1,5)</v>
      </c>
      <c r="AE8" s="52">
        <f>IF(S8=1,'[14]SDG^2 values'!$B$4,IF(S8=2,'[14]SDG^2 values'!$C$4,IF(S8=3,'[14]SDG^2 values'!$D$4,IF(S8=4,'[14]SDG^2 values'!$E$4,IF(S8=5,'[14]SDG^2 values'!$F$4,1)))))</f>
        <v>1.05</v>
      </c>
      <c r="AF8" s="52">
        <f>IF(T8=1,'[14]SDG^2 values'!$B$5,IF(T8=2,'[14]SDG^2 values'!$C$5,IF(T8=3,'[14]SDG^2 values'!$D$5,IF(T8=4,'[14]SDG^2 values'!$E$5,IF(T8=5,'[14]SDG^2 values'!$F$5,1)))))</f>
        <v>1</v>
      </c>
      <c r="AG8" s="52">
        <f>IF(U8=1,'[14]SDG^2 values'!$B$6,IF(U8=2,'[14]SDG^2 values'!$C$6,IF(U8=3,'[14]SDG^2 values'!$D$6,IF(U8=4,'[14]SDG^2 values'!$E$6,IF(U8=5,'[14]SDG^2 values'!$F$6,1)))))</f>
        <v>1.5</v>
      </c>
      <c r="AH8" s="52">
        <f>IF(V8=1,'[14]SDG^2 values'!$B$7,IF(V8=2,'[14]SDG^2 values'!$C$7,IF(V8=3,'[14]SDG^2 values'!$D$7,IF(V8=4,'[14]SDG^2 values'!$E$7,IF(V8=5,'[14]SDG^2 values'!$F$7,1)))))</f>
        <v>1</v>
      </c>
      <c r="AI8" s="52">
        <f>IF(W8=1,'[14]SDG^2 values'!$B$8,IF(W8=2,'[14]SDG^2 values'!$C$8,IF(W8=3,'[14]SDG^2 values'!$D$8,IF(W8=4,'[14]SDG^2 values'!$E$8,IF(W8=5,'[14]SDG^2 values'!$F$8,1)))))</f>
        <v>1</v>
      </c>
      <c r="AJ8" s="52">
        <f>IF(X8=1,'[14]SDG^2 values'!$B$9,IF(X8=2,'[14]SDG^2 values'!$C$9,IF(X8=3,'[14]SDG^2 values'!$D$9,IF(X8=4,'[14]SDG^2 values'!$E$9,IF(X8=5,'[14]SDG^2 values'!$F$9,1)))))</f>
        <v>1.2</v>
      </c>
    </row>
    <row r="9" spans="1:36" ht="12.75">
      <c r="A9" s="226">
        <v>944</v>
      </c>
      <c r="B9" s="168"/>
      <c r="C9" s="151" t="s">
        <v>525</v>
      </c>
      <c r="D9" s="152" t="s">
        <v>526</v>
      </c>
      <c r="E9" s="153" t="s">
        <v>402</v>
      </c>
      <c r="F9" s="144" t="str">
        <f>IF(OR(D9="4",E9="4"),INDEX([14]NamesElementary!$B$1:$B$65536,MATCH(A9,[14]NamesElementary!$A$1:$A$65536,0),1),INDEX([14]Names!$J$1:$J$65602,MATCH(A9,[14]Names!$F$1:$F$65602,0),1))</f>
        <v>zinc coating, coils</v>
      </c>
      <c r="G9" s="125" t="str">
        <f>IF(OR(D9="4",E9="4"),"-",INDEX([14]Names!$K$1:$K$65602,MATCH(A9,[14]Names!$F$1:$F$65602,0),1))</f>
        <v>RER</v>
      </c>
      <c r="H9" s="164" t="str">
        <f>IF(OR(D9="4",E9="4"),INDEX([14]NamesElementary!$D$1:$D$65536,MATCH($A9,[14]NamesElementary!$A$1:$A$65536,0),1),"-")</f>
        <v>-</v>
      </c>
      <c r="I9" s="123" t="str">
        <f>IF(OR(D9="4",E9="4"),INDEX([14]NamesElementary!$E$1:$E$65536,MATCH($A9,[14]NamesElementary!$A$1:$A$65536,0),1),"-")</f>
        <v>-</v>
      </c>
      <c r="J9" s="124">
        <f>IF(OR(D9="4",E9="4"),"-",INDEX([14]Names!$N$1:$N$65602,MATCH(A9,[14]Names!$F$1:$F$65602,0),1))</f>
        <v>0</v>
      </c>
      <c r="K9" s="125" t="str">
        <f>IF(OR(D9="4",E9="4"),INDEX([14]NamesElementary!$G$1:$G$65536,MATCH(A9,[14]NamesElementary!$A$1:$A$65536,0),1),INDEX([14]Names!$O$1:$O$65602,MATCH(A9,[14]Names!$F$1:$F$65602,0),1))</f>
        <v>m2</v>
      </c>
      <c r="L9" s="165" t="e">
        <f>#REF!/#REF!</f>
        <v>#REF!</v>
      </c>
      <c r="M9" s="29">
        <v>1</v>
      </c>
      <c r="N9" s="1">
        <f t="shared" si="0"/>
        <v>1.8893735831548104</v>
      </c>
      <c r="O9" s="31" t="str">
        <f t="shared" si="1"/>
        <v xml:space="preserve">(2,1,5,1,1,5); </v>
      </c>
      <c r="Q9" s="376"/>
      <c r="R9" s="86"/>
      <c r="S9" s="10">
        <v>2</v>
      </c>
      <c r="T9" s="50">
        <v>1</v>
      </c>
      <c r="U9" s="50">
        <v>5</v>
      </c>
      <c r="V9" s="50">
        <v>1</v>
      </c>
      <c r="W9" s="50">
        <v>1</v>
      </c>
      <c r="X9" s="50">
        <v>5</v>
      </c>
      <c r="Y9" s="50">
        <f>IF(OR($D9="4",$E9="4"),INDEX([14]NamesElementary!$J$1:$J$65536,MATCH($A9,[14]NamesElementary!$A$1:$A$65536,0),1),INDEX([14]Names!$W$1:$W$65602,MATCH($A9,[14]Names!$F$1:$F$65602,0),1))</f>
        <v>3</v>
      </c>
      <c r="Z9" s="51">
        <f>INDEX([14]BasicUncertainty!$H$1:$H$65536,MATCH(Y9,[14]BasicUncertainty!$B$1:$B$65536,0),1)</f>
        <v>1.05</v>
      </c>
      <c r="AA9" s="87">
        <f t="shared" si="2"/>
        <v>1.5639895531526171</v>
      </c>
      <c r="AB9" s="87">
        <f t="shared" si="3"/>
        <v>1.5681449998445471</v>
      </c>
      <c r="AC9" s="89" t="str">
        <f t="shared" si="4"/>
        <v>(2,1,5,1,1,5)</v>
      </c>
      <c r="AE9" s="52">
        <f>IF(S9=1,'[14]SDG^2 values'!$B$4,IF(S9=2,'[14]SDG^2 values'!$C$4,IF(S9=3,'[14]SDG^2 values'!$D$4,IF(S9=4,'[14]SDG^2 values'!$E$4,IF(S9=5,'[14]SDG^2 values'!$F$4,1)))))</f>
        <v>1.05</v>
      </c>
      <c r="AF9" s="52">
        <f>IF(T9=1,'[14]SDG^2 values'!$B$5,IF(T9=2,'[14]SDG^2 values'!$C$5,IF(T9=3,'[14]SDG^2 values'!$D$5,IF(T9=4,'[14]SDG^2 values'!$E$5,IF(T9=5,'[14]SDG^2 values'!$F$5,1)))))</f>
        <v>1</v>
      </c>
      <c r="AG9" s="52">
        <f>IF(U9=1,'[14]SDG^2 values'!$B$6,IF(U9=2,'[14]SDG^2 values'!$C$6,IF(U9=3,'[14]SDG^2 values'!$D$6,IF(U9=4,'[14]SDG^2 values'!$E$6,IF(U9=5,'[14]SDG^2 values'!$F$6,1)))))</f>
        <v>1.5</v>
      </c>
      <c r="AH9" s="52">
        <f>IF(V9=1,'[14]SDG^2 values'!$B$7,IF(V9=2,'[14]SDG^2 values'!$C$7,IF(V9=3,'[14]SDG^2 values'!$D$7,IF(V9=4,'[14]SDG^2 values'!$E$7,IF(V9=5,'[14]SDG^2 values'!$F$7,1)))))</f>
        <v>1</v>
      </c>
      <c r="AI9" s="52">
        <f>IF(W9=1,'[14]SDG^2 values'!$B$8,IF(W9=2,'[14]SDG^2 values'!$C$8,IF(W9=3,'[14]SDG^2 values'!$D$8,IF(W9=4,'[14]SDG^2 values'!$E$8,IF(W9=5,'[14]SDG^2 values'!$F$8,1)))))</f>
        <v>1</v>
      </c>
      <c r="AJ9" s="52">
        <f>IF(X9=1,'[14]SDG^2 values'!$B$9,IF(X9=2,'[14]SDG^2 values'!$C$9,IF(X9=3,'[14]SDG^2 values'!$D$9,IF(X9=4,'[14]SDG^2 values'!$E$9,IF(X9=5,'[14]SDG^2 values'!$F$9,1)))))</f>
        <v>1.2</v>
      </c>
    </row>
    <row r="10" spans="1:36" ht="12.75">
      <c r="A10" s="226">
        <v>1844</v>
      </c>
      <c r="B10" s="168" t="s">
        <v>152</v>
      </c>
      <c r="C10" s="151" t="s">
        <v>525</v>
      </c>
      <c r="D10" s="152" t="s">
        <v>526</v>
      </c>
      <c r="E10" s="153" t="s">
        <v>402</v>
      </c>
      <c r="F10" s="144" t="str">
        <f>IF(OR(D10="4",E10="4"),INDEX([14]NamesElementary!$B$1:$B$65536,MATCH(A10,[14]NamesElementary!$A$1:$A$65536,0),1),INDEX([14]Names!$J$1:$J$65602,MATCH(A10,[14]Names!$F$1:$F$65602,0),1))</f>
        <v>transport, lorry 3.5-20t, fleet average</v>
      </c>
      <c r="G10" s="125" t="str">
        <f>IF(OR(D10="4",E10="4"),"-",INDEX([14]Names!$K$1:$K$65602,MATCH(A10,[14]Names!$F$1:$F$65602,0),1))</f>
        <v>CH</v>
      </c>
      <c r="H10" s="164" t="str">
        <f>IF(OR(D10="4",E10="4"),INDEX([14]NamesElementary!$D$1:$D$65536,MATCH($A10,[14]NamesElementary!$A$1:$A$65536,0),1),"-")</f>
        <v>-</v>
      </c>
      <c r="I10" s="123" t="str">
        <f>IF(OR(D10="4",E10="4"),INDEX([14]NamesElementary!$E$1:$E$65536,MATCH($A10,[14]NamesElementary!$A$1:$A$65536,0),1),"-")</f>
        <v>-</v>
      </c>
      <c r="J10" s="124">
        <f>IF(OR(D10="4",E10="4"),"-",INDEX([14]Names!$N$1:$N$65602,MATCH(A10,[14]Names!$F$1:$F$65602,0),1))</f>
        <v>0</v>
      </c>
      <c r="K10" s="125" t="str">
        <f>IF(OR(D10="4",E10="4"),INDEX([14]NamesElementary!$G$1:$G$65536,MATCH(A10,[14]NamesElementary!$A$1:$A$65536,0),1),INDEX([14]Names!$O$1:$O$65602,MATCH(A10,[14]Names!$F$1:$F$65602,0),1))</f>
        <v>tkm</v>
      </c>
      <c r="L10" s="165" t="e">
        <f>#REF!/#REF!</f>
        <v>#REF!</v>
      </c>
      <c r="M10" s="29">
        <v>1</v>
      </c>
      <c r="N10" s="1">
        <f t="shared" si="0"/>
        <v>2.8459095076992562</v>
      </c>
      <c r="O10" s="31" t="str">
        <f t="shared" si="1"/>
        <v xml:space="preserve">(4,5,na,na,na,na); </v>
      </c>
      <c r="Q10" s="251"/>
      <c r="R10" s="86"/>
      <c r="S10" s="10">
        <v>4</v>
      </c>
      <c r="T10" s="50">
        <v>5</v>
      </c>
      <c r="U10" s="50" t="s">
        <v>271</v>
      </c>
      <c r="V10" s="50" t="s">
        <v>271</v>
      </c>
      <c r="W10" s="50" t="s">
        <v>271</v>
      </c>
      <c r="X10" s="50" t="s">
        <v>271</v>
      </c>
      <c r="Y10" s="50">
        <f>IF(OR($D10="4",$E10="4"),INDEX([14]NamesElementary!$J$1:$J$65536,MATCH($A10,[14]NamesElementary!$A$1:$A$65536,0),1),INDEX([14]Names!$W$1:$W$65602,MATCH($A10,[14]Names!$F$1:$F$65602,0),1))</f>
        <v>5</v>
      </c>
      <c r="Z10" s="51">
        <f>INDEX([14]BasicUncertainty!$H$1:$H$65536,MATCH(Y10,[14]BasicUncertainty!$B$1:$B$65536,0),1)</f>
        <v>2</v>
      </c>
      <c r="AA10" s="87">
        <f t="shared" si="2"/>
        <v>1.2941338353151037</v>
      </c>
      <c r="AB10" s="87">
        <f t="shared" si="3"/>
        <v>2.0949941301068096</v>
      </c>
      <c r="AC10" s="89" t="str">
        <f t="shared" si="4"/>
        <v>(4,5,na,na,na,na)</v>
      </c>
      <c r="AE10" s="52">
        <f>IF(S10=1,'[14]SDG^2 values'!$B$4,IF(S10=2,'[14]SDG^2 values'!$C$4,IF(S10=3,'[14]SDG^2 values'!$D$4,IF(S10=4,'[14]SDG^2 values'!$E$4,IF(S10=5,'[14]SDG^2 values'!$F$4,1)))))</f>
        <v>1.2</v>
      </c>
      <c r="AF10" s="52">
        <f>IF(T10=1,'[14]SDG^2 values'!$B$5,IF(T10=2,'[14]SDG^2 values'!$C$5,IF(T10=3,'[14]SDG^2 values'!$D$5,IF(T10=4,'[14]SDG^2 values'!$E$5,IF(T10=5,'[14]SDG^2 values'!$F$5,1)))))</f>
        <v>1.2</v>
      </c>
      <c r="AG10" s="52">
        <f>IF(U10=1,'[14]SDG^2 values'!$B$6,IF(U10=2,'[14]SDG^2 values'!$C$6,IF(U10=3,'[14]SDG^2 values'!$D$6,IF(U10=4,'[14]SDG^2 values'!$E$6,IF(U10=5,'[14]SDG^2 values'!$F$6,1)))))</f>
        <v>1</v>
      </c>
      <c r="AH10" s="52">
        <f>IF(V10=1,'[14]SDG^2 values'!$B$7,IF(V10=2,'[14]SDG^2 values'!$C$7,IF(V10=3,'[14]SDG^2 values'!$D$7,IF(V10=4,'[14]SDG^2 values'!$E$7,IF(V10=5,'[14]SDG^2 values'!$F$7,1)))))</f>
        <v>1</v>
      </c>
      <c r="AI10" s="52">
        <f>IF(W10=1,'[14]SDG^2 values'!$B$8,IF(W10=2,'[14]SDG^2 values'!$C$8,IF(W10=3,'[14]SDG^2 values'!$D$8,IF(W10=4,'[14]SDG^2 values'!$E$8,IF(W10=5,'[14]SDG^2 values'!$F$8,1)))))</f>
        <v>1</v>
      </c>
      <c r="AJ10" s="52">
        <f>IF(X10=1,'[14]SDG^2 values'!$B$9,IF(X10=2,'[14]SDG^2 values'!$C$9,IF(X10=3,'[14]SDG^2 values'!$D$9,IF(X10=4,'[14]SDG^2 values'!$E$9,IF(X10=5,'[14]SDG^2 values'!$F$9,1)))))</f>
        <v>1</v>
      </c>
    </row>
    <row r="11" spans="1:36" ht="12.75">
      <c r="A11" s="226">
        <v>1845</v>
      </c>
      <c r="B11" s="168"/>
      <c r="C11" s="151" t="s">
        <v>525</v>
      </c>
      <c r="D11" s="152" t="s">
        <v>526</v>
      </c>
      <c r="E11" s="153" t="s">
        <v>402</v>
      </c>
      <c r="F11" s="144" t="str">
        <f>IF(OR(D11="4",E11="4"),INDEX([14]NamesElementary!$B$1:$B$65536,MATCH(A11,[14]NamesElementary!$A$1:$A$65536,0),1),INDEX([14]Names!$J$1:$J$65602,MATCH(A11,[14]Names!$F$1:$F$65602,0),1))</f>
        <v>transport, lorry 20-28t, fleet average</v>
      </c>
      <c r="G11" s="125" t="str">
        <f>IF(OR(D11="4",E11="4"),"-",INDEX([14]Names!$K$1:$K$65602,MATCH(A11,[14]Names!$F$1:$F$65602,0),1))</f>
        <v>CH</v>
      </c>
      <c r="H11" s="164" t="str">
        <f>IF(OR(D11="4",E11="4"),INDEX([14]NamesElementary!$D$1:$D$65536,MATCH($A11,[14]NamesElementary!$A$1:$A$65536,0),1),"-")</f>
        <v>-</v>
      </c>
      <c r="I11" s="123" t="str">
        <f>IF(OR(D11="4",E11="4"),INDEX([14]NamesElementary!$E$1:$E$65536,MATCH($A11,[14]NamesElementary!$A$1:$A$65536,0),1),"-")</f>
        <v>-</v>
      </c>
      <c r="J11" s="124">
        <f>IF(OR(D11="4",E11="4"),"-",INDEX([14]Names!$N$1:$N$65602,MATCH(A11,[14]Names!$F$1:$F$65602,0),1))</f>
        <v>0</v>
      </c>
      <c r="K11" s="125" t="str">
        <f>IF(OR(D11="4",E11="4"),INDEX([14]NamesElementary!$G$1:$G$65536,MATCH(A11,[14]NamesElementary!$A$1:$A$65536,0),1),INDEX([14]Names!$O$1:$O$65602,MATCH(A11,[14]Names!$F$1:$F$65602,0),1))</f>
        <v>tkm</v>
      </c>
      <c r="L11" s="165" t="e">
        <f>#REF!/#REF!</f>
        <v>#REF!</v>
      </c>
      <c r="M11" s="29">
        <v>1</v>
      </c>
      <c r="N11" s="1">
        <f t="shared" si="0"/>
        <v>2.8459095076992562</v>
      </c>
      <c r="O11" s="31" t="str">
        <f t="shared" si="1"/>
        <v xml:space="preserve">(4,5,na,na,na,na); </v>
      </c>
      <c r="Q11" s="251"/>
      <c r="R11" s="86"/>
      <c r="S11" s="10">
        <v>4</v>
      </c>
      <c r="T11" s="50">
        <v>5</v>
      </c>
      <c r="U11" s="50" t="s">
        <v>271</v>
      </c>
      <c r="V11" s="50" t="s">
        <v>271</v>
      </c>
      <c r="W11" s="50" t="s">
        <v>271</v>
      </c>
      <c r="X11" s="50" t="s">
        <v>271</v>
      </c>
      <c r="Y11" s="50">
        <f>IF(OR($D11="4",$E11="4"),INDEX([14]NamesElementary!$J$1:$J$65536,MATCH($A11,[14]NamesElementary!$A$1:$A$65536,0),1),INDEX([14]Names!$W$1:$W$65602,MATCH($A11,[14]Names!$F$1:$F$65602,0),1))</f>
        <v>5</v>
      </c>
      <c r="Z11" s="51">
        <f>INDEX([14]BasicUncertainty!$H$1:$H$65536,MATCH(Y11,[14]BasicUncertainty!$B$1:$B$65536,0),1)</f>
        <v>2</v>
      </c>
      <c r="AA11" s="87">
        <f t="shared" si="2"/>
        <v>1.2941338353151037</v>
      </c>
      <c r="AB11" s="87">
        <f t="shared" si="3"/>
        <v>2.0949941301068096</v>
      </c>
      <c r="AC11" s="89" t="str">
        <f t="shared" si="4"/>
        <v>(4,5,na,na,na,na)</v>
      </c>
      <c r="AE11" s="52">
        <f>IF(S11=1,'[14]SDG^2 values'!$B$4,IF(S11=2,'[14]SDG^2 values'!$C$4,IF(S11=3,'[14]SDG^2 values'!$D$4,IF(S11=4,'[14]SDG^2 values'!$E$4,IF(S11=5,'[14]SDG^2 values'!$F$4,1)))))</f>
        <v>1.2</v>
      </c>
      <c r="AF11" s="52">
        <f>IF(T11=1,'[14]SDG^2 values'!$B$5,IF(T11=2,'[14]SDG^2 values'!$C$5,IF(T11=3,'[14]SDG^2 values'!$D$5,IF(T11=4,'[14]SDG^2 values'!$E$5,IF(T11=5,'[14]SDG^2 values'!$F$5,1)))))</f>
        <v>1.2</v>
      </c>
      <c r="AG11" s="52">
        <f>IF(U11=1,'[14]SDG^2 values'!$B$6,IF(U11=2,'[14]SDG^2 values'!$C$6,IF(U11=3,'[14]SDG^2 values'!$D$6,IF(U11=4,'[14]SDG^2 values'!$E$6,IF(U11=5,'[14]SDG^2 values'!$F$6,1)))))</f>
        <v>1</v>
      </c>
      <c r="AH11" s="52">
        <f>IF(V11=1,'[14]SDG^2 values'!$B$7,IF(V11=2,'[14]SDG^2 values'!$C$7,IF(V11=3,'[14]SDG^2 values'!$D$7,IF(V11=4,'[14]SDG^2 values'!$E$7,IF(V11=5,'[14]SDG^2 values'!$F$7,1)))))</f>
        <v>1</v>
      </c>
      <c r="AI11" s="52">
        <f>IF(W11=1,'[14]SDG^2 values'!$B$8,IF(W11=2,'[14]SDG^2 values'!$C$8,IF(W11=3,'[14]SDG^2 values'!$D$8,IF(W11=4,'[14]SDG^2 values'!$E$8,IF(W11=5,'[14]SDG^2 values'!$F$8,1)))))</f>
        <v>1</v>
      </c>
      <c r="AJ11" s="52">
        <f>IF(X11=1,'[14]SDG^2 values'!$B$9,IF(X11=2,'[14]SDG^2 values'!$C$9,IF(X11=3,'[14]SDG^2 values'!$D$9,IF(X11=4,'[14]SDG^2 values'!$E$9,IF(X11=5,'[14]SDG^2 values'!$F$9,1)))))</f>
        <v>1</v>
      </c>
    </row>
    <row r="12" spans="1:36" ht="12.75">
      <c r="A12" s="226">
        <v>1366</v>
      </c>
      <c r="B12" s="168" t="s">
        <v>153</v>
      </c>
      <c r="C12" s="151" t="s">
        <v>525</v>
      </c>
      <c r="D12" s="152" t="s">
        <v>526</v>
      </c>
      <c r="E12" s="153" t="s">
        <v>402</v>
      </c>
      <c r="F12" s="144" t="str">
        <f>IF(OR(D12="4",E12="4"),INDEX([14]NamesElementary!$B$1:$B$65536,MATCH(A12,[14]NamesElementary!$A$1:$A$65536,0),1),INDEX([14]Names!$J$1:$J$65602,MATCH(A12,[14]Names!$F$1:$F$65602,0),1))</f>
        <v>disposal, concrete, 5% water, to inert material landfill</v>
      </c>
      <c r="G12" s="125" t="str">
        <f>IF(OR(D12="4",E12="4"),"-",INDEX([14]Names!$K$1:$K$65602,MATCH(A12,[14]Names!$F$1:$F$65602,0),1))</f>
        <v>CH</v>
      </c>
      <c r="H12" s="164" t="str">
        <f>IF(OR(D12="4",E12="4"),INDEX([14]NamesElementary!$D$1:$D$65536,MATCH($A12,[14]NamesElementary!$A$1:$A$65536,0),1),"-")</f>
        <v>-</v>
      </c>
      <c r="I12" s="123" t="str">
        <f>IF(OR(D12="4",E12="4"),INDEX([14]NamesElementary!$E$1:$E$65536,MATCH($A12,[14]NamesElementary!$A$1:$A$65536,0),1),"-")</f>
        <v>-</v>
      </c>
      <c r="J12" s="124">
        <f>IF(OR(D12="4",E12="4"),"-",INDEX([14]Names!$N$1:$N$65602,MATCH(A12,[14]Names!$F$1:$F$65602,0),1))</f>
        <v>0</v>
      </c>
      <c r="K12" s="125" t="str">
        <f>IF(OR(D12="4",E12="4"),INDEX([14]NamesElementary!$G$1:$G$65536,MATCH(A12,[14]NamesElementary!$A$1:$A$65536,0),1),INDEX([14]Names!$O$1:$O$65602,MATCH(A12,[14]Names!$F$1:$F$65602,0),1))</f>
        <v>kg</v>
      </c>
      <c r="L12" s="165" t="e">
        <f>#REF!/#REF!</f>
        <v>#REF!</v>
      </c>
      <c r="M12" s="29">
        <v>1</v>
      </c>
      <c r="N12" s="1">
        <f t="shared" si="0"/>
        <v>1.9092216064162055</v>
      </c>
      <c r="O12" s="31" t="str">
        <f t="shared" si="1"/>
        <v xml:space="preserve">(3,1,5,1,1,5); </v>
      </c>
      <c r="Q12" s="251"/>
      <c r="R12" s="86"/>
      <c r="S12" s="10">
        <v>3</v>
      </c>
      <c r="T12" s="50">
        <v>1</v>
      </c>
      <c r="U12" s="50">
        <v>5</v>
      </c>
      <c r="V12" s="50">
        <v>1</v>
      </c>
      <c r="W12" s="50">
        <v>1</v>
      </c>
      <c r="X12" s="50">
        <v>5</v>
      </c>
      <c r="Y12" s="50">
        <f>IF(OR($D12="4",$E12="4"),INDEX([14]NamesElementary!$J$1:$J$65536,MATCH($A12,[14]NamesElementary!$A$1:$A$65536,0),1),INDEX([14]Names!$W$1:$W$65602,MATCH($A12,[14]Names!$F$1:$F$65602,0),1))</f>
        <v>6</v>
      </c>
      <c r="Z12" s="51">
        <f>INDEX([14]BasicUncertainty!$H$1:$H$65536,MATCH(Y12,[14]BasicUncertainty!$B$1:$B$65536,0),1)</f>
        <v>1.05</v>
      </c>
      <c r="AA12" s="87">
        <f t="shared" si="2"/>
        <v>1.575657361015304</v>
      </c>
      <c r="AB12" s="87">
        <f t="shared" si="3"/>
        <v>1.579775677111255</v>
      </c>
      <c r="AC12" s="89" t="str">
        <f t="shared" si="4"/>
        <v>(3,1,5,1,1,5)</v>
      </c>
      <c r="AE12" s="52">
        <f>IF(S12=1,'[14]SDG^2 values'!$B$4,IF(S12=2,'[14]SDG^2 values'!$C$4,IF(S12=3,'[14]SDG^2 values'!$D$4,IF(S12=4,'[14]SDG^2 values'!$E$4,IF(S12=5,'[14]SDG^2 values'!$F$4,1)))))</f>
        <v>1.1000000000000001</v>
      </c>
      <c r="AF12" s="52">
        <f>IF(T12=1,'[14]SDG^2 values'!$B$5,IF(T12=2,'[14]SDG^2 values'!$C$5,IF(T12=3,'[14]SDG^2 values'!$D$5,IF(T12=4,'[14]SDG^2 values'!$E$5,IF(T12=5,'[14]SDG^2 values'!$F$5,1)))))</f>
        <v>1</v>
      </c>
      <c r="AG12" s="52">
        <f>IF(U12=1,'[14]SDG^2 values'!$B$6,IF(U12=2,'[14]SDG^2 values'!$C$6,IF(U12=3,'[14]SDG^2 values'!$D$6,IF(U12=4,'[14]SDG^2 values'!$E$6,IF(U12=5,'[14]SDG^2 values'!$F$6,1)))))</f>
        <v>1.5</v>
      </c>
      <c r="AH12" s="52">
        <f>IF(V12=1,'[14]SDG^2 values'!$B$7,IF(V12=2,'[14]SDG^2 values'!$C$7,IF(V12=3,'[14]SDG^2 values'!$D$7,IF(V12=4,'[14]SDG^2 values'!$E$7,IF(V12=5,'[14]SDG^2 values'!$F$7,1)))))</f>
        <v>1</v>
      </c>
      <c r="AI12" s="52">
        <f>IF(W12=1,'[14]SDG^2 values'!$B$8,IF(W12=2,'[14]SDG^2 values'!$C$8,IF(W12=3,'[14]SDG^2 values'!$D$8,IF(W12=4,'[14]SDG^2 values'!$E$8,IF(W12=5,'[14]SDG^2 values'!$F$8,1)))))</f>
        <v>1</v>
      </c>
      <c r="AJ12" s="52">
        <f>IF(X12=1,'[14]SDG^2 values'!$B$9,IF(X12=2,'[14]SDG^2 values'!$C$9,IF(X12=3,'[14]SDG^2 values'!$D$9,IF(X12=4,'[14]SDG^2 values'!$E$9,IF(X12=5,'[14]SDG^2 values'!$F$9,1)))))</f>
        <v>1.2</v>
      </c>
    </row>
    <row r="13" spans="1:36" ht="12.75">
      <c r="A13" s="226">
        <v>3932</v>
      </c>
      <c r="B13" s="168"/>
      <c r="C13" s="151" t="s">
        <v>525</v>
      </c>
      <c r="D13" s="152" t="s">
        <v>526</v>
      </c>
      <c r="E13" s="153" t="s">
        <v>402</v>
      </c>
      <c r="F13" s="144" t="str">
        <f>IF(OR(D13="4",E13="4"),INDEX([14]NamesElementary!$B$1:$B$65536,MATCH(A13,[14]NamesElementary!$A$1:$A$65536,0),1),INDEX([14]Names!$J$1:$J$65602,MATCH(A13,[14]Names!$F$1:$F$65602,0),1))</f>
        <v>disposal, building, reinforcement steel, to sorting plant</v>
      </c>
      <c r="G13" s="125" t="str">
        <f>IF(OR(D13="4",E13="4"),"-",INDEX([14]Names!$K$1:$K$65602,MATCH(A13,[14]Names!$F$1:$F$65602,0),1))</f>
        <v>CH</v>
      </c>
      <c r="H13" s="164" t="str">
        <f>IF(OR(D13="4",E13="4"),INDEX([14]NamesElementary!$D$1:$D$65536,MATCH($A13,[14]NamesElementary!$A$1:$A$65536,0),1),"-")</f>
        <v>-</v>
      </c>
      <c r="I13" s="123" t="str">
        <f>IF(OR(D13="4",E13="4"),INDEX([14]NamesElementary!$E$1:$E$65536,MATCH($A13,[14]NamesElementary!$A$1:$A$65536,0),1),"-")</f>
        <v>-</v>
      </c>
      <c r="J13" s="124">
        <f>IF(OR(D13="4",E13="4"),"-",INDEX([14]Names!$N$1:$N$65602,MATCH(A13,[14]Names!$F$1:$F$65602,0),1))</f>
        <v>0</v>
      </c>
      <c r="K13" s="125" t="str">
        <f>IF(OR(D13="4",E13="4"),INDEX([14]NamesElementary!$G$1:$G$65536,MATCH(A13,[14]NamesElementary!$A$1:$A$65536,0),1),INDEX([14]Names!$O$1:$O$65602,MATCH(A13,[14]Names!$F$1:$F$65602,0),1))</f>
        <v>kg</v>
      </c>
      <c r="L13" s="165" t="e">
        <f>#REF!/#REF!</f>
        <v>#REF!</v>
      </c>
      <c r="M13" s="29">
        <v>1</v>
      </c>
      <c r="N13" s="1">
        <f t="shared" si="0"/>
        <v>1.9092216064162055</v>
      </c>
      <c r="O13" s="31" t="str">
        <f t="shared" si="1"/>
        <v xml:space="preserve">(3,1,5,1,1,5); </v>
      </c>
      <c r="Q13" s="251"/>
      <c r="R13" s="86"/>
      <c r="S13" s="10">
        <v>3</v>
      </c>
      <c r="T13" s="50">
        <v>1</v>
      </c>
      <c r="U13" s="50">
        <v>5</v>
      </c>
      <c r="V13" s="50">
        <v>1</v>
      </c>
      <c r="W13" s="50">
        <v>1</v>
      </c>
      <c r="X13" s="50">
        <v>5</v>
      </c>
      <c r="Y13" s="50">
        <f>IF(OR($D13="4",$E13="4"),INDEX([14]NamesElementary!$J$1:$J$65536,MATCH($A13,[14]NamesElementary!$A$1:$A$65536,0),1),INDEX([14]Names!$W$1:$W$65602,MATCH($A13,[14]Names!$F$1:$F$65602,0),1))</f>
        <v>6</v>
      </c>
      <c r="Z13" s="51">
        <f>INDEX([14]BasicUncertainty!$H$1:$H$65536,MATCH(Y13,[14]BasicUncertainty!$B$1:$B$65536,0),1)</f>
        <v>1.05</v>
      </c>
      <c r="AA13" s="87">
        <f t="shared" si="2"/>
        <v>1.575657361015304</v>
      </c>
      <c r="AB13" s="87">
        <f t="shared" si="3"/>
        <v>1.579775677111255</v>
      </c>
      <c r="AC13" s="89" t="str">
        <f t="shared" si="4"/>
        <v>(3,1,5,1,1,5)</v>
      </c>
      <c r="AE13" s="52">
        <f>IF(S13=1,'[14]SDG^2 values'!$B$4,IF(S13=2,'[14]SDG^2 values'!$C$4,IF(S13=3,'[14]SDG^2 values'!$D$4,IF(S13=4,'[14]SDG^2 values'!$E$4,IF(S13=5,'[14]SDG^2 values'!$F$4,1)))))</f>
        <v>1.1000000000000001</v>
      </c>
      <c r="AF13" s="52">
        <f>IF(T13=1,'[14]SDG^2 values'!$B$5,IF(T13=2,'[14]SDG^2 values'!$C$5,IF(T13=3,'[14]SDG^2 values'!$D$5,IF(T13=4,'[14]SDG^2 values'!$E$5,IF(T13=5,'[14]SDG^2 values'!$F$5,1)))))</f>
        <v>1</v>
      </c>
      <c r="AG13" s="52">
        <f>IF(U13=1,'[14]SDG^2 values'!$B$6,IF(U13=2,'[14]SDG^2 values'!$C$6,IF(U13=3,'[14]SDG^2 values'!$D$6,IF(U13=4,'[14]SDG^2 values'!$E$6,IF(U13=5,'[14]SDG^2 values'!$F$6,1)))))</f>
        <v>1.5</v>
      </c>
      <c r="AH13" s="52">
        <f>IF(V13=1,'[14]SDG^2 values'!$B$7,IF(V13=2,'[14]SDG^2 values'!$C$7,IF(V13=3,'[14]SDG^2 values'!$D$7,IF(V13=4,'[14]SDG^2 values'!$E$7,IF(V13=5,'[14]SDG^2 values'!$F$7,1)))))</f>
        <v>1</v>
      </c>
      <c r="AI13" s="52">
        <f>IF(W13=1,'[14]SDG^2 values'!$B$8,IF(W13=2,'[14]SDG^2 values'!$C$8,IF(W13=3,'[14]SDG^2 values'!$D$8,IF(W13=4,'[14]SDG^2 values'!$E$8,IF(W13=5,'[14]SDG^2 values'!$F$8,1)))))</f>
        <v>1</v>
      </c>
      <c r="AJ13" s="52">
        <f>IF(X13=1,'[14]SDG^2 values'!$B$9,IF(X13=2,'[14]SDG^2 values'!$C$9,IF(X13=3,'[14]SDG^2 values'!$D$9,IF(X13=4,'[14]SDG^2 values'!$E$9,IF(X13=5,'[14]SDG^2 values'!$F$9,1)))))</f>
        <v>1.2</v>
      </c>
    </row>
    <row r="14" spans="1:36" ht="24" outlineLevel="1">
      <c r="A14" s="8" t="str">
        <f>L1</f>
        <v>174-049</v>
      </c>
      <c r="B14" s="168" t="s">
        <v>523</v>
      </c>
      <c r="C14" s="169"/>
      <c r="D14" s="11" t="s">
        <v>402</v>
      </c>
      <c r="E14" s="170">
        <v>0</v>
      </c>
      <c r="F14" s="145" t="str">
        <f>IF(OR(D14="4",E14="4"),INDEX([14]NamesElementary!$B$1:$B$65536,MATCH(A14,[14]NamesElementary!$A$1:$A$65536,0),1),INDEX([14]Names!$J$1:$J$65602,MATCH(A14,[14]Names!$F$1:$F$65602,0),1))</f>
        <v>open ground construction, on ground, Mont Soleil</v>
      </c>
      <c r="G14" s="16" t="str">
        <f>IF(OR(D14="4",E14="4"),"-",INDEX([14]Names!$K$1:$K$65602,MATCH(A14,[14]Names!$F$1:$F$65602,0),1))</f>
        <v>CH</v>
      </c>
      <c r="H14" s="14" t="str">
        <f>IF(OR(D14="4",E14="4"),INDEX([14]NamesElementary!$D$1:$D$65536,MATCH($A14,[14]NamesElementary!$A$1:$A$65536,0),1),"-")</f>
        <v>-</v>
      </c>
      <c r="I14" s="14" t="str">
        <f>IF(OR(D14="4",E14="4"),INDEX([14]NamesElementary!$E$1:$E$65536,MATCH($A14,[14]NamesElementary!$A$1:$A$65536,0),1),"-")</f>
        <v>-</v>
      </c>
      <c r="J14" s="15">
        <f>IF(OR(D14="4",E14="4"),"-",INDEX([14]Names!$N$1:$N$65602,MATCH(A14,[14]Names!$F$1:$F$65602,0),1))</f>
        <v>1</v>
      </c>
      <c r="K14" s="16" t="str">
        <f>IF(OR(D14="4",E14="4"),INDEX([14]NamesElementary!$G$1:$G$65536,MATCH(A14,[14]NamesElementary!$A$1:$A$65536,0),1),INDEX([14]Names!$O$1:$O$65602,MATCH(A14,[14]Names!$F$1:$F$65602,0),1))</f>
        <v>m2</v>
      </c>
      <c r="L14" s="149">
        <v>1</v>
      </c>
      <c r="M14" s="29"/>
      <c r="N14" s="1"/>
      <c r="O14" s="31"/>
      <c r="Q14" s="31"/>
      <c r="R14" s="86"/>
      <c r="S14" s="10"/>
      <c r="T14" s="50"/>
      <c r="U14" s="50"/>
      <c r="V14" s="50"/>
      <c r="W14" s="50"/>
      <c r="X14" s="50"/>
      <c r="Y14" s="50"/>
      <c r="Z14" s="51"/>
      <c r="AA14" s="87"/>
      <c r="AB14" s="87"/>
      <c r="AC14" s="89"/>
      <c r="AE14" s="52"/>
      <c r="AF14" s="52"/>
      <c r="AG14" s="52"/>
      <c r="AH14" s="52"/>
      <c r="AI14" s="52"/>
      <c r="AJ14" s="52"/>
    </row>
    <row r="15" spans="1:36" outlineLevel="1" collapsed="1"/>
    <row r="16" spans="1:36">
      <c r="B16" s="190"/>
      <c r="C16" s="203"/>
      <c r="D16" s="195"/>
      <c r="E16" s="204"/>
      <c r="F16" s="205"/>
      <c r="G16" s="206"/>
      <c r="H16" s="207"/>
      <c r="I16" s="207"/>
      <c r="J16" s="208"/>
      <c r="K16" s="206"/>
      <c r="L16" s="209"/>
      <c r="M16" s="337"/>
      <c r="N16" s="337"/>
      <c r="O16" s="338"/>
      <c r="Q16" s="209"/>
    </row>
    <row r="17" spans="2:17">
      <c r="B17" s="190"/>
      <c r="C17" s="203"/>
      <c r="D17" s="195"/>
      <c r="E17" s="204"/>
      <c r="F17" s="205"/>
      <c r="G17" s="206"/>
      <c r="H17" s="207"/>
      <c r="I17" s="207"/>
      <c r="J17" s="208"/>
      <c r="K17" s="206"/>
      <c r="L17" s="209"/>
      <c r="M17" s="337"/>
      <c r="N17" s="337"/>
      <c r="O17" s="338"/>
      <c r="Q17" s="209"/>
    </row>
    <row r="18" spans="2:17">
      <c r="B18" s="190"/>
      <c r="C18" s="203"/>
      <c r="D18" s="195"/>
      <c r="E18" s="204"/>
      <c r="F18" s="205"/>
      <c r="G18" s="206"/>
      <c r="H18" s="207"/>
      <c r="I18" s="207"/>
      <c r="J18" s="208"/>
      <c r="K18" s="206"/>
      <c r="L18" s="209"/>
      <c r="M18" s="337"/>
      <c r="N18" s="337"/>
      <c r="O18" s="338"/>
      <c r="Q18" s="209"/>
    </row>
    <row r="19" spans="2:17">
      <c r="B19" s="190"/>
      <c r="C19" s="203"/>
      <c r="D19" s="195"/>
      <c r="E19" s="204"/>
      <c r="F19" s="205"/>
      <c r="G19" s="206"/>
      <c r="H19" s="207"/>
      <c r="I19" s="207"/>
      <c r="J19" s="208"/>
      <c r="K19" s="206"/>
      <c r="L19" s="418"/>
      <c r="Q19" s="345"/>
    </row>
    <row r="20" spans="2:17">
      <c r="B20" s="190"/>
      <c r="C20" s="203"/>
      <c r="D20" s="195"/>
      <c r="E20" s="204"/>
      <c r="F20" s="205"/>
      <c r="G20" s="206"/>
      <c r="H20" s="207"/>
      <c r="I20" s="207"/>
      <c r="J20" s="208"/>
      <c r="K20" s="206"/>
      <c r="L20" s="418"/>
      <c r="Q20" s="345"/>
    </row>
    <row r="21" spans="2:17">
      <c r="B21" s="190"/>
      <c r="C21" s="203"/>
      <c r="D21" s="195"/>
      <c r="E21" s="204"/>
      <c r="F21" s="205"/>
      <c r="G21" s="206"/>
      <c r="H21" s="207"/>
      <c r="I21" s="207"/>
      <c r="J21" s="208"/>
      <c r="K21" s="319"/>
      <c r="L21" s="460"/>
      <c r="Q21" s="345"/>
    </row>
    <row r="22" spans="2:17">
      <c r="B22" s="190"/>
      <c r="C22" s="203"/>
      <c r="D22" s="195"/>
      <c r="E22" s="204"/>
      <c r="F22" s="205" t="s">
        <v>227</v>
      </c>
      <c r="G22" s="419"/>
      <c r="H22" s="420"/>
      <c r="I22" s="420"/>
      <c r="J22" s="421"/>
      <c r="K22" s="319"/>
      <c r="L22" s="423"/>
      <c r="Q22" s="345"/>
    </row>
    <row r="23" spans="2:17">
      <c r="B23" s="396"/>
      <c r="C23" s="397"/>
      <c r="D23" s="398"/>
      <c r="E23" s="399"/>
      <c r="F23" s="205"/>
      <c r="G23" s="206"/>
      <c r="H23" s="207"/>
      <c r="I23" s="207"/>
      <c r="J23" s="208"/>
      <c r="K23" s="206"/>
      <c r="L23" s="418"/>
      <c r="Q23" s="346"/>
    </row>
    <row r="24" spans="2:17">
      <c r="B24" s="396"/>
      <c r="C24" s="397"/>
      <c r="D24" s="398"/>
      <c r="E24" s="399"/>
      <c r="F24" s="205"/>
      <c r="G24" s="206"/>
      <c r="H24" s="207"/>
      <c r="I24" s="207"/>
      <c r="J24" s="208"/>
      <c r="K24" s="206"/>
      <c r="L24" s="461"/>
      <c r="Q24" s="346"/>
    </row>
    <row r="25" spans="2:17">
      <c r="B25" s="190"/>
      <c r="C25" s="203"/>
      <c r="D25" s="195"/>
      <c r="E25" s="204"/>
      <c r="F25" s="205"/>
      <c r="G25" s="401"/>
      <c r="H25" s="402"/>
      <c r="I25" s="402"/>
      <c r="J25" s="403"/>
      <c r="K25" s="206"/>
      <c r="L25" s="462"/>
      <c r="Q25" s="345"/>
    </row>
    <row r="26" spans="2:17">
      <c r="B26" s="190"/>
      <c r="C26" s="203"/>
      <c r="D26" s="195"/>
      <c r="E26" s="204"/>
      <c r="F26" s="205"/>
      <c r="G26" s="206"/>
      <c r="H26" s="207"/>
      <c r="I26" s="207"/>
      <c r="J26" s="208"/>
      <c r="K26" s="206"/>
      <c r="L26" s="463"/>
      <c r="Q26" s="321"/>
    </row>
    <row r="27" spans="2:17">
      <c r="B27" s="190"/>
      <c r="C27" s="203"/>
      <c r="D27" s="195"/>
      <c r="E27" s="204"/>
      <c r="Q27" s="321"/>
    </row>
  </sheetData>
  <autoFilter ref="A6:AJ14"/>
  <phoneticPr fontId="0" type="noConversion"/>
  <conditionalFormatting sqref="AE7:AJ14">
    <cfRule type="cellIs" dxfId="149" priority="1" stopIfTrue="1" operator="equal">
      <formula>0</formula>
    </cfRule>
  </conditionalFormatting>
  <conditionalFormatting sqref="S14:X14 S10:V13 W10:X11">
    <cfRule type="cellIs" dxfId="148" priority="2" stopIfTrue="1" operator="notBetween">
      <formula>1</formula>
      <formula>5</formula>
    </cfRule>
  </conditionalFormatting>
  <dataValidations xWindow="34" yWindow="327" count="1">
    <dataValidation allowBlank="1" showInputMessage="1" showErrorMessage="1" promptTitle="Do not change" prompt="This field is automatically updated from the names-list" sqref="Y7:Y13"/>
  </dataValidations>
  <printOptions horizontalCentered="1" verticalCentered="1"/>
  <pageMargins left="0.78740157480314965" right="0.78740157480314965" top="0.98425196850393704" bottom="0.98425196850393704" header="0.51181102362204722" footer="0.51181102362204722"/>
  <pageSetup paperSize="9" scale="5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enableFormatConditionsCalculation="0">
    <tabColor indexed="10"/>
    <pageSetUpPr fitToPage="1"/>
  </sheetPr>
  <dimension ref="A1:CG155"/>
  <sheetViews>
    <sheetView zoomScale="75" workbookViewId="0">
      <pane xSplit="28" ySplit="6" topLeftCell="AC10" activePane="bottomRight" state="frozen"/>
      <selection activeCell="L25" sqref="L25"/>
      <selection pane="topRight" activeCell="L25" sqref="L25"/>
      <selection pane="bottomLeft" activeCell="L25" sqref="L25"/>
      <selection pane="bottomRight" activeCell="AE46" sqref="AE46"/>
    </sheetView>
  </sheetViews>
  <sheetFormatPr defaultColWidth="11.42578125" defaultRowHeight="12" outlineLevelRow="1" outlineLevelCol="1"/>
  <cols>
    <col min="1" max="1" width="5.140625" style="7" hidden="1" customWidth="1" outlineLevel="1"/>
    <col min="2" max="2" width="12.140625" style="158" bestFit="1" customWidth="1" collapsed="1"/>
    <col min="3" max="3" width="3.7109375" style="159" hidden="1" customWidth="1"/>
    <col min="4" max="4" width="3.140625" style="7" hidden="1" customWidth="1"/>
    <col min="5" max="5" width="2.7109375" style="7" hidden="1" customWidth="1"/>
    <col min="6" max="6" width="44.5703125" style="8" customWidth="1"/>
    <col min="7" max="7" width="6" style="7" customWidth="1"/>
    <col min="8" max="8" width="5.7109375" style="7" hidden="1" customWidth="1"/>
    <col min="9" max="9" width="19.42578125" style="7" hidden="1" customWidth="1"/>
    <col min="10" max="10" width="2.5703125" style="7" customWidth="1"/>
    <col min="11" max="11" width="5.140625" style="7" customWidth="1"/>
    <col min="12" max="12" width="13.7109375" style="7" customWidth="1"/>
    <col min="13" max="13" width="2.42578125" style="32" hidden="1" customWidth="1"/>
    <col min="14" max="14" width="4.28515625" style="32" hidden="1" customWidth="1"/>
    <col min="15" max="15" width="36.28515625" style="33" hidden="1" customWidth="1"/>
    <col min="16" max="16" width="13.7109375" style="7" customWidth="1"/>
    <col min="17" max="17" width="2.42578125" style="32" hidden="1" customWidth="1"/>
    <col min="18" max="18" width="4.28515625" style="32" hidden="1" customWidth="1"/>
    <col min="19" max="19" width="36.28515625" style="33" hidden="1" customWidth="1"/>
    <col min="20" max="20" width="12.5703125" style="7" customWidth="1"/>
    <col min="21" max="21" width="2.42578125" style="32" hidden="1" customWidth="1"/>
    <col min="22" max="22" width="4.28515625" style="32" hidden="1" customWidth="1"/>
    <col min="23" max="23" width="36.28515625" style="33" hidden="1" customWidth="1"/>
    <col min="24" max="24" width="14.28515625" style="7" customWidth="1"/>
    <col min="25" max="25" width="2.42578125" style="32" hidden="1" customWidth="1"/>
    <col min="26" max="26" width="4.28515625" style="32" hidden="1" customWidth="1"/>
    <col min="27" max="27" width="36.28515625" style="33" hidden="1" customWidth="1"/>
    <col min="28" max="28" width="14.28515625" style="7" customWidth="1"/>
    <col min="29" max="29" width="2.42578125" style="32" customWidth="1" outlineLevel="1"/>
    <col min="30" max="30" width="4.28515625" style="32" customWidth="1" outlineLevel="1"/>
    <col min="31" max="31" width="34.7109375" style="33" customWidth="1" outlineLevel="1"/>
    <col min="32" max="32" width="13.7109375" style="7" customWidth="1"/>
    <col min="33" max="36" width="11.85546875" style="211" customWidth="1"/>
    <col min="37" max="37" width="13.7109375" style="7" customWidth="1" outlineLevel="1"/>
    <col min="38" max="38" width="11.85546875" style="211" customWidth="1"/>
    <col min="39" max="39" width="12.5703125" style="7" customWidth="1" outlineLevel="1"/>
    <col min="40" max="41" width="11.85546875" style="211" customWidth="1"/>
    <col min="43" max="46" width="11.85546875" style="211" customWidth="1"/>
    <col min="47" max="47" width="14.28515625" style="7" customWidth="1" outlineLevel="1"/>
    <col min="48" max="49" width="11.85546875" style="211" customWidth="1"/>
    <col min="52" max="58" width="11.85546875" style="211" customWidth="1"/>
    <col min="59" max="59" width="14.28515625" style="7" customWidth="1" outlineLevel="1"/>
    <col min="60" max="61" width="11.85546875" style="211" customWidth="1"/>
    <col min="63" max="66" width="11.85546875" style="211" customWidth="1"/>
    <col min="67" max="67" width="23.140625" style="79" customWidth="1"/>
    <col min="68" max="68" width="4" style="47" bestFit="1" customWidth="1"/>
    <col min="69" max="69" width="6.28515625" style="39" bestFit="1" customWidth="1"/>
    <col min="70" max="70" width="5.85546875" style="39" bestFit="1" customWidth="1"/>
    <col min="71" max="71" width="4.7109375" style="39" bestFit="1" customWidth="1"/>
    <col min="72" max="72" width="5.28515625" style="39" bestFit="1" customWidth="1"/>
    <col min="73" max="73" width="5.85546875" style="39" bestFit="1" customWidth="1"/>
    <col min="74" max="75" width="6.85546875" style="39" bestFit="1" customWidth="1"/>
    <col min="76" max="76" width="8.28515625" style="39" bestFit="1" customWidth="1"/>
    <col min="77" max="77" width="9.140625" style="39" bestFit="1" customWidth="1"/>
    <col min="78" max="78" width="12.140625" style="39" customWidth="1"/>
    <col min="79" max="79" width="11.42578125" style="7"/>
    <col min="80" max="82" width="5.42578125" style="7" customWidth="1"/>
    <col min="83" max="83" width="5.85546875" style="7" customWidth="1"/>
    <col min="84" max="84" width="5.42578125" style="7" customWidth="1"/>
    <col min="85" max="85" width="5.28515625" style="7" customWidth="1"/>
    <col min="86" max="16384" width="11.42578125" style="7"/>
  </cols>
  <sheetData>
    <row r="1" spans="1:85">
      <c r="A1" s="36"/>
      <c r="B1" s="34"/>
      <c r="C1" s="35"/>
      <c r="D1" s="36"/>
      <c r="E1" s="36"/>
      <c r="F1" s="37" t="s">
        <v>510</v>
      </c>
      <c r="G1" s="36"/>
      <c r="H1" s="36"/>
      <c r="I1" s="36"/>
      <c r="J1" s="36"/>
      <c r="K1" s="36"/>
      <c r="L1" s="189">
        <v>1489</v>
      </c>
      <c r="M1" s="22"/>
      <c r="N1" s="22"/>
      <c r="O1" s="22"/>
      <c r="P1" s="189">
        <v>1490</v>
      </c>
      <c r="Q1" s="22"/>
      <c r="R1" s="22"/>
      <c r="S1" s="22"/>
      <c r="T1" s="189">
        <v>1491</v>
      </c>
      <c r="U1" s="22"/>
      <c r="V1" s="22"/>
      <c r="W1" s="22"/>
      <c r="X1" s="189">
        <v>1645</v>
      </c>
      <c r="Y1" s="22"/>
      <c r="Z1" s="22"/>
      <c r="AA1" s="22"/>
      <c r="AB1" s="189">
        <v>1646</v>
      </c>
      <c r="AC1" s="22"/>
      <c r="AD1" s="22"/>
      <c r="AE1" s="22"/>
      <c r="AF1" s="226">
        <v>1489</v>
      </c>
      <c r="AG1" s="261"/>
      <c r="AH1" s="261"/>
      <c r="AI1" s="261"/>
      <c r="AJ1" s="261"/>
      <c r="AK1" s="226">
        <v>1490</v>
      </c>
      <c r="AL1" s="261"/>
      <c r="AM1" s="226">
        <v>1491</v>
      </c>
      <c r="AN1" s="261"/>
      <c r="AO1" s="261"/>
      <c r="AQ1" s="261"/>
      <c r="AR1" s="261"/>
      <c r="AS1" s="261"/>
      <c r="AT1" s="261"/>
      <c r="AU1" s="226">
        <v>1645</v>
      </c>
      <c r="AV1" s="261"/>
      <c r="AW1" s="261"/>
      <c r="AZ1" s="261"/>
      <c r="BA1" s="261"/>
      <c r="BB1" s="261"/>
      <c r="BC1" s="261"/>
      <c r="BD1" s="261"/>
      <c r="BE1" s="261"/>
      <c r="BF1" s="261"/>
      <c r="BG1" s="226">
        <v>1646</v>
      </c>
      <c r="BH1" s="261"/>
      <c r="BI1" s="261"/>
      <c r="BK1" s="261"/>
      <c r="BL1" s="261"/>
      <c r="BM1" s="261"/>
      <c r="BN1" s="261"/>
      <c r="BP1" s="44"/>
      <c r="BQ1" s="160"/>
      <c r="BR1" s="160"/>
      <c r="BS1" s="160"/>
      <c r="BT1" s="160"/>
      <c r="BU1" s="160"/>
    </row>
    <row r="2" spans="1:85" ht="36">
      <c r="A2" s="36"/>
      <c r="B2" s="147"/>
      <c r="C2" s="35" t="s">
        <v>511</v>
      </c>
      <c r="D2" s="147">
        <v>3503</v>
      </c>
      <c r="E2" s="147">
        <v>3504</v>
      </c>
      <c r="F2" s="147">
        <v>3702</v>
      </c>
      <c r="G2" s="147">
        <v>3703</v>
      </c>
      <c r="H2" s="147">
        <v>3506</v>
      </c>
      <c r="I2" s="147">
        <v>3507</v>
      </c>
      <c r="J2" s="147">
        <v>3508</v>
      </c>
      <c r="K2" s="147">
        <v>3706</v>
      </c>
      <c r="L2" s="147">
        <v>3707</v>
      </c>
      <c r="M2" s="23">
        <v>3708</v>
      </c>
      <c r="N2" s="23">
        <v>3709</v>
      </c>
      <c r="O2" s="24">
        <v>3792</v>
      </c>
      <c r="P2" s="147">
        <v>3707</v>
      </c>
      <c r="Q2" s="23">
        <v>3708</v>
      </c>
      <c r="R2" s="23">
        <v>3709</v>
      </c>
      <c r="S2" s="24">
        <v>3792</v>
      </c>
      <c r="T2" s="147">
        <v>3707</v>
      </c>
      <c r="U2" s="23">
        <v>3708</v>
      </c>
      <c r="V2" s="23">
        <v>3709</v>
      </c>
      <c r="W2" s="24">
        <v>3792</v>
      </c>
      <c r="X2" s="147">
        <v>3707</v>
      </c>
      <c r="Y2" s="23">
        <v>3708</v>
      </c>
      <c r="Z2" s="23">
        <v>3709</v>
      </c>
      <c r="AA2" s="24">
        <v>3792</v>
      </c>
      <c r="AB2" s="147">
        <v>3707</v>
      </c>
      <c r="AC2" s="23">
        <v>3708</v>
      </c>
      <c r="AD2" s="23">
        <v>3709</v>
      </c>
      <c r="AE2" s="24">
        <v>3792</v>
      </c>
      <c r="AF2" s="329"/>
      <c r="AG2" s="262"/>
      <c r="AH2" s="262"/>
      <c r="AI2" s="262"/>
      <c r="AJ2" s="262"/>
      <c r="AK2" s="329"/>
      <c r="AL2" s="262"/>
      <c r="AM2" s="329"/>
      <c r="AN2" s="262"/>
      <c r="AO2" s="262"/>
      <c r="AQ2" s="262"/>
      <c r="AR2" s="262"/>
      <c r="AS2" s="262"/>
      <c r="AT2" s="262"/>
      <c r="AU2" s="329"/>
      <c r="AV2" s="262"/>
      <c r="AW2" s="262"/>
      <c r="AZ2" s="262"/>
      <c r="BA2" s="262"/>
      <c r="BB2" s="262"/>
      <c r="BC2" s="262"/>
      <c r="BD2" s="262"/>
      <c r="BE2" s="262"/>
      <c r="BF2" s="262"/>
      <c r="BG2" s="329"/>
      <c r="BH2" s="262"/>
      <c r="BI2" s="262"/>
      <c r="BK2" s="262"/>
      <c r="BL2" s="262"/>
      <c r="BM2" s="262"/>
      <c r="BN2" s="262"/>
      <c r="BO2" s="9" t="s">
        <v>264</v>
      </c>
      <c r="BP2" s="10" t="s">
        <v>249</v>
      </c>
      <c r="BQ2" s="10" t="s">
        <v>250</v>
      </c>
      <c r="BR2" s="10" t="s">
        <v>251</v>
      </c>
      <c r="BS2" s="10" t="s">
        <v>252</v>
      </c>
      <c r="BT2" s="10" t="s">
        <v>253</v>
      </c>
      <c r="BU2" s="10" t="s">
        <v>254</v>
      </c>
      <c r="BV2" s="82" t="s">
        <v>255</v>
      </c>
      <c r="BW2" s="82" t="s">
        <v>256</v>
      </c>
      <c r="BX2" s="11" t="s">
        <v>257</v>
      </c>
      <c r="BY2" s="11" t="s">
        <v>390</v>
      </c>
      <c r="BZ2" s="132" t="s">
        <v>263</v>
      </c>
      <c r="CB2" s="40" t="s">
        <v>249</v>
      </c>
      <c r="CC2" s="40" t="s">
        <v>250</v>
      </c>
      <c r="CD2" s="40" t="s">
        <v>251</v>
      </c>
      <c r="CE2" s="40" t="s">
        <v>252</v>
      </c>
      <c r="CF2" s="40" t="s">
        <v>253</v>
      </c>
      <c r="CG2" s="40" t="s">
        <v>254</v>
      </c>
    </row>
    <row r="3" spans="1:85" ht="57.75" customHeight="1">
      <c r="A3" s="36" t="s">
        <v>398</v>
      </c>
      <c r="B3" s="166"/>
      <c r="C3" s="35">
        <v>401</v>
      </c>
      <c r="D3" s="167" t="s">
        <v>514</v>
      </c>
      <c r="E3" s="167" t="s">
        <v>515</v>
      </c>
      <c r="F3" s="132" t="s">
        <v>516</v>
      </c>
      <c r="G3" s="41" t="s">
        <v>517</v>
      </c>
      <c r="H3" s="41" t="s">
        <v>518</v>
      </c>
      <c r="I3" s="41" t="s">
        <v>519</v>
      </c>
      <c r="J3" s="41" t="s">
        <v>520</v>
      </c>
      <c r="K3" s="41" t="s">
        <v>394</v>
      </c>
      <c r="L3" s="178" t="str">
        <f>INDEX([14]Names!$J$1:$J$65602,MATCH(L$1,[14]Names!$F$1:$F$65602,0),1)</f>
        <v>facade construction, mounted, at building</v>
      </c>
      <c r="M3" s="25" t="s">
        <v>265</v>
      </c>
      <c r="N3" s="25" t="s">
        <v>266</v>
      </c>
      <c r="O3" s="128" t="s">
        <v>548</v>
      </c>
      <c r="P3" s="178" t="str">
        <f>INDEX([14]Names!$J$1:$J$65602,MATCH(P$1,[14]Names!$F$1:$F$65602,0),1)</f>
        <v>facade construction, integrated, at building</v>
      </c>
      <c r="Q3" s="25" t="s">
        <v>265</v>
      </c>
      <c r="R3" s="25" t="s">
        <v>266</v>
      </c>
      <c r="S3" s="128" t="s">
        <v>548</v>
      </c>
      <c r="T3" s="178" t="str">
        <f>INDEX([14]Names!$J$1:$J$65602,MATCH(T$1,[14]Names!$F$1:$F$65602,0),1)</f>
        <v>flat roof construction, on roof</v>
      </c>
      <c r="U3" s="25" t="s">
        <v>265</v>
      </c>
      <c r="V3" s="25" t="s">
        <v>266</v>
      </c>
      <c r="W3" s="128" t="s">
        <v>548</v>
      </c>
      <c r="X3" s="178" t="str">
        <f>INDEX([14]Names!$J$1:$J$65602,MATCH(X$1,[14]Names!$F$1:$F$65602,0),1)</f>
        <v>slanted-roof construction, mounted, on roof</v>
      </c>
      <c r="Y3" s="25" t="s">
        <v>265</v>
      </c>
      <c r="Z3" s="25" t="s">
        <v>266</v>
      </c>
      <c r="AA3" s="128" t="s">
        <v>548</v>
      </c>
      <c r="AB3" s="178" t="str">
        <f>INDEX([14]Names!$J$1:$J$65602,MATCH(AB$1,[14]Names!$F$1:$F$65602,0),1)</f>
        <v>slanted-roof construction, integrated, on roof</v>
      </c>
      <c r="AC3" s="25" t="s">
        <v>265</v>
      </c>
      <c r="AD3" s="25" t="s">
        <v>266</v>
      </c>
      <c r="AE3" s="128" t="s">
        <v>548</v>
      </c>
      <c r="AF3" s="330" t="s">
        <v>661</v>
      </c>
      <c r="AG3" s="228" t="str">
        <f>AF3</f>
        <v>facade construction, mounted, on roof</v>
      </c>
      <c r="AH3" s="380"/>
      <c r="AI3" s="381" t="str">
        <f>AF3</f>
        <v>facade construction, mounted, on roof</v>
      </c>
      <c r="AJ3" s="381" t="str">
        <f>AG3</f>
        <v>facade construction, mounted, on roof</v>
      </c>
      <c r="AK3" s="330" t="s">
        <v>662</v>
      </c>
      <c r="AL3" s="228" t="str">
        <f>AK3</f>
        <v>facade construction, integrated, on roof</v>
      </c>
      <c r="AM3" s="330" t="s">
        <v>663</v>
      </c>
      <c r="AN3" s="228" t="str">
        <f>AM3</f>
        <v>flat roof construction, on roof</v>
      </c>
      <c r="AO3" s="228" t="str">
        <f>AM3</f>
        <v>flat roof construction, on roof</v>
      </c>
      <c r="AP3" s="386"/>
      <c r="AQ3" s="387" t="str">
        <f>AM3</f>
        <v>flat roof construction, on roof</v>
      </c>
      <c r="AR3" s="387" t="str">
        <f>AN3</f>
        <v>flat roof construction, on roof</v>
      </c>
      <c r="AS3" s="387" t="str">
        <f>AR3</f>
        <v>flat roof construction, on roof</v>
      </c>
      <c r="AT3" s="381" t="str">
        <f>AR3</f>
        <v>flat roof construction, on roof</v>
      </c>
      <c r="AU3" s="330" t="s">
        <v>664</v>
      </c>
      <c r="AV3" s="228" t="str">
        <f>AU3</f>
        <v>slanted-roof construction, mounted, on roof</v>
      </c>
      <c r="AW3" s="96" t="s">
        <v>664</v>
      </c>
      <c r="AX3" s="386"/>
      <c r="AY3" s="387" t="str">
        <f>AZ3</f>
        <v>slanted-roof construction, mounted, on roof</v>
      </c>
      <c r="AZ3" s="387" t="str">
        <f>AU3</f>
        <v>slanted-roof construction, mounted, on roof</v>
      </c>
      <c r="BA3" s="387" t="str">
        <f>AV3</f>
        <v>slanted-roof construction, mounted, on roof</v>
      </c>
      <c r="BB3" s="387" t="str">
        <f>AV3</f>
        <v>slanted-roof construction, mounted, on roof</v>
      </c>
      <c r="BC3" s="387" t="str">
        <f>AV3</f>
        <v>slanted-roof construction, mounted, on roof</v>
      </c>
      <c r="BD3" s="387" t="str">
        <f>AW3</f>
        <v>slanted-roof construction, mounted, on roof</v>
      </c>
      <c r="BE3" s="387" t="str">
        <f>AV3</f>
        <v>slanted-roof construction, mounted, on roof</v>
      </c>
      <c r="BF3" s="381" t="str">
        <f>AZ3</f>
        <v>slanted-roof construction, mounted, on roof</v>
      </c>
      <c r="BG3" s="330" t="s">
        <v>665</v>
      </c>
      <c r="BH3" s="228" t="str">
        <f>BG3</f>
        <v>slanted-roof construction, integrated, on roof</v>
      </c>
      <c r="BI3" s="228" t="str">
        <f>BG3</f>
        <v>slanted-roof construction, integrated, on roof</v>
      </c>
      <c r="BJ3" s="386"/>
      <c r="BK3" s="387" t="str">
        <f>BF3</f>
        <v>slanted-roof construction, mounted, on roof</v>
      </c>
      <c r="BL3" s="387" t="str">
        <f>BG3</f>
        <v>slanted-roof construction, integrated, on roof</v>
      </c>
      <c r="BM3" s="387" t="str">
        <f>BH3</f>
        <v>slanted-roof construction, integrated, on roof</v>
      </c>
      <c r="BN3" s="381" t="str">
        <f>BF3</f>
        <v>slanted-roof construction, mounted, on roof</v>
      </c>
      <c r="BO3" s="162"/>
      <c r="BP3" s="42"/>
      <c r="BQ3" s="10"/>
      <c r="BR3" s="10"/>
      <c r="BS3" s="10"/>
      <c r="BT3" s="10"/>
      <c r="BU3" s="10"/>
      <c r="BV3" s="9"/>
      <c r="BW3" s="9"/>
      <c r="BX3" s="11" t="s">
        <v>267</v>
      </c>
      <c r="BY3" s="11" t="s">
        <v>267</v>
      </c>
      <c r="BZ3" s="161"/>
    </row>
    <row r="4" spans="1:85" ht="12.75" customHeight="1">
      <c r="A4" s="36"/>
      <c r="B4" s="166"/>
      <c r="C4" s="35">
        <v>662</v>
      </c>
      <c r="D4" s="9"/>
      <c r="E4" s="9"/>
      <c r="F4" s="132" t="s">
        <v>517</v>
      </c>
      <c r="G4" s="132"/>
      <c r="H4" s="132"/>
      <c r="I4" s="132"/>
      <c r="J4" s="132"/>
      <c r="K4" s="132"/>
      <c r="L4" s="178" t="str">
        <f>INDEX([14]Names!$K$1:$K$65602,MATCH(L$1,[14]Names!$F$1:$F$65602,0),1)</f>
        <v>RER</v>
      </c>
      <c r="M4" s="129"/>
      <c r="N4" s="129"/>
      <c r="O4" s="130"/>
      <c r="P4" s="178" t="str">
        <f>INDEX([14]Names!$K$1:$K$65602,MATCH(P$1,[14]Names!$F$1:$F$65602,0),1)</f>
        <v>RER</v>
      </c>
      <c r="Q4" s="129"/>
      <c r="R4" s="129"/>
      <c r="S4" s="130"/>
      <c r="T4" s="178" t="str">
        <f>INDEX([14]Names!$K$1:$K$65602,MATCH(T$1,[14]Names!$F$1:$F$65602,0),1)</f>
        <v>RER</v>
      </c>
      <c r="U4" s="129"/>
      <c r="V4" s="129"/>
      <c r="W4" s="130"/>
      <c r="X4" s="178" t="str">
        <f>INDEX([14]Names!$K$1:$K$65602,MATCH(X$1,[14]Names!$F$1:$F$65602,0),1)</f>
        <v>RER</v>
      </c>
      <c r="Y4" s="129"/>
      <c r="Z4" s="129"/>
      <c r="AA4" s="130"/>
      <c r="AB4" s="178" t="str">
        <f>INDEX([14]Names!$K$1:$K$65602,MATCH(AB$1,[14]Names!$F$1:$F$65602,0),1)</f>
        <v>RER</v>
      </c>
      <c r="AC4" s="129"/>
      <c r="AD4" s="129"/>
      <c r="AE4" s="130"/>
      <c r="AF4" s="330" t="s">
        <v>393</v>
      </c>
      <c r="AG4" s="228">
        <v>1992</v>
      </c>
      <c r="AH4" s="380"/>
      <c r="AI4" s="406" t="s">
        <v>208</v>
      </c>
      <c r="AJ4" s="381" t="s">
        <v>221</v>
      </c>
      <c r="AK4" s="330" t="s">
        <v>393</v>
      </c>
      <c r="AL4" s="228" t="str">
        <f>AK4</f>
        <v>CH</v>
      </c>
      <c r="AM4" s="330" t="s">
        <v>393</v>
      </c>
      <c r="AN4" s="228" t="str">
        <f>AM4</f>
        <v>CH</v>
      </c>
      <c r="AO4" s="228" t="str">
        <f>AL4</f>
        <v>CH</v>
      </c>
      <c r="AP4" s="386"/>
      <c r="AQ4" s="406" t="s">
        <v>208</v>
      </c>
      <c r="AR4" s="387" t="s">
        <v>666</v>
      </c>
      <c r="AS4" s="387" t="s">
        <v>222</v>
      </c>
      <c r="AT4" s="381" t="s">
        <v>669</v>
      </c>
      <c r="AU4" s="330" t="s">
        <v>393</v>
      </c>
      <c r="AV4" s="228" t="str">
        <f>AU4</f>
        <v>CH</v>
      </c>
      <c r="AW4" s="96" t="s">
        <v>383</v>
      </c>
      <c r="AX4" s="386"/>
      <c r="AY4" s="407" t="s">
        <v>208</v>
      </c>
      <c r="AZ4" s="387" t="s">
        <v>667</v>
      </c>
      <c r="BA4" s="387" t="s">
        <v>667</v>
      </c>
      <c r="BB4" s="387" t="s">
        <v>222</v>
      </c>
      <c r="BC4" s="387" t="s">
        <v>669</v>
      </c>
      <c r="BD4" s="387" t="s">
        <v>669</v>
      </c>
      <c r="BE4" s="387" t="s">
        <v>666</v>
      </c>
      <c r="BF4" s="381" t="s">
        <v>223</v>
      </c>
      <c r="BG4" s="330" t="s">
        <v>393</v>
      </c>
      <c r="BH4" s="228" t="str">
        <f>BG4</f>
        <v>CH</v>
      </c>
      <c r="BI4" s="228" t="s">
        <v>383</v>
      </c>
      <c r="BJ4" s="386"/>
      <c r="BK4" s="406" t="s">
        <v>208</v>
      </c>
      <c r="BL4" s="387" t="s">
        <v>668</v>
      </c>
      <c r="BM4" s="387" t="s">
        <v>668</v>
      </c>
      <c r="BN4" s="381" t="s">
        <v>669</v>
      </c>
      <c r="BO4" s="84"/>
      <c r="BP4" s="44" t="s">
        <v>269</v>
      </c>
      <c r="BX4" s="45"/>
      <c r="BY4" s="45"/>
      <c r="BZ4" s="46"/>
    </row>
    <row r="5" spans="1:85">
      <c r="A5" s="36"/>
      <c r="B5" s="166"/>
      <c r="C5" s="35">
        <v>493</v>
      </c>
      <c r="D5" s="9"/>
      <c r="E5" s="9"/>
      <c r="F5" s="132" t="s">
        <v>520</v>
      </c>
      <c r="G5" s="132"/>
      <c r="H5" s="132"/>
      <c r="I5" s="132"/>
      <c r="J5" s="132"/>
      <c r="K5" s="132"/>
      <c r="L5" s="178">
        <f>INDEX([14]Names!$N$1:$N$65602,MATCH(L$1,[14]Names!$F$1:$F$65602,0),1)</f>
        <v>1</v>
      </c>
      <c r="M5" s="129"/>
      <c r="N5" s="129"/>
      <c r="O5" s="130"/>
      <c r="P5" s="178">
        <f>INDEX([14]Names!$N$1:$N$65602,MATCH(P$1,[14]Names!$F$1:$F$65602,0),1)</f>
        <v>1</v>
      </c>
      <c r="Q5" s="129"/>
      <c r="R5" s="129"/>
      <c r="S5" s="130"/>
      <c r="T5" s="178">
        <f>INDEX([14]Names!$N$1:$N$65602,MATCH(T$1,[14]Names!$F$1:$F$65602,0),1)</f>
        <v>1</v>
      </c>
      <c r="U5" s="129"/>
      <c r="V5" s="129"/>
      <c r="W5" s="130"/>
      <c r="X5" s="178">
        <f>INDEX([14]Names!$N$1:$N$65602,MATCH(X$1,[14]Names!$F$1:$F$65602,0),1)</f>
        <v>1</v>
      </c>
      <c r="Y5" s="129"/>
      <c r="Z5" s="129"/>
      <c r="AA5" s="130"/>
      <c r="AB5" s="178">
        <f>INDEX([14]Names!$N$1:$N$65602,MATCH(AB$1,[14]Names!$F$1:$F$65602,0),1)</f>
        <v>1</v>
      </c>
      <c r="AC5" s="129"/>
      <c r="AD5" s="129"/>
      <c r="AE5" s="130"/>
      <c r="AF5" s="330">
        <v>1</v>
      </c>
      <c r="AG5" s="228">
        <f>AF5</f>
        <v>1</v>
      </c>
      <c r="AH5" s="383"/>
      <c r="AI5" s="382">
        <f>AF5</f>
        <v>1</v>
      </c>
      <c r="AJ5" s="382">
        <f>AG5</f>
        <v>1</v>
      </c>
      <c r="AK5" s="330">
        <v>1</v>
      </c>
      <c r="AL5" s="228">
        <f>AK5</f>
        <v>1</v>
      </c>
      <c r="AM5" s="330">
        <v>1</v>
      </c>
      <c r="AN5" s="228">
        <f>AM5</f>
        <v>1</v>
      </c>
      <c r="AO5" s="228">
        <f>AL5</f>
        <v>1</v>
      </c>
      <c r="AP5" s="388"/>
      <c r="AQ5" s="204">
        <v>2007</v>
      </c>
      <c r="AR5" s="204">
        <v>2007</v>
      </c>
      <c r="AS5" s="204">
        <v>2007</v>
      </c>
      <c r="AT5" s="382">
        <v>2007</v>
      </c>
      <c r="AU5" s="330">
        <v>1</v>
      </c>
      <c r="AV5" s="228">
        <f>AU5</f>
        <v>1</v>
      </c>
      <c r="AW5" s="96">
        <v>1</v>
      </c>
      <c r="AX5" s="388"/>
      <c r="AY5" s="204">
        <v>2007</v>
      </c>
      <c r="AZ5" s="204">
        <v>2007</v>
      </c>
      <c r="BA5" s="204">
        <v>2006</v>
      </c>
      <c r="BB5" s="204">
        <v>2007</v>
      </c>
      <c r="BC5" s="204">
        <v>2007</v>
      </c>
      <c r="BD5" s="204">
        <v>2006</v>
      </c>
      <c r="BE5" s="204">
        <v>2007</v>
      </c>
      <c r="BF5" s="382">
        <v>2004</v>
      </c>
      <c r="BG5" s="330">
        <v>1</v>
      </c>
      <c r="BH5" s="228">
        <f>BG5</f>
        <v>1</v>
      </c>
      <c r="BI5" s="228">
        <f>BG5</f>
        <v>1</v>
      </c>
      <c r="BJ5" s="388"/>
      <c r="BK5" s="204">
        <v>2007</v>
      </c>
      <c r="BL5" s="204">
        <v>2007</v>
      </c>
      <c r="BM5" s="204">
        <v>2006</v>
      </c>
      <c r="BN5" s="382">
        <v>2006</v>
      </c>
    </row>
    <row r="6" spans="1:85">
      <c r="A6" s="36"/>
      <c r="B6" s="166"/>
      <c r="C6" s="35">
        <v>403</v>
      </c>
      <c r="D6" s="9"/>
      <c r="E6" s="9"/>
      <c r="F6" s="132" t="s">
        <v>394</v>
      </c>
      <c r="G6" s="352"/>
      <c r="H6" s="132"/>
      <c r="I6" s="132"/>
      <c r="J6" s="132"/>
      <c r="K6" s="132"/>
      <c r="L6" s="178" t="str">
        <f>INDEX([14]Names!$O$1:$O$65602,MATCH(L$1,[14]Names!$F$1:$F$65602,0),1)</f>
        <v>m2</v>
      </c>
      <c r="M6" s="129"/>
      <c r="N6" s="129"/>
      <c r="O6" s="130"/>
      <c r="P6" s="178" t="str">
        <f>INDEX([14]Names!$O$1:$O$65602,MATCH(P$1,[14]Names!$F$1:$F$65602,0),1)</f>
        <v>m2</v>
      </c>
      <c r="Q6" s="129"/>
      <c r="R6" s="129"/>
      <c r="S6" s="130"/>
      <c r="T6" s="178" t="str">
        <f>INDEX([14]Names!$O$1:$O$65602,MATCH(T$1,[14]Names!$F$1:$F$65602,0),1)</f>
        <v>m2</v>
      </c>
      <c r="U6" s="129"/>
      <c r="V6" s="129"/>
      <c r="W6" s="130"/>
      <c r="X6" s="178" t="str">
        <f>INDEX([14]Names!$O$1:$O$65602,MATCH(X$1,[14]Names!$F$1:$F$65602,0),1)</f>
        <v>m2</v>
      </c>
      <c r="Y6" s="129"/>
      <c r="Z6" s="129"/>
      <c r="AA6" s="130"/>
      <c r="AB6" s="178" t="str">
        <f>INDEX([14]Names!$O$1:$O$65602,MATCH(AB$1,[14]Names!$F$1:$F$65602,0),1)</f>
        <v>m2</v>
      </c>
      <c r="AC6" s="129"/>
      <c r="AD6" s="129"/>
      <c r="AE6" s="130"/>
      <c r="AF6" s="330" t="s">
        <v>522</v>
      </c>
      <c r="AG6" s="228" t="s">
        <v>396</v>
      </c>
      <c r="AH6" s="384"/>
      <c r="AI6" s="385" t="s">
        <v>396</v>
      </c>
      <c r="AJ6" s="385" t="s">
        <v>396</v>
      </c>
      <c r="AK6" s="330" t="s">
        <v>522</v>
      </c>
      <c r="AL6" s="228" t="s">
        <v>396</v>
      </c>
      <c r="AM6" s="330" t="s">
        <v>522</v>
      </c>
      <c r="AN6" s="228" t="s">
        <v>396</v>
      </c>
      <c r="AO6" s="228" t="s">
        <v>396</v>
      </c>
      <c r="AP6" s="388"/>
      <c r="AQ6" s="204" t="s">
        <v>396</v>
      </c>
      <c r="AR6" s="204" t="s">
        <v>396</v>
      </c>
      <c r="AS6" s="204" t="s">
        <v>396</v>
      </c>
      <c r="AT6" s="382" t="s">
        <v>396</v>
      </c>
      <c r="AU6" s="330" t="s">
        <v>522</v>
      </c>
      <c r="AV6" s="228" t="s">
        <v>396</v>
      </c>
      <c r="AW6" s="96" t="s">
        <v>396</v>
      </c>
      <c r="AX6" s="389"/>
      <c r="AY6" s="390" t="s">
        <v>396</v>
      </c>
      <c r="AZ6" s="390" t="s">
        <v>396</v>
      </c>
      <c r="BA6" s="390" t="s">
        <v>396</v>
      </c>
      <c r="BB6" s="390" t="s">
        <v>396</v>
      </c>
      <c r="BC6" s="390" t="s">
        <v>396</v>
      </c>
      <c r="BD6" s="390" t="s">
        <v>396</v>
      </c>
      <c r="BE6" s="390" t="s">
        <v>396</v>
      </c>
      <c r="BF6" s="385" t="s">
        <v>396</v>
      </c>
      <c r="BG6" s="330" t="s">
        <v>522</v>
      </c>
      <c r="BH6" s="228" t="s">
        <v>396</v>
      </c>
      <c r="BI6" s="228" t="str">
        <f>BG6</f>
        <v>unit</v>
      </c>
      <c r="BJ6" s="388"/>
      <c r="BK6" s="204" t="s">
        <v>396</v>
      </c>
      <c r="BL6" s="204" t="s">
        <v>396</v>
      </c>
      <c r="BM6" s="204" t="s">
        <v>396</v>
      </c>
      <c r="BN6" s="382" t="s">
        <v>396</v>
      </c>
      <c r="BP6" s="48"/>
      <c r="BQ6" s="48"/>
      <c r="BR6" s="48"/>
      <c r="BS6" s="48"/>
      <c r="BT6" s="48"/>
      <c r="BU6" s="48"/>
      <c r="BX6" s="49"/>
      <c r="BY6" s="49"/>
      <c r="BZ6" s="46"/>
    </row>
    <row r="7" spans="1:85" ht="24">
      <c r="A7" s="117">
        <v>4807</v>
      </c>
      <c r="B7" s="168" t="s">
        <v>524</v>
      </c>
      <c r="C7" s="151" t="s">
        <v>525</v>
      </c>
      <c r="D7" s="152" t="s">
        <v>526</v>
      </c>
      <c r="E7" s="153" t="s">
        <v>402</v>
      </c>
      <c r="F7" s="144" t="str">
        <f>IF(OR(D7="4",E7="4"),INDEX([14]NamesElementary!$B$1:$B$65536,MATCH(A7,[14]NamesElementary!$A$1:$A$65536,0),1),INDEX([14]Names!$J$1:$J$65602,MATCH(A7,[14]Names!$F$1:$F$65602,0),1))</f>
        <v>aluminium, production mix, wrought alloy, at plant</v>
      </c>
      <c r="G7" s="125" t="str">
        <f>IF(OR(D7="4",E7="4"),"-",INDEX([14]Names!$K$1:$K$65602,MATCH(A7,[14]Names!$F$1:$F$65602,0),1))</f>
        <v>RER</v>
      </c>
      <c r="H7" s="164" t="str">
        <f>IF(OR(D7="4",E7="4"),INDEX([14]NamesElementary!$D$1:$D$65536,MATCH($A7,[14]NamesElementary!$A$1:$A$65536,0),1),"-")</f>
        <v>-</v>
      </c>
      <c r="I7" s="123" t="str">
        <f>IF(OR(D7="4",E7="4"),INDEX([14]NamesElementary!$E$1:$E$65536,MATCH($A7,[14]NamesElementary!$A$1:$A$65536,0),1),"-")</f>
        <v>-</v>
      </c>
      <c r="J7" s="124">
        <f>IF(OR(D7="4",E7="4"),"-",INDEX([14]Names!$N$1:$N$65602,MATCH(A7,[14]Names!$F$1:$F$65602,0),1))</f>
        <v>0</v>
      </c>
      <c r="K7" s="125" t="str">
        <f>IF(OR(D7="4",E7="4"),INDEX([14]NamesElementary!$G$1:$G$65536,MATCH(A7,[14]NamesElementary!$A$1:$A$65536,0),1),INDEX([14]Names!$O$1:$O$65602,MATCH(A7,[14]Names!$F$1:$F$65602,0),1))</f>
        <v>kg</v>
      </c>
      <c r="L7" s="165">
        <f t="shared" ref="L7:L17" si="0">AG7*L$39</f>
        <v>2.4634129768204329</v>
      </c>
      <c r="M7" s="29">
        <f t="shared" ref="M7:O23" si="1">Q7</f>
        <v>1</v>
      </c>
      <c r="N7" s="1">
        <f t="shared" si="1"/>
        <v>2.0482753016103628</v>
      </c>
      <c r="O7" s="139" t="str">
        <f t="shared" si="1"/>
        <v>(1,2,1,1,1,na); Literature and own estimations</v>
      </c>
      <c r="P7" s="165" t="e">
        <f t="shared" ref="P7:P17" si="2">AL7*P$39</f>
        <v>#REF!</v>
      </c>
      <c r="Q7" s="29">
        <f t="shared" ref="Q7:S23" si="3">U7</f>
        <v>1</v>
      </c>
      <c r="R7" s="1">
        <f t="shared" si="3"/>
        <v>2.0482753016103628</v>
      </c>
      <c r="S7" s="139" t="str">
        <f t="shared" si="3"/>
        <v>(1,2,1,1,1,na); Literature and own estimations</v>
      </c>
      <c r="T7" s="165">
        <f t="shared" ref="T7:T15" si="4">AO7*T$39</f>
        <v>3.2851579913400935</v>
      </c>
      <c r="U7" s="29">
        <f t="shared" ref="U7:W23" si="5">Y7</f>
        <v>1</v>
      </c>
      <c r="V7" s="1">
        <f t="shared" si="5"/>
        <v>2.0482753016103628</v>
      </c>
      <c r="W7" s="139" t="str">
        <f t="shared" si="5"/>
        <v>(1,2,1,1,1,na); Literature and own estimations</v>
      </c>
      <c r="X7" s="165" t="e">
        <f t="shared" ref="X7:X15" si="6">AW7*X$39</f>
        <v>#REF!</v>
      </c>
      <c r="Y7" s="29">
        <f t="shared" ref="Y7:AA23" si="7">AC7</f>
        <v>1</v>
      </c>
      <c r="Z7" s="1">
        <f t="shared" si="7"/>
        <v>2.0482753016103628</v>
      </c>
      <c r="AA7" s="139" t="str">
        <f t="shared" si="7"/>
        <v>(1,2,1,1,1,na); Literature and own estimations</v>
      </c>
      <c r="AB7" s="165" t="e">
        <f>BI7*AB$39</f>
        <v>#REF!</v>
      </c>
      <c r="AC7" s="29">
        <v>1</v>
      </c>
      <c r="AD7" s="1">
        <f t="shared" ref="AD7:AD23" si="8">EXP(SQRT((LN(BY7)^2)+(LN(BY$24)^2)))</f>
        <v>2.0482753016103628</v>
      </c>
      <c r="AE7" s="31" t="str">
        <f t="shared" ref="AE7:AE23" si="9">BZ7&amp;"; "&amp;BO7</f>
        <v>(1,2,1,1,1,na); Literature and own estimations</v>
      </c>
      <c r="AF7" s="331">
        <v>72</v>
      </c>
      <c r="AG7" s="251">
        <f t="shared" ref="AG7:AG23" si="10">AF7/AF$32</f>
        <v>3.2727272727272729</v>
      </c>
      <c r="AH7" s="377" t="s">
        <v>384</v>
      </c>
      <c r="AI7" s="409">
        <f>L7</f>
        <v>2.4634129768204329</v>
      </c>
      <c r="AJ7" s="378">
        <v>2.9</v>
      </c>
      <c r="AK7" s="331">
        <v>75</v>
      </c>
      <c r="AL7" s="251">
        <f t="shared" ref="AL7:AL23" si="11">AK7/AK$32</f>
        <v>3.4090909090909092</v>
      </c>
      <c r="AM7" s="331">
        <v>74.7</v>
      </c>
      <c r="AN7" s="251">
        <f t="shared" ref="AN7:AN23" si="12">AM7/AM$32</f>
        <v>3.074074074074074</v>
      </c>
      <c r="AO7" s="165">
        <f>AVERAGE(AR7:AT7)</f>
        <v>6.2473723645836934</v>
      </c>
      <c r="AP7" s="355" t="s">
        <v>384</v>
      </c>
      <c r="AQ7" s="409">
        <f>T7</f>
        <v>3.2851579913400935</v>
      </c>
      <c r="AR7" s="378">
        <v>5</v>
      </c>
      <c r="AS7" s="378">
        <v>5.9</v>
      </c>
      <c r="AT7" s="378">
        <f>1389/142.8-AT13</f>
        <v>7.8421170937510798</v>
      </c>
      <c r="AU7" s="331">
        <v>43.2</v>
      </c>
      <c r="AV7" s="251">
        <f t="shared" ref="AV7:AV23" si="13">AU7/AU$32</f>
        <v>1.9636363636363638</v>
      </c>
      <c r="AW7" s="165">
        <f>AVERAGE(AZ7:BF7)</f>
        <v>1.8368253968253969</v>
      </c>
      <c r="AX7" s="355" t="s">
        <v>384</v>
      </c>
      <c r="AY7" s="408" t="e">
        <f>X7</f>
        <v>#REF!</v>
      </c>
      <c r="AZ7" s="392">
        <f>(12.8*0.865+16*0.045)/AZ33</f>
        <v>1.6377777777777782</v>
      </c>
      <c r="BA7" s="394">
        <v>0.54</v>
      </c>
      <c r="BB7" s="392">
        <v>2.1</v>
      </c>
      <c r="BC7" s="392">
        <f>2.6-BC13</f>
        <v>1.8800000000000001</v>
      </c>
      <c r="BD7" s="394">
        <v>0.97</v>
      </c>
      <c r="BE7" s="392">
        <v>3</v>
      </c>
      <c r="BF7" s="392">
        <v>2.73</v>
      </c>
      <c r="BG7" s="331">
        <v>88</v>
      </c>
      <c r="BH7" s="251">
        <f>BG7/BG$32</f>
        <v>4</v>
      </c>
      <c r="BI7" s="165">
        <f>AVERAGE(BL7:BN7)</f>
        <v>1.6987962962962964</v>
      </c>
      <c r="BJ7" s="355" t="s">
        <v>384</v>
      </c>
      <c r="BK7" s="408" t="e">
        <f>AB7</f>
        <v>#REF!</v>
      </c>
      <c r="BL7" s="392">
        <f>1.567/BL$33</f>
        <v>2.1763888888888889</v>
      </c>
      <c r="BM7" s="392">
        <v>1.71</v>
      </c>
      <c r="BN7" s="392">
        <v>1.21</v>
      </c>
      <c r="BO7" s="86" t="s">
        <v>670</v>
      </c>
      <c r="BP7" s="10">
        <v>1</v>
      </c>
      <c r="BQ7" s="50">
        <v>2</v>
      </c>
      <c r="BR7" s="50">
        <v>1</v>
      </c>
      <c r="BS7" s="50">
        <v>1</v>
      </c>
      <c r="BT7" s="50">
        <v>1</v>
      </c>
      <c r="BU7" s="50" t="s">
        <v>271</v>
      </c>
      <c r="BV7" s="50">
        <f>IF(OR($D7="4",$E7="4"),INDEX([14]NamesElementary!$J$1:$J$65536,MATCH($A7,[14]NamesElementary!$A$1:$A$65536,0),1),INDEX([14]Names!$W$1:$W$65602,MATCH($A7,[14]Names!$F$1:$F$65602,0),1))</f>
        <v>3</v>
      </c>
      <c r="BW7" s="312">
        <v>2</v>
      </c>
      <c r="BX7" s="87">
        <f t="shared" ref="BX7:BX23" si="14">EXP(SQRT((LN(CB7)^2)+(LN(CC7)^2)+(LN(CD7)^2)+(LN(CE7)^2)+(LN(CF7)^2)+(LN(CG7)^2)))</f>
        <v>1.02</v>
      </c>
      <c r="BY7" s="87">
        <f t="shared" ref="BY7:BY23" si="15">EXP(SQRT((LN(CB7)^2)+(LN(CC7)^2)+(LN(CD7)^2)+(LN(CE7)^2)+(LN(CF7)^2)+(LN(CG7)^2)+LN(BW7)^2))</f>
        <v>2.0005657088721378</v>
      </c>
      <c r="BZ7" s="89" t="str">
        <f t="shared" ref="BZ7:BZ23" si="16">CONCATENATE("(",BP7,",",BQ7,",",BR7,",",BS7,",",BT7,",",BU7,")")</f>
        <v>(1,2,1,1,1,na)</v>
      </c>
      <c r="CB7" s="52">
        <f>IF(BP7=1,'[14]SDG^2 values'!$B$4,IF(BP7=2,'[14]SDG^2 values'!$C$4,IF(BP7=3,'[14]SDG^2 values'!$D$4,IF(BP7=4,'[14]SDG^2 values'!$E$4,IF(BP7=5,'[14]SDG^2 values'!$F$4,1)))))</f>
        <v>1</v>
      </c>
      <c r="CC7" s="52">
        <f>IF(BQ7=1,'[14]SDG^2 values'!$B$5,IF(BQ7=2,'[14]SDG^2 values'!$C$5,IF(BQ7=3,'[14]SDG^2 values'!$D$5,IF(BQ7=4,'[14]SDG^2 values'!$E$5,IF(BQ7=5,'[14]SDG^2 values'!$F$5,1)))))</f>
        <v>1.02</v>
      </c>
      <c r="CD7" s="52">
        <f>IF(BR7=1,'[14]SDG^2 values'!$B$6,IF(BR7=2,'[14]SDG^2 values'!$C$6,IF(BR7=3,'[14]SDG^2 values'!$D$6,IF(BR7=4,'[14]SDG^2 values'!$E$6,IF(BR7=5,'[14]SDG^2 values'!$F$6,1)))))</f>
        <v>1</v>
      </c>
      <c r="CE7" s="52">
        <f>IF(BS7=1,'[14]SDG^2 values'!$B$7,IF(BS7=2,'[14]SDG^2 values'!$C$7,IF(BS7=3,'[14]SDG^2 values'!$D$7,IF(BS7=4,'[14]SDG^2 values'!$E$7,IF(BS7=5,'[14]SDG^2 values'!$F$7,1)))))</f>
        <v>1</v>
      </c>
      <c r="CF7" s="52">
        <f>IF(BT7=1,'[14]SDG^2 values'!$B$8,IF(BT7=2,'[14]SDG^2 values'!$C$8,IF(BT7=3,'[14]SDG^2 values'!$D$8,IF(BT7=4,'[14]SDG^2 values'!$E$8,IF(BT7=5,'[14]SDG^2 values'!$F$8,1)))))</f>
        <v>1</v>
      </c>
      <c r="CG7" s="52">
        <f>IF(BU7=1,'[14]SDG^2 values'!$B$9,IF(BU7=2,'[14]SDG^2 values'!$C$9,IF(BU7=3,'[14]SDG^2 values'!$D$9,IF(BU7=4,'[14]SDG^2 values'!$E$9,IF(BU7=5,'[14]SDG^2 values'!$F$9,1)))))</f>
        <v>1</v>
      </c>
    </row>
    <row r="8" spans="1:85" ht="12.75">
      <c r="A8" s="2">
        <v>1198</v>
      </c>
      <c r="B8" s="168" t="s">
        <v>525</v>
      </c>
      <c r="C8" s="151" t="s">
        <v>525</v>
      </c>
      <c r="D8" s="152" t="s">
        <v>526</v>
      </c>
      <c r="E8" s="153" t="s">
        <v>402</v>
      </c>
      <c r="F8" s="144" t="str">
        <f>IF(OR(D8="4",E8="4"),INDEX([14]NamesElementary!$B$1:$B$65536,MATCH(A8,[14]NamesElementary!$A$1:$A$65536,0),1),INDEX([14]Names!$J$1:$J$65602,MATCH(A8,[14]Names!$F$1:$F$65602,0),1))</f>
        <v>corrugated board, mixed fibre, single wall, at plant</v>
      </c>
      <c r="G8" s="125" t="str">
        <f>IF(OR(D8="4",E8="4"),"-",INDEX([14]Names!$K$1:$K$65602,MATCH(A8,[14]Names!$F$1:$F$65602,0),1))</f>
        <v>RER</v>
      </c>
      <c r="H8" s="164" t="str">
        <f>IF(OR(D8="4",E8="4"),INDEX([14]NamesElementary!$D$1:$D$65536,MATCH($A8,[14]NamesElementary!$A$1:$A$65536,0),1),"-")</f>
        <v>-</v>
      </c>
      <c r="I8" s="123" t="str">
        <f>IF(OR(D8="4",E8="4"),INDEX([14]NamesElementary!$E$1:$E$65536,MATCH($A8,[14]NamesElementary!$A$1:$A$65536,0),1),"-")</f>
        <v>-</v>
      </c>
      <c r="J8" s="124">
        <f>IF(OR(D8="4",E8="4"),"-",INDEX([14]Names!$N$1:$N$65602,MATCH(A8,[14]Names!$F$1:$F$65602,0),1))</f>
        <v>0</v>
      </c>
      <c r="K8" s="125" t="str">
        <f>IF(OR(D8="4",E8="4"),INDEX([14]NamesElementary!$G$1:$G$65536,MATCH(A8,[14]NamesElementary!$A$1:$A$65536,0),1),INDEX([14]Names!$O$1:$O$65602,MATCH(A8,[14]Names!$F$1:$F$65602,0),1))</f>
        <v>kg</v>
      </c>
      <c r="L8" s="165">
        <f t="shared" si="0"/>
        <v>3.7635476034756615E-2</v>
      </c>
      <c r="M8" s="29">
        <f t="shared" si="1"/>
        <v>1</v>
      </c>
      <c r="N8" s="1">
        <f t="shared" si="1"/>
        <v>2.1801136974489768</v>
      </c>
      <c r="O8" s="139" t="str">
        <f t="shared" si="1"/>
        <v>(3,4,3,1,3,5); Schwarz et al. 1992</v>
      </c>
      <c r="P8" s="165" t="e">
        <f t="shared" si="2"/>
        <v>#REF!</v>
      </c>
      <c r="Q8" s="29">
        <f t="shared" si="3"/>
        <v>1</v>
      </c>
      <c r="R8" s="1">
        <f t="shared" si="3"/>
        <v>2.1801136974489768</v>
      </c>
      <c r="S8" s="139" t="str">
        <f t="shared" si="3"/>
        <v>(3,4,3,1,3,5); Schwarz et al. 1992</v>
      </c>
      <c r="T8" s="165">
        <f t="shared" si="4"/>
        <v>2.3803744501945598E-2</v>
      </c>
      <c r="U8" s="29">
        <f t="shared" si="5"/>
        <v>1</v>
      </c>
      <c r="V8" s="1">
        <f t="shared" si="5"/>
        <v>2.1801136974489768</v>
      </c>
      <c r="W8" s="139" t="str">
        <f t="shared" si="5"/>
        <v>(3,4,3,1,3,5); Schwarz et al. 1992</v>
      </c>
      <c r="X8" s="165" t="e">
        <f t="shared" si="6"/>
        <v>#REF!</v>
      </c>
      <c r="Y8" s="29">
        <f t="shared" si="7"/>
        <v>1</v>
      </c>
      <c r="Z8" s="1">
        <f t="shared" si="7"/>
        <v>2.1801136974489768</v>
      </c>
      <c r="AA8" s="139" t="str">
        <f t="shared" si="7"/>
        <v>(3,4,3,1,3,5); Schwarz et al. 1992</v>
      </c>
      <c r="AB8" s="165" t="e">
        <f>BG8*AB$39/BG$28</f>
        <v>#REF!</v>
      </c>
      <c r="AC8" s="29">
        <v>1</v>
      </c>
      <c r="AD8" s="1">
        <f t="shared" si="8"/>
        <v>2.1801136974489768</v>
      </c>
      <c r="AE8" s="31" t="str">
        <f t="shared" si="9"/>
        <v>(3,4,3,1,3,5); Schwarz et al. 1992</v>
      </c>
      <c r="AF8" s="331">
        <v>1.1000000000000001</v>
      </c>
      <c r="AG8" s="251">
        <f t="shared" si="10"/>
        <v>0.05</v>
      </c>
      <c r="AH8" s="251"/>
      <c r="AI8" s="251"/>
      <c r="AJ8" s="209"/>
      <c r="AK8" s="331">
        <v>0</v>
      </c>
      <c r="AL8" s="251">
        <f t="shared" si="11"/>
        <v>0</v>
      </c>
      <c r="AM8" s="331">
        <v>1.1000000000000001</v>
      </c>
      <c r="AN8" s="251">
        <f t="shared" si="12"/>
        <v>4.5267489711934158E-2</v>
      </c>
      <c r="AO8" s="165">
        <f>AN8</f>
        <v>4.5267489711934158E-2</v>
      </c>
      <c r="AQ8" s="347"/>
      <c r="AR8" s="209"/>
      <c r="AS8" s="209"/>
      <c r="AT8" s="209"/>
      <c r="AU8" s="331">
        <v>1.9</v>
      </c>
      <c r="AV8" s="251">
        <f t="shared" si="13"/>
        <v>8.6363636363636365E-2</v>
      </c>
      <c r="AW8" s="165">
        <f>AV8</f>
        <v>8.6363636363636365E-2</v>
      </c>
      <c r="AZ8" s="376"/>
      <c r="BA8" s="376"/>
      <c r="BB8" s="376"/>
      <c r="BC8" s="376"/>
      <c r="BD8" s="376"/>
      <c r="BE8" s="376"/>
      <c r="BF8" s="376"/>
      <c r="BG8" s="331">
        <v>1.9</v>
      </c>
      <c r="BH8" s="251"/>
      <c r="BI8" s="165"/>
      <c r="BK8" s="410"/>
      <c r="BL8" s="376"/>
      <c r="BM8" s="376"/>
      <c r="BN8" s="376"/>
      <c r="BO8" s="86" t="s">
        <v>373</v>
      </c>
      <c r="BP8" s="10">
        <v>3</v>
      </c>
      <c r="BQ8" s="50">
        <v>4</v>
      </c>
      <c r="BR8" s="50">
        <v>3</v>
      </c>
      <c r="BS8" s="50">
        <v>1</v>
      </c>
      <c r="BT8" s="50">
        <v>3</v>
      </c>
      <c r="BU8" s="50">
        <v>5</v>
      </c>
      <c r="BV8" s="50">
        <f>IF(OR($D8="4",$E8="4"),INDEX([14]NamesElementary!$J$1:$J$65536,MATCH($A8,[14]NamesElementary!$A$1:$A$65536,0),1),INDEX([14]Names!$W$1:$W$65602,MATCH($A8,[14]Names!$F$1:$F$65602,0),1))</f>
        <v>3</v>
      </c>
      <c r="BW8" s="51">
        <f>BW$7</f>
        <v>2</v>
      </c>
      <c r="BX8" s="87">
        <f t="shared" si="14"/>
        <v>1.3582005896413567</v>
      </c>
      <c r="BY8" s="87">
        <f t="shared" si="15"/>
        <v>2.1334738054081499</v>
      </c>
      <c r="BZ8" s="89" t="str">
        <f t="shared" si="16"/>
        <v>(3,4,3,1,3,5)</v>
      </c>
      <c r="CB8" s="52">
        <f>IF(BP8=1,'[14]SDG^2 values'!$B$4,IF(BP8=2,'[14]SDG^2 values'!$C$4,IF(BP8=3,'[14]SDG^2 values'!$D$4,IF(BP8=4,'[14]SDG^2 values'!$E$4,IF(BP8=5,'[14]SDG^2 values'!$F$4,1)))))</f>
        <v>1.1000000000000001</v>
      </c>
      <c r="CC8" s="52">
        <f>IF(BQ8=1,'[14]SDG^2 values'!$B$5,IF(BQ8=2,'[14]SDG^2 values'!$C$5,IF(BQ8=3,'[14]SDG^2 values'!$D$5,IF(BQ8=4,'[14]SDG^2 values'!$E$5,IF(BQ8=5,'[14]SDG^2 values'!$F$5,1)))))</f>
        <v>1.1000000000000001</v>
      </c>
      <c r="CD8" s="52">
        <f>IF(BR8=1,'[14]SDG^2 values'!$B$6,IF(BR8=2,'[14]SDG^2 values'!$C$6,IF(BR8=3,'[14]SDG^2 values'!$D$6,IF(BR8=4,'[14]SDG^2 values'!$E$6,IF(BR8=5,'[14]SDG^2 values'!$F$6,1)))))</f>
        <v>1.1000000000000001</v>
      </c>
      <c r="CE8" s="52">
        <f>IF(BS8=1,'[14]SDG^2 values'!$B$7,IF(BS8=2,'[14]SDG^2 values'!$C$7,IF(BS8=3,'[14]SDG^2 values'!$D$7,IF(BS8=4,'[14]SDG^2 values'!$E$7,IF(BS8=5,'[14]SDG^2 values'!$F$7,1)))))</f>
        <v>1</v>
      </c>
      <c r="CF8" s="52">
        <f>IF(BT8=1,'[14]SDG^2 values'!$B$8,IF(BT8=2,'[14]SDG^2 values'!$C$8,IF(BT8=3,'[14]SDG^2 values'!$D$8,IF(BT8=4,'[14]SDG^2 values'!$E$8,IF(BT8=5,'[14]SDG^2 values'!$F$8,1)))))</f>
        <v>1.2</v>
      </c>
      <c r="CG8" s="52">
        <f>IF(BU8=1,'[14]SDG^2 values'!$B$9,IF(BU8=2,'[14]SDG^2 values'!$C$9,IF(BU8=3,'[14]SDG^2 values'!$D$9,IF(BU8=4,'[14]SDG^2 values'!$E$9,IF(BU8=5,'[14]SDG^2 values'!$F$9,1)))))</f>
        <v>1.2</v>
      </c>
    </row>
    <row r="9" spans="1:85" ht="24">
      <c r="A9" s="156">
        <v>1259</v>
      </c>
      <c r="B9" s="168" t="s">
        <v>525</v>
      </c>
      <c r="C9" s="151" t="s">
        <v>525</v>
      </c>
      <c r="D9" s="152" t="s">
        <v>526</v>
      </c>
      <c r="E9" s="153" t="s">
        <v>402</v>
      </c>
      <c r="F9" s="144" t="str">
        <f>IF(OR(D9="4",E9="4"),INDEX([14]NamesElementary!$B$1:$B$65536,MATCH(A9,[14]NamesElementary!$A$1:$A$65536,0),1),INDEX([14]Names!$J$1:$J$65602,MATCH(A9,[14]Names!$F$1:$F$65602,0),1))</f>
        <v>polyethylene, HDPE, granulate, at plant</v>
      </c>
      <c r="G9" s="125" t="str">
        <f>IF(OR(D9="4",E9="4"),"-",INDEX([14]Names!$K$1:$K$65602,MATCH(A9,[14]Names!$F$1:$F$65602,0),1))</f>
        <v>RER</v>
      </c>
      <c r="H9" s="164" t="str">
        <f>IF(OR(D9="4",E9="4"),INDEX([14]NamesElementary!$D$1:$D$65536,MATCH($A9,[14]NamesElementary!$A$1:$A$65536,0),1),"-")</f>
        <v>-</v>
      </c>
      <c r="I9" s="123" t="str">
        <f>IF(OR(D9="4",E9="4"),INDEX([14]NamesElementary!$E$1:$E$65536,MATCH($A9,[14]NamesElementary!$A$1:$A$65536,0),1),"-")</f>
        <v>-</v>
      </c>
      <c r="J9" s="124">
        <f>IF(OR(D9="4",E9="4"),"-",INDEX([14]Names!$N$1:$N$65602,MATCH(A9,[14]Names!$F$1:$F$65602,0),1))</f>
        <v>0</v>
      </c>
      <c r="K9" s="125" t="str">
        <f>IF(OR(D9="4",E9="4"),INDEX([14]NamesElementary!$G$1:$G$65536,MATCH(A9,[14]NamesElementary!$A$1:$A$65536,0),1),INDEX([14]Names!$O$1:$O$65602,MATCH(A9,[14]Names!$F$1:$F$65602,0),1))</f>
        <v>kg</v>
      </c>
      <c r="L9" s="165">
        <f t="shared" si="0"/>
        <v>6.842813824501202E-4</v>
      </c>
      <c r="M9" s="29">
        <f t="shared" si="1"/>
        <v>1</v>
      </c>
      <c r="N9" s="1">
        <f t="shared" si="1"/>
        <v>2.0482753016103628</v>
      </c>
      <c r="O9" s="139" t="str">
        <f t="shared" si="1"/>
        <v>(1,2,1,1,1,na); Literature and own estimations, recycled PE</v>
      </c>
      <c r="P9" s="165" t="e">
        <f t="shared" si="2"/>
        <v>#REF!</v>
      </c>
      <c r="Q9" s="29">
        <f t="shared" si="3"/>
        <v>1</v>
      </c>
      <c r="R9" s="1">
        <f t="shared" si="3"/>
        <v>2.0482753016103628</v>
      </c>
      <c r="S9" s="139" t="str">
        <f t="shared" si="3"/>
        <v>(1,2,1,1,1,na); Literature and own estimations, recycled PE</v>
      </c>
      <c r="T9" s="165">
        <f t="shared" si="4"/>
        <v>2.5065342960548711</v>
      </c>
      <c r="U9" s="29">
        <f t="shared" si="5"/>
        <v>1</v>
      </c>
      <c r="V9" s="1">
        <f t="shared" si="5"/>
        <v>2.0482753016103628</v>
      </c>
      <c r="W9" s="139" t="str">
        <f t="shared" si="5"/>
        <v>(1,2,1,1,1,na); Literature and own estimations, recycled PE</v>
      </c>
      <c r="X9" s="165" t="e">
        <f t="shared" si="6"/>
        <v>#REF!</v>
      </c>
      <c r="Y9" s="29">
        <f t="shared" si="7"/>
        <v>1</v>
      </c>
      <c r="Z9" s="1">
        <f t="shared" si="7"/>
        <v>2.0482753016103628</v>
      </c>
      <c r="AA9" s="139" t="str">
        <f t="shared" si="7"/>
        <v>(1,2,1,1,1,na); Literature and own estimations, recycled PE</v>
      </c>
      <c r="AB9" s="165" t="e">
        <f>BI9*AB$39</f>
        <v>#REF!</v>
      </c>
      <c r="AC9" s="29">
        <v>1</v>
      </c>
      <c r="AD9" s="1">
        <f t="shared" si="8"/>
        <v>2.0482753016103628</v>
      </c>
      <c r="AE9" s="31" t="str">
        <f t="shared" si="9"/>
        <v>(1,2,1,1,1,na); Literature and own estimations, recycled PE</v>
      </c>
      <c r="AF9" s="331">
        <v>0.02</v>
      </c>
      <c r="AG9" s="251">
        <f t="shared" si="10"/>
        <v>9.0909090909090909E-4</v>
      </c>
      <c r="AH9" s="251"/>
      <c r="AI9" s="251"/>
      <c r="AJ9" s="209"/>
      <c r="AK9" s="331">
        <v>0</v>
      </c>
      <c r="AL9" s="251">
        <f t="shared" si="11"/>
        <v>0</v>
      </c>
      <c r="AM9" s="331">
        <v>0.02</v>
      </c>
      <c r="AN9" s="251">
        <f t="shared" si="12"/>
        <v>8.2304526748971192E-4</v>
      </c>
      <c r="AO9" s="165">
        <f>AVERAGE(AR9:AT9)</f>
        <v>4.7666666666666666</v>
      </c>
      <c r="AP9" s="355" t="s">
        <v>386</v>
      </c>
      <c r="AQ9" s="409">
        <f>T9</f>
        <v>2.5065342960548711</v>
      </c>
      <c r="AR9" s="378">
        <v>8</v>
      </c>
      <c r="AS9" s="378">
        <v>6.3</v>
      </c>
      <c r="AT9" s="378">
        <v>0</v>
      </c>
      <c r="AU9" s="331">
        <v>0.02</v>
      </c>
      <c r="AV9" s="251">
        <f t="shared" si="13"/>
        <v>9.0909090909090909E-4</v>
      </c>
      <c r="AW9" s="165">
        <f>AV9</f>
        <v>9.0909090909090909E-4</v>
      </c>
      <c r="AZ9" s="376"/>
      <c r="BA9" s="376"/>
      <c r="BB9" s="376"/>
      <c r="BC9" s="376"/>
      <c r="BD9" s="376"/>
      <c r="BE9" s="376"/>
      <c r="BF9" s="376"/>
      <c r="BG9" s="331">
        <v>0.02</v>
      </c>
      <c r="BH9" s="251">
        <f t="shared" ref="BH9:BH23" si="17">BG9/BG$32</f>
        <v>9.0909090909090909E-4</v>
      </c>
      <c r="BI9" s="165">
        <f>AVERAGE(BL9:BN9)</f>
        <v>2.1296296296296296E-2</v>
      </c>
      <c r="BJ9" s="355" t="s">
        <v>386</v>
      </c>
      <c r="BK9" s="411" t="e">
        <f>AB9</f>
        <v>#REF!</v>
      </c>
      <c r="BL9" s="393">
        <f>0.023/BL$33</f>
        <v>3.1944444444444442E-2</v>
      </c>
      <c r="BM9" s="393">
        <f>0.023/BM$33</f>
        <v>3.1944444444444442E-2</v>
      </c>
      <c r="BN9" s="392">
        <v>0</v>
      </c>
      <c r="BO9" s="86" t="s">
        <v>224</v>
      </c>
      <c r="BP9" s="10">
        <f>BP$7</f>
        <v>1</v>
      </c>
      <c r="BQ9" s="10">
        <f t="shared" ref="BQ9:BU13" si="18">BQ$7</f>
        <v>2</v>
      </c>
      <c r="BR9" s="10">
        <f t="shared" si="18"/>
        <v>1</v>
      </c>
      <c r="BS9" s="10">
        <f t="shared" si="18"/>
        <v>1</v>
      </c>
      <c r="BT9" s="10">
        <f t="shared" si="18"/>
        <v>1</v>
      </c>
      <c r="BU9" s="10" t="str">
        <f t="shared" si="18"/>
        <v>na</v>
      </c>
      <c r="BV9" s="50">
        <f>IF(OR($D9="4",$E9="4"),INDEX([14]NamesElementary!$J$1:$J$65536,MATCH($A9,[14]NamesElementary!$A$1:$A$65536,0),1),INDEX([14]Names!$W$1:$W$65602,MATCH($A9,[14]Names!$F$1:$F$65602,0),1))</f>
        <v>3</v>
      </c>
      <c r="BW9" s="51">
        <f t="shared" ref="BW9:BW17" si="19">BW$7</f>
        <v>2</v>
      </c>
      <c r="BX9" s="87">
        <f t="shared" si="14"/>
        <v>1.02</v>
      </c>
      <c r="BY9" s="87">
        <f t="shared" si="15"/>
        <v>2.0005657088721378</v>
      </c>
      <c r="BZ9" s="89" t="str">
        <f t="shared" si="16"/>
        <v>(1,2,1,1,1,na)</v>
      </c>
      <c r="CB9" s="52">
        <f>IF(BP9=1,'[14]SDG^2 values'!$B$4,IF(BP9=2,'[14]SDG^2 values'!$C$4,IF(BP9=3,'[14]SDG^2 values'!$D$4,IF(BP9=4,'[14]SDG^2 values'!$E$4,IF(BP9=5,'[14]SDG^2 values'!$F$4,1)))))</f>
        <v>1</v>
      </c>
      <c r="CC9" s="52">
        <f>IF(BQ9=1,'[14]SDG^2 values'!$B$5,IF(BQ9=2,'[14]SDG^2 values'!$C$5,IF(BQ9=3,'[14]SDG^2 values'!$D$5,IF(BQ9=4,'[14]SDG^2 values'!$E$5,IF(BQ9=5,'[14]SDG^2 values'!$F$5,1)))))</f>
        <v>1.02</v>
      </c>
      <c r="CD9" s="52">
        <f>IF(BR9=1,'[14]SDG^2 values'!$B$6,IF(BR9=2,'[14]SDG^2 values'!$C$6,IF(BR9=3,'[14]SDG^2 values'!$D$6,IF(BR9=4,'[14]SDG^2 values'!$E$6,IF(BR9=5,'[14]SDG^2 values'!$F$6,1)))))</f>
        <v>1</v>
      </c>
      <c r="CE9" s="52">
        <f>IF(BS9=1,'[14]SDG^2 values'!$B$7,IF(BS9=2,'[14]SDG^2 values'!$C$7,IF(BS9=3,'[14]SDG^2 values'!$D$7,IF(BS9=4,'[14]SDG^2 values'!$E$7,IF(BS9=5,'[14]SDG^2 values'!$F$7,1)))))</f>
        <v>1</v>
      </c>
      <c r="CF9" s="52">
        <f>IF(BT9=1,'[14]SDG^2 values'!$B$8,IF(BT9=2,'[14]SDG^2 values'!$C$8,IF(BT9=3,'[14]SDG^2 values'!$D$8,IF(BT9=4,'[14]SDG^2 values'!$E$8,IF(BT9=5,'[14]SDG^2 values'!$F$8,1)))))</f>
        <v>1</v>
      </c>
      <c r="CG9" s="52">
        <f>IF(BU9=1,'[14]SDG^2 values'!$B$9,IF(BU9=2,'[14]SDG^2 values'!$C$9,IF(BU9=3,'[14]SDG^2 values'!$D$9,IF(BU9=4,'[14]SDG^2 values'!$E$9,IF(BU9=5,'[14]SDG^2 values'!$F$9,1)))))</f>
        <v>1</v>
      </c>
    </row>
    <row r="10" spans="1:85" ht="12.75">
      <c r="A10" s="156">
        <v>1266</v>
      </c>
      <c r="B10" s="168" t="s">
        <v>525</v>
      </c>
      <c r="C10" s="151" t="s">
        <v>525</v>
      </c>
      <c r="D10" s="152" t="s">
        <v>526</v>
      </c>
      <c r="E10" s="153" t="s">
        <v>402</v>
      </c>
      <c r="F10" s="144" t="str">
        <f>IF(OR(D10="4",E10="4"),INDEX([14]NamesElementary!$B$1:$B$65536,MATCH(A10,[14]NamesElementary!$A$1:$A$65536,0),1),INDEX([14]Names!$J$1:$J$65602,MATCH(A10,[14]Names!$F$1:$F$65602,0),1))</f>
        <v>polystyrene, high impact, HIPS, at plant</v>
      </c>
      <c r="G10" s="125" t="str">
        <f>IF(OR(D10="4",E10="4"),"-",INDEX([14]Names!$K$1:$K$65602,MATCH(A10,[14]Names!$F$1:$F$65602,0),1))</f>
        <v>RER</v>
      </c>
      <c r="H10" s="164" t="str">
        <f>IF(OR(D10="4",E10="4"),INDEX([14]NamesElementary!$D$1:$D$65536,MATCH($A10,[14]NamesElementary!$A$1:$A$65536,0),1),"-")</f>
        <v>-</v>
      </c>
      <c r="I10" s="123" t="str">
        <f>IF(OR(D10="4",E10="4"),INDEX([14]NamesElementary!$E$1:$E$65536,MATCH($A10,[14]NamesElementary!$A$1:$A$65536,0),1),"-")</f>
        <v>-</v>
      </c>
      <c r="J10" s="124">
        <f>IF(OR(D10="4",E10="4"),"-",INDEX([14]Names!$N$1:$N$65602,MATCH(A10,[14]Names!$F$1:$F$65602,0),1))</f>
        <v>0</v>
      </c>
      <c r="K10" s="125" t="str">
        <f>IF(OR(D10="4",E10="4"),INDEX([14]NamesElementary!$G$1:$G$65536,MATCH(A10,[14]NamesElementary!$A$1:$A$65536,0),1),INDEX([14]Names!$O$1:$O$65602,MATCH(A10,[14]Names!$F$1:$F$65602,0),1))</f>
        <v>kg</v>
      </c>
      <c r="L10" s="165">
        <f t="shared" si="0"/>
        <v>3.4214069122506015E-3</v>
      </c>
      <c r="M10" s="29">
        <f t="shared" si="1"/>
        <v>1</v>
      </c>
      <c r="N10" s="1">
        <f t="shared" si="1"/>
        <v>2.1801136974489768</v>
      </c>
      <c r="O10" s="139" t="str">
        <f t="shared" si="1"/>
        <v>(3,4,3,1,3,5); Schwarz et al. 1992</v>
      </c>
      <c r="P10" s="165" t="e">
        <f t="shared" si="2"/>
        <v>#REF!</v>
      </c>
      <c r="Q10" s="29">
        <f t="shared" si="3"/>
        <v>1</v>
      </c>
      <c r="R10" s="1">
        <f t="shared" si="3"/>
        <v>2.1801136974489768</v>
      </c>
      <c r="S10" s="139" t="str">
        <f t="shared" si="3"/>
        <v>(3,4,3,1,3,5); Schwarz et al. 1992</v>
      </c>
      <c r="T10" s="165">
        <f t="shared" si="4"/>
        <v>1.0819883864520726E-2</v>
      </c>
      <c r="U10" s="29">
        <f t="shared" si="5"/>
        <v>1</v>
      </c>
      <c r="V10" s="1">
        <f t="shared" si="5"/>
        <v>2.1801136974489768</v>
      </c>
      <c r="W10" s="139" t="str">
        <f t="shared" si="5"/>
        <v>(3,4,3,1,3,5); Schwarz et al. 1992</v>
      </c>
      <c r="X10" s="165" t="e">
        <f t="shared" si="6"/>
        <v>#REF!</v>
      </c>
      <c r="Y10" s="29">
        <f t="shared" si="7"/>
        <v>1</v>
      </c>
      <c r="Z10" s="1">
        <f t="shared" si="7"/>
        <v>2.1801136974489768</v>
      </c>
      <c r="AA10" s="139" t="str">
        <f t="shared" si="7"/>
        <v>(3,4,3,1,3,5); Schwarz et al. 1992</v>
      </c>
      <c r="AB10" s="165" t="e">
        <f>BG10*AB$39/BG$28</f>
        <v>#REF!</v>
      </c>
      <c r="AC10" s="29">
        <v>1</v>
      </c>
      <c r="AD10" s="1">
        <f t="shared" si="8"/>
        <v>2.1801136974489768</v>
      </c>
      <c r="AE10" s="31" t="str">
        <f t="shared" si="9"/>
        <v>(3,4,3,1,3,5); Schwarz et al. 1992</v>
      </c>
      <c r="AF10" s="331">
        <v>0.1</v>
      </c>
      <c r="AG10" s="251">
        <f t="shared" si="10"/>
        <v>4.5454545454545461E-3</v>
      </c>
      <c r="AH10" s="251"/>
      <c r="AI10" s="251"/>
      <c r="AJ10" s="209"/>
      <c r="AK10" s="331">
        <v>0</v>
      </c>
      <c r="AL10" s="251">
        <f t="shared" si="11"/>
        <v>0</v>
      </c>
      <c r="AM10" s="331">
        <v>0.5</v>
      </c>
      <c r="AN10" s="251">
        <f t="shared" si="12"/>
        <v>2.0576131687242798E-2</v>
      </c>
      <c r="AO10" s="165">
        <f>AN10</f>
        <v>2.0576131687242798E-2</v>
      </c>
      <c r="AQ10" s="347"/>
      <c r="AR10" s="209"/>
      <c r="AS10" s="209"/>
      <c r="AT10" s="209"/>
      <c r="AU10" s="331">
        <v>0.1</v>
      </c>
      <c r="AV10" s="251">
        <f t="shared" si="13"/>
        <v>4.5454545454545461E-3</v>
      </c>
      <c r="AW10" s="165">
        <f>AV10</f>
        <v>4.5454545454545461E-3</v>
      </c>
      <c r="AZ10" s="376"/>
      <c r="BA10" s="376"/>
      <c r="BB10" s="376"/>
      <c r="BC10" s="376"/>
      <c r="BD10" s="376"/>
      <c r="BE10" s="376"/>
      <c r="BF10" s="376"/>
      <c r="BG10" s="331">
        <v>0.1</v>
      </c>
      <c r="BH10" s="251">
        <f t="shared" si="17"/>
        <v>4.5454545454545461E-3</v>
      </c>
      <c r="BI10" s="165"/>
      <c r="BK10" s="410"/>
      <c r="BL10" s="376"/>
      <c r="BM10" s="376"/>
      <c r="BN10" s="376"/>
      <c r="BO10" s="86" t="s">
        <v>373</v>
      </c>
      <c r="BP10" s="10">
        <v>3</v>
      </c>
      <c r="BQ10" s="50">
        <v>4</v>
      </c>
      <c r="BR10" s="50">
        <v>3</v>
      </c>
      <c r="BS10" s="50">
        <v>1</v>
      </c>
      <c r="BT10" s="50">
        <v>3</v>
      </c>
      <c r="BU10" s="50">
        <v>5</v>
      </c>
      <c r="BV10" s="50">
        <f>IF(OR($D10="4",$E10="4"),INDEX([14]NamesElementary!$J$1:$J$65536,MATCH($A10,[14]NamesElementary!$A$1:$A$65536,0),1),INDEX([14]Names!$W$1:$W$65602,MATCH($A10,[14]Names!$F$1:$F$65602,0),1))</f>
        <v>3</v>
      </c>
      <c r="BW10" s="51">
        <f t="shared" si="19"/>
        <v>2</v>
      </c>
      <c r="BX10" s="87">
        <f t="shared" si="14"/>
        <v>1.3582005896413567</v>
      </c>
      <c r="BY10" s="87">
        <f t="shared" si="15"/>
        <v>2.1334738054081499</v>
      </c>
      <c r="BZ10" s="89" t="str">
        <f t="shared" si="16"/>
        <v>(3,4,3,1,3,5)</v>
      </c>
      <c r="CB10" s="52">
        <f>IF(BP10=1,'[14]SDG^2 values'!$B$4,IF(BP10=2,'[14]SDG^2 values'!$C$4,IF(BP10=3,'[14]SDG^2 values'!$D$4,IF(BP10=4,'[14]SDG^2 values'!$E$4,IF(BP10=5,'[14]SDG^2 values'!$F$4,1)))))</f>
        <v>1.1000000000000001</v>
      </c>
      <c r="CC10" s="52">
        <f>IF(BQ10=1,'[14]SDG^2 values'!$B$5,IF(BQ10=2,'[14]SDG^2 values'!$C$5,IF(BQ10=3,'[14]SDG^2 values'!$D$5,IF(BQ10=4,'[14]SDG^2 values'!$E$5,IF(BQ10=5,'[14]SDG^2 values'!$F$5,1)))))</f>
        <v>1.1000000000000001</v>
      </c>
      <c r="CD10" s="52">
        <f>IF(BR10=1,'[14]SDG^2 values'!$B$6,IF(BR10=2,'[14]SDG^2 values'!$C$6,IF(BR10=3,'[14]SDG^2 values'!$D$6,IF(BR10=4,'[14]SDG^2 values'!$E$6,IF(BR10=5,'[14]SDG^2 values'!$F$6,1)))))</f>
        <v>1.1000000000000001</v>
      </c>
      <c r="CE10" s="52">
        <f>IF(BS10=1,'[14]SDG^2 values'!$B$7,IF(BS10=2,'[14]SDG^2 values'!$C$7,IF(BS10=3,'[14]SDG^2 values'!$D$7,IF(BS10=4,'[14]SDG^2 values'!$E$7,IF(BS10=5,'[14]SDG^2 values'!$F$7,1)))))</f>
        <v>1</v>
      </c>
      <c r="CF10" s="52">
        <f>IF(BT10=1,'[14]SDG^2 values'!$B$8,IF(BT10=2,'[14]SDG^2 values'!$C$8,IF(BT10=3,'[14]SDG^2 values'!$D$8,IF(BT10=4,'[14]SDG^2 values'!$E$8,IF(BT10=5,'[14]SDG^2 values'!$F$8,1)))))</f>
        <v>1.2</v>
      </c>
      <c r="CG10" s="52">
        <f>IF(BU10=1,'[14]SDG^2 values'!$B$9,IF(BU10=2,'[14]SDG^2 values'!$C$9,IF(BU10=3,'[14]SDG^2 values'!$D$9,IF(BU10=4,'[14]SDG^2 values'!$E$9,IF(BU10=5,'[14]SDG^2 values'!$F$9,1)))))</f>
        <v>1.2</v>
      </c>
    </row>
    <row r="11" spans="1:85" ht="24">
      <c r="A11" s="156">
        <v>1270</v>
      </c>
      <c r="B11" s="168" t="s">
        <v>525</v>
      </c>
      <c r="C11" s="151" t="s">
        <v>525</v>
      </c>
      <c r="D11" s="152" t="s">
        <v>526</v>
      </c>
      <c r="E11" s="153" t="s">
        <v>402</v>
      </c>
      <c r="F11" s="144" t="str">
        <f>IF(OR(D11="4",E11="4"),INDEX([14]NamesElementary!$B$1:$B$65536,MATCH(A11,[14]NamesElementary!$A$1:$A$65536,0),1),INDEX([14]Names!$J$1:$J$65602,MATCH(A11,[14]Names!$F$1:$F$65602,0),1))</f>
        <v>polyurethane, flexible foam, at plant</v>
      </c>
      <c r="G11" s="125" t="str">
        <f>IF(OR(D11="4",E11="4"),"-",INDEX([14]Names!$K$1:$K$65602,MATCH(A11,[14]Names!$F$1:$F$65602,0),1))</f>
        <v>RER</v>
      </c>
      <c r="H11" s="164" t="str">
        <f>IF(OR(D11="4",E11="4"),INDEX([14]NamesElementary!$D$1:$D$65536,MATCH($A11,[14]NamesElementary!$A$1:$A$65536,0),1),"-")</f>
        <v>-</v>
      </c>
      <c r="I11" s="123" t="str">
        <f>IF(OR(D11="4",E11="4"),INDEX([14]NamesElementary!$E$1:$E$65536,MATCH($A11,[14]NamesElementary!$A$1:$A$65536,0),1),"-")</f>
        <v>-</v>
      </c>
      <c r="J11" s="124">
        <f>IF(OR(D11="4",E11="4"),"-",INDEX([14]Names!$N$1:$N$65602,MATCH(A11,[14]Names!$F$1:$F$65602,0),1))</f>
        <v>0</v>
      </c>
      <c r="K11" s="125" t="str">
        <f>IF(OR(D11="4",E11="4"),INDEX([14]NamesElementary!$G$1:$G$65536,MATCH(A11,[14]NamesElementary!$A$1:$A$65536,0),1),INDEX([14]Names!$O$1:$O$65602,MATCH(A11,[14]Names!$F$1:$F$65602,0),1))</f>
        <v>kg</v>
      </c>
      <c r="L11" s="165">
        <f t="shared" si="0"/>
        <v>0</v>
      </c>
      <c r="M11" s="29">
        <f t="shared" si="1"/>
        <v>1</v>
      </c>
      <c r="N11" s="1">
        <f t="shared" si="1"/>
        <v>2.0482753016103628</v>
      </c>
      <c r="O11" s="139" t="str">
        <f t="shared" si="1"/>
        <v>(1,2,1,1,1,na); Literature and own estimations</v>
      </c>
      <c r="P11" s="165" t="e">
        <f t="shared" si="2"/>
        <v>#REF!</v>
      </c>
      <c r="Q11" s="29">
        <f t="shared" si="3"/>
        <v>1</v>
      </c>
      <c r="R11" s="1">
        <f t="shared" si="3"/>
        <v>2.0482753016103628</v>
      </c>
      <c r="S11" s="139" t="str">
        <f t="shared" si="3"/>
        <v>(1,2,1,1,1,na); Literature and own estimations</v>
      </c>
      <c r="T11" s="165">
        <f t="shared" si="4"/>
        <v>0</v>
      </c>
      <c r="U11" s="29">
        <f t="shared" si="5"/>
        <v>1</v>
      </c>
      <c r="V11" s="1">
        <f t="shared" si="5"/>
        <v>2.0482753016103628</v>
      </c>
      <c r="W11" s="139" t="str">
        <f t="shared" si="5"/>
        <v>(1,2,1,1,1,na); Literature and own estimations</v>
      </c>
      <c r="X11" s="165" t="e">
        <f t="shared" si="6"/>
        <v>#REF!</v>
      </c>
      <c r="Y11" s="29">
        <f t="shared" si="7"/>
        <v>1</v>
      </c>
      <c r="Z11" s="1">
        <f t="shared" si="7"/>
        <v>2.0482753016103628</v>
      </c>
      <c r="AA11" s="139" t="str">
        <f t="shared" si="7"/>
        <v>(1,2,1,1,1,na); Literature and own estimations</v>
      </c>
      <c r="AB11" s="165" t="e">
        <f t="shared" ref="AB11:AB17" si="20">BI11*AB$39</f>
        <v>#REF!</v>
      </c>
      <c r="AC11" s="29">
        <v>1</v>
      </c>
      <c r="AD11" s="1">
        <f t="shared" si="8"/>
        <v>2.0482753016103628</v>
      </c>
      <c r="AE11" s="31" t="str">
        <f t="shared" si="9"/>
        <v>(1,2,1,1,1,na); Literature and own estimations</v>
      </c>
      <c r="AF11" s="331">
        <v>0</v>
      </c>
      <c r="AG11" s="251">
        <f t="shared" si="10"/>
        <v>0</v>
      </c>
      <c r="AH11" s="251"/>
      <c r="AI11" s="251"/>
      <c r="AJ11" s="209"/>
      <c r="AK11" s="331">
        <v>0</v>
      </c>
      <c r="AL11" s="251">
        <f t="shared" si="11"/>
        <v>0</v>
      </c>
      <c r="AM11" s="331">
        <v>4.5999999999999996</v>
      </c>
      <c r="AN11" s="251">
        <f t="shared" si="12"/>
        <v>0.18930041152263372</v>
      </c>
      <c r="AO11" s="165">
        <v>0</v>
      </c>
      <c r="AQ11" s="347"/>
      <c r="AR11" s="209"/>
      <c r="AS11" s="209"/>
      <c r="AT11" s="209"/>
      <c r="AU11" s="331">
        <v>0</v>
      </c>
      <c r="AV11" s="251">
        <f t="shared" si="13"/>
        <v>0</v>
      </c>
      <c r="AW11" s="165">
        <f>AV11</f>
        <v>0</v>
      </c>
      <c r="AZ11" s="376"/>
      <c r="BA11" s="376"/>
      <c r="BB11" s="376"/>
      <c r="BC11" s="376"/>
      <c r="BD11" s="376"/>
      <c r="BE11" s="376"/>
      <c r="BF11" s="376"/>
      <c r="BG11" s="331">
        <v>0</v>
      </c>
      <c r="BH11" s="251">
        <f t="shared" si="17"/>
        <v>0</v>
      </c>
      <c r="BI11" s="165">
        <f>AVERAGE(BL11:BN11)</f>
        <v>1.3888888888888888E-2</v>
      </c>
      <c r="BJ11" s="355" t="s">
        <v>387</v>
      </c>
      <c r="BK11" s="411" t="e">
        <f>AB11</f>
        <v>#REF!</v>
      </c>
      <c r="BL11" s="393">
        <f>0.03/BL$33</f>
        <v>4.1666666666666664E-2</v>
      </c>
      <c r="BM11" s="393">
        <v>0</v>
      </c>
      <c r="BN11" s="392">
        <v>0</v>
      </c>
      <c r="BO11" s="86" t="s">
        <v>670</v>
      </c>
      <c r="BP11" s="10">
        <f>BP$7</f>
        <v>1</v>
      </c>
      <c r="BQ11" s="10">
        <f t="shared" si="18"/>
        <v>2</v>
      </c>
      <c r="BR11" s="10">
        <f t="shared" si="18"/>
        <v>1</v>
      </c>
      <c r="BS11" s="10">
        <f t="shared" si="18"/>
        <v>1</v>
      </c>
      <c r="BT11" s="10">
        <f t="shared" si="18"/>
        <v>1</v>
      </c>
      <c r="BU11" s="10" t="str">
        <f t="shared" si="18"/>
        <v>na</v>
      </c>
      <c r="BV11" s="50">
        <f>IF(OR($D11="4",$E11="4"),INDEX([14]NamesElementary!$J$1:$J$65536,MATCH($A11,[14]NamesElementary!$A$1:$A$65536,0),1),INDEX([14]Names!$W$1:$W$65602,MATCH($A11,[14]Names!$F$1:$F$65602,0),1))</f>
        <v>3</v>
      </c>
      <c r="BW11" s="51">
        <f t="shared" si="19"/>
        <v>2</v>
      </c>
      <c r="BX11" s="87">
        <f t="shared" si="14"/>
        <v>1.02</v>
      </c>
      <c r="BY11" s="87">
        <f t="shared" si="15"/>
        <v>2.0005657088721378</v>
      </c>
      <c r="BZ11" s="89" t="str">
        <f t="shared" si="16"/>
        <v>(1,2,1,1,1,na)</v>
      </c>
      <c r="CB11" s="52">
        <f>IF(BP11=1,'[14]SDG^2 values'!$B$4,IF(BP11=2,'[14]SDG^2 values'!$C$4,IF(BP11=3,'[14]SDG^2 values'!$D$4,IF(BP11=4,'[14]SDG^2 values'!$E$4,IF(BP11=5,'[14]SDG^2 values'!$F$4,1)))))</f>
        <v>1</v>
      </c>
      <c r="CC11" s="52">
        <f>IF(BQ11=1,'[14]SDG^2 values'!$B$5,IF(BQ11=2,'[14]SDG^2 values'!$C$5,IF(BQ11=3,'[14]SDG^2 values'!$D$5,IF(BQ11=4,'[14]SDG^2 values'!$E$5,IF(BQ11=5,'[14]SDG^2 values'!$F$5,1)))))</f>
        <v>1.02</v>
      </c>
      <c r="CD11" s="52">
        <f>IF(BR11=1,'[14]SDG^2 values'!$B$6,IF(BR11=2,'[14]SDG^2 values'!$C$6,IF(BR11=3,'[14]SDG^2 values'!$D$6,IF(BR11=4,'[14]SDG^2 values'!$E$6,IF(BR11=5,'[14]SDG^2 values'!$F$6,1)))))</f>
        <v>1</v>
      </c>
      <c r="CE11" s="52">
        <f>IF(BS11=1,'[14]SDG^2 values'!$B$7,IF(BS11=2,'[14]SDG^2 values'!$C$7,IF(BS11=3,'[14]SDG^2 values'!$D$7,IF(BS11=4,'[14]SDG^2 values'!$E$7,IF(BS11=5,'[14]SDG^2 values'!$F$7,1)))))</f>
        <v>1</v>
      </c>
      <c r="CF11" s="52">
        <f>IF(BT11=1,'[14]SDG^2 values'!$B$8,IF(BT11=2,'[14]SDG^2 values'!$C$8,IF(BT11=3,'[14]SDG^2 values'!$D$8,IF(BT11=4,'[14]SDG^2 values'!$E$8,IF(BT11=5,'[14]SDG^2 values'!$F$8,1)))))</f>
        <v>1</v>
      </c>
      <c r="CG11" s="52">
        <f>IF(BU11=1,'[14]SDG^2 values'!$B$9,IF(BU11=2,'[14]SDG^2 values'!$C$9,IF(BU11=3,'[14]SDG^2 values'!$D$9,IF(BU11=4,'[14]SDG^2 values'!$E$9,IF(BU11=5,'[14]SDG^2 values'!$F$9,1)))))</f>
        <v>1</v>
      </c>
    </row>
    <row r="12" spans="1:85" ht="24">
      <c r="A12" s="157">
        <v>853</v>
      </c>
      <c r="B12" s="168" t="s">
        <v>525</v>
      </c>
      <c r="C12" s="151" t="s">
        <v>525</v>
      </c>
      <c r="D12" s="152" t="s">
        <v>526</v>
      </c>
      <c r="E12" s="153" t="s">
        <v>402</v>
      </c>
      <c r="F12" s="144" t="str">
        <f>IF(OR(D12="4",E12="4"),INDEX([14]NamesElementary!$B$1:$B$65536,MATCH(A12,[14]NamesElementary!$A$1:$A$65536,0),1),INDEX([14]Names!$J$1:$J$65602,MATCH(A12,[14]Names!$F$1:$F$65602,0),1))</f>
        <v>synthetic rubber, at plant</v>
      </c>
      <c r="G12" s="125" t="str">
        <f>IF(OR(D12="4",E12="4"),"-",INDEX([14]Names!$K$1:$K$65602,MATCH(A12,[14]Names!$F$1:$F$65602,0),1))</f>
        <v>RER</v>
      </c>
      <c r="H12" s="164" t="str">
        <f>IF(OR(D12="4",E12="4"),INDEX([14]NamesElementary!$D$1:$D$65536,MATCH($A12,[14]NamesElementary!$A$1:$A$65536,0),1),"-")</f>
        <v>-</v>
      </c>
      <c r="I12" s="123" t="str">
        <f>IF(OR(D12="4",E12="4"),INDEX([14]NamesElementary!$E$1:$E$65536,MATCH($A12,[14]NamesElementary!$A$1:$A$65536,0),1),"-")</f>
        <v>-</v>
      </c>
      <c r="J12" s="124">
        <f>IF(OR(D12="4",E12="4"),"-",INDEX([14]Names!$N$1:$N$65602,MATCH(A12,[14]Names!$F$1:$F$65602,0),1))</f>
        <v>0</v>
      </c>
      <c r="K12" s="125" t="str">
        <f>IF(OR(D12="4",E12="4"),INDEX([14]NamesElementary!$G$1:$G$65536,MATCH(A12,[14]NamesElementary!$A$1:$A$65536,0),1),INDEX([14]Names!$O$1:$O$65602,MATCH(A12,[14]Names!$F$1:$F$65602,0),1))</f>
        <v>kg</v>
      </c>
      <c r="L12" s="165">
        <f t="shared" si="0"/>
        <v>0</v>
      </c>
      <c r="M12" s="29">
        <f t="shared" si="1"/>
        <v>1</v>
      </c>
      <c r="N12" s="1">
        <f t="shared" si="1"/>
        <v>2.0482753016103628</v>
      </c>
      <c r="O12" s="139" t="str">
        <f t="shared" si="1"/>
        <v>(1,2,1,1,1,na); Literature and own estimations</v>
      </c>
      <c r="P12" s="165" t="e">
        <f t="shared" si="2"/>
        <v>#REF!</v>
      </c>
      <c r="Q12" s="29">
        <f t="shared" si="3"/>
        <v>1</v>
      </c>
      <c r="R12" s="1">
        <f t="shared" si="3"/>
        <v>2.0482753016103628</v>
      </c>
      <c r="S12" s="139" t="str">
        <f t="shared" si="3"/>
        <v>(1,2,1,1,1,na); Literature and own estimations</v>
      </c>
      <c r="T12" s="165">
        <f t="shared" si="4"/>
        <v>0</v>
      </c>
      <c r="U12" s="29">
        <f t="shared" si="5"/>
        <v>1</v>
      </c>
      <c r="V12" s="1">
        <f t="shared" si="5"/>
        <v>2.0482753016103628</v>
      </c>
      <c r="W12" s="139" t="str">
        <f t="shared" si="5"/>
        <v>(1,2,1,1,1,na); Literature and own estimations</v>
      </c>
      <c r="X12" s="165" t="e">
        <f t="shared" si="6"/>
        <v>#REF!</v>
      </c>
      <c r="Y12" s="29">
        <f t="shared" si="7"/>
        <v>1</v>
      </c>
      <c r="Z12" s="1">
        <f t="shared" si="7"/>
        <v>2.0482753016103628</v>
      </c>
      <c r="AA12" s="139" t="str">
        <f t="shared" si="7"/>
        <v>(1,2,1,1,1,na); Literature and own estimations</v>
      </c>
      <c r="AB12" s="165" t="e">
        <f t="shared" si="20"/>
        <v>#REF!</v>
      </c>
      <c r="AC12" s="29">
        <v>1</v>
      </c>
      <c r="AD12" s="1">
        <f t="shared" si="8"/>
        <v>2.0482753016103628</v>
      </c>
      <c r="AE12" s="31" t="str">
        <f>BZ12&amp;"; "&amp;BO12</f>
        <v>(1,2,1,1,1,na); Literature and own estimations</v>
      </c>
      <c r="AF12" s="331">
        <v>0</v>
      </c>
      <c r="AG12" s="251">
        <f t="shared" si="10"/>
        <v>0</v>
      </c>
      <c r="AH12" s="251"/>
      <c r="AI12" s="251"/>
      <c r="AJ12" s="209"/>
      <c r="AK12" s="331">
        <v>0</v>
      </c>
      <c r="AL12" s="251">
        <f t="shared" si="11"/>
        <v>0</v>
      </c>
      <c r="AM12" s="331">
        <v>0</v>
      </c>
      <c r="AN12" s="251">
        <f t="shared" si="12"/>
        <v>0</v>
      </c>
      <c r="AO12" s="165">
        <v>0</v>
      </c>
      <c r="AQ12" s="347"/>
      <c r="AR12" s="209"/>
      <c r="AS12" s="209"/>
      <c r="AT12" s="209"/>
      <c r="AU12" s="331">
        <v>0</v>
      </c>
      <c r="AV12" s="251">
        <f t="shared" si="13"/>
        <v>0</v>
      </c>
      <c r="AW12" s="165">
        <f>AV12</f>
        <v>0</v>
      </c>
      <c r="AZ12" s="376"/>
      <c r="BA12" s="376"/>
      <c r="BB12" s="376"/>
      <c r="BC12" s="376"/>
      <c r="BD12" s="376"/>
      <c r="BE12" s="376"/>
      <c r="BF12" s="376"/>
      <c r="BG12" s="331">
        <v>2</v>
      </c>
      <c r="BH12" s="251">
        <f t="shared" si="17"/>
        <v>9.0909090909090912E-2</v>
      </c>
      <c r="BI12" s="165">
        <f>AVERAGE(BL12:BN12)</f>
        <v>0.94</v>
      </c>
      <c r="BJ12" s="355" t="s">
        <v>388</v>
      </c>
      <c r="BK12" s="408" t="e">
        <f>AB12</f>
        <v>#REF!</v>
      </c>
      <c r="BL12" s="392">
        <v>0</v>
      </c>
      <c r="BM12" s="392">
        <v>1.41</v>
      </c>
      <c r="BN12" s="392">
        <v>1.41</v>
      </c>
      <c r="BO12" s="86" t="s">
        <v>670</v>
      </c>
      <c r="BP12" s="10">
        <f>BP$7</f>
        <v>1</v>
      </c>
      <c r="BQ12" s="10">
        <f t="shared" si="18"/>
        <v>2</v>
      </c>
      <c r="BR12" s="10">
        <f t="shared" si="18"/>
        <v>1</v>
      </c>
      <c r="BS12" s="10">
        <f t="shared" si="18"/>
        <v>1</v>
      </c>
      <c r="BT12" s="10">
        <f t="shared" si="18"/>
        <v>1</v>
      </c>
      <c r="BU12" s="10" t="str">
        <f t="shared" si="18"/>
        <v>na</v>
      </c>
      <c r="BV12" s="50">
        <f>IF(OR($D12="4",$E12="4"),INDEX([14]NamesElementary!$J$1:$J$65536,MATCH($A12,[14]NamesElementary!$A$1:$A$65536,0),1),INDEX([14]Names!$W$1:$W$65602,MATCH($A12,[14]Names!$F$1:$F$65602,0),1))</f>
        <v>3</v>
      </c>
      <c r="BW12" s="51">
        <f t="shared" si="19"/>
        <v>2</v>
      </c>
      <c r="BX12" s="87">
        <f>EXP(SQRT((LN(CB12)^2)+(LN(CC12)^2)+(LN(CD12)^2)+(LN(CE12)^2)+(LN(CF12)^2)+(LN(CG12)^2)))</f>
        <v>1.02</v>
      </c>
      <c r="BY12" s="87">
        <f>EXP(SQRT((LN(CB12)^2)+(LN(CC12)^2)+(LN(CD12)^2)+(LN(CE12)^2)+(LN(CF12)^2)+(LN(CG12)^2)+LN(BW12)^2))</f>
        <v>2.0005657088721378</v>
      </c>
      <c r="BZ12" s="89" t="str">
        <f>CONCATENATE("(",BP12,",",BQ12,",",BR12,",",BS12,",",BT12,",",BU12,")")</f>
        <v>(1,2,1,1,1,na)</v>
      </c>
      <c r="CB12" s="52">
        <f>IF(BP12=1,'[14]SDG^2 values'!$B$4,IF(BP12=2,'[14]SDG^2 values'!$C$4,IF(BP12=3,'[14]SDG^2 values'!$D$4,IF(BP12=4,'[14]SDG^2 values'!$E$4,IF(BP12=5,'[14]SDG^2 values'!$F$4,1)))))</f>
        <v>1</v>
      </c>
      <c r="CC12" s="52">
        <f>IF(BQ12=1,'[14]SDG^2 values'!$B$5,IF(BQ12=2,'[14]SDG^2 values'!$C$5,IF(BQ12=3,'[14]SDG^2 values'!$D$5,IF(BQ12=4,'[14]SDG^2 values'!$E$5,IF(BQ12=5,'[14]SDG^2 values'!$F$5,1)))))</f>
        <v>1.02</v>
      </c>
      <c r="CD12" s="52">
        <f>IF(BR12=1,'[14]SDG^2 values'!$B$6,IF(BR12=2,'[14]SDG^2 values'!$C$6,IF(BR12=3,'[14]SDG^2 values'!$D$6,IF(BR12=4,'[14]SDG^2 values'!$E$6,IF(BR12=5,'[14]SDG^2 values'!$F$6,1)))))</f>
        <v>1</v>
      </c>
      <c r="CE12" s="52">
        <f>IF(BS12=1,'[14]SDG^2 values'!$B$7,IF(BS12=2,'[14]SDG^2 values'!$C$7,IF(BS12=3,'[14]SDG^2 values'!$D$7,IF(BS12=4,'[14]SDG^2 values'!$E$7,IF(BS12=5,'[14]SDG^2 values'!$F$7,1)))))</f>
        <v>1</v>
      </c>
      <c r="CF12" s="52">
        <f>IF(BT12=1,'[14]SDG^2 values'!$B$8,IF(BT12=2,'[14]SDG^2 values'!$C$8,IF(BT12=3,'[14]SDG^2 values'!$D$8,IF(BT12=4,'[14]SDG^2 values'!$E$8,IF(BT12=5,'[14]SDG^2 values'!$F$8,1)))))</f>
        <v>1</v>
      </c>
      <c r="CG12" s="52">
        <f>IF(BU12=1,'[14]SDG^2 values'!$B$9,IF(BU12=2,'[14]SDG^2 values'!$C$9,IF(BU12=3,'[14]SDG^2 values'!$D$9,IF(BU12=4,'[14]SDG^2 values'!$E$9,IF(BU12=5,'[14]SDG^2 values'!$F$9,1)))))</f>
        <v>1</v>
      </c>
    </row>
    <row r="13" spans="1:85" ht="24">
      <c r="A13" s="156">
        <v>1132</v>
      </c>
      <c r="B13" s="168" t="s">
        <v>525</v>
      </c>
      <c r="C13" s="151" t="s">
        <v>525</v>
      </c>
      <c r="D13" s="152" t="s">
        <v>526</v>
      </c>
      <c r="E13" s="153" t="s">
        <v>402</v>
      </c>
      <c r="F13" s="144" t="str">
        <f>IF(OR(D13="4",E13="4"),INDEX([14]NamesElementary!$B$1:$B$65536,MATCH(A13,[14]NamesElementary!$A$1:$A$65536,0),1),INDEX([14]Names!$J$1:$J$65602,MATCH(A13,[14]Names!$F$1:$F$65602,0),1))</f>
        <v>steel, low-alloyed, at plant</v>
      </c>
      <c r="G13" s="125" t="str">
        <f>IF(OR(D13="4",E13="4"),"-",INDEX([14]Names!$K$1:$K$65602,MATCH(A13,[14]Names!$F$1:$F$65602,0),1))</f>
        <v>RER</v>
      </c>
      <c r="H13" s="164" t="str">
        <f>IF(OR(D13="4",E13="4"),INDEX([14]NamesElementary!$D$1:$D$65536,MATCH($A13,[14]NamesElementary!$A$1:$A$65536,0),1),"-")</f>
        <v>-</v>
      </c>
      <c r="I13" s="123" t="str">
        <f>IF(OR(D13="4",E13="4"),INDEX([14]NamesElementary!$E$1:$E$65536,MATCH($A13,[14]NamesElementary!$A$1:$A$65536,0),1),"-")</f>
        <v>-</v>
      </c>
      <c r="J13" s="124">
        <f>IF(OR(D13="4",E13="4"),"-",INDEX([14]Names!$N$1:$N$65602,MATCH(A13,[14]Names!$F$1:$F$65602,0),1))</f>
        <v>0</v>
      </c>
      <c r="K13" s="125" t="str">
        <f>IF(OR(D13="4",E13="4"),INDEX([14]NamesElementary!$G$1:$G$65536,MATCH(A13,[14]NamesElementary!$A$1:$A$65536,0),1),INDEX([14]Names!$O$1:$O$65602,MATCH(A13,[14]Names!$F$1:$F$65602,0),1))</f>
        <v>kg</v>
      </c>
      <c r="L13" s="165">
        <f t="shared" si="0"/>
        <v>1.6799107939150451</v>
      </c>
      <c r="M13" s="29">
        <f t="shared" si="1"/>
        <v>1</v>
      </c>
      <c r="N13" s="1">
        <f t="shared" si="1"/>
        <v>2.0482753016103628</v>
      </c>
      <c r="O13" s="139" t="str">
        <f t="shared" si="1"/>
        <v>(1,2,1,1,1,na); Literature and own estimations</v>
      </c>
      <c r="P13" s="165" t="e">
        <f t="shared" si="2"/>
        <v>#REF!</v>
      </c>
      <c r="Q13" s="29">
        <f t="shared" si="3"/>
        <v>1</v>
      </c>
      <c r="R13" s="1">
        <f t="shared" si="3"/>
        <v>2.0482753016103628</v>
      </c>
      <c r="S13" s="139" t="str">
        <f t="shared" si="3"/>
        <v>(1,2,1,1,1,na); Literature and own estimations</v>
      </c>
      <c r="T13" s="165">
        <f t="shared" si="4"/>
        <v>0.34789533252388971</v>
      </c>
      <c r="U13" s="29">
        <f t="shared" si="5"/>
        <v>1</v>
      </c>
      <c r="V13" s="1">
        <f t="shared" si="5"/>
        <v>2.0482753016103628</v>
      </c>
      <c r="W13" s="139" t="str">
        <f t="shared" si="5"/>
        <v>(1,2,1,1,1,na); Literature and own estimations</v>
      </c>
      <c r="X13" s="165" t="e">
        <f t="shared" si="6"/>
        <v>#REF!</v>
      </c>
      <c r="Y13" s="29">
        <f t="shared" si="7"/>
        <v>1</v>
      </c>
      <c r="Z13" s="1">
        <f t="shared" si="7"/>
        <v>2.0482753016103628</v>
      </c>
      <c r="AA13" s="139" t="str">
        <f t="shared" si="7"/>
        <v>(1,2,1,1,1,na); Literature and own estimations</v>
      </c>
      <c r="AB13" s="165" t="e">
        <f t="shared" si="20"/>
        <v>#REF!</v>
      </c>
      <c r="AC13" s="29">
        <v>1</v>
      </c>
      <c r="AD13" s="1">
        <f t="shared" si="8"/>
        <v>2.0482753016103628</v>
      </c>
      <c r="AE13" s="31" t="str">
        <f t="shared" si="9"/>
        <v>(1,2,1,1,1,na); Literature and own estimations</v>
      </c>
      <c r="AF13" s="331">
        <v>49.1</v>
      </c>
      <c r="AG13" s="251">
        <f t="shared" si="10"/>
        <v>2.2318181818181819</v>
      </c>
      <c r="AH13" s="377" t="s">
        <v>385</v>
      </c>
      <c r="AI13" s="409">
        <f>L13</f>
        <v>1.6799107939150451</v>
      </c>
      <c r="AJ13" s="378">
        <v>1.1000000000000001</v>
      </c>
      <c r="AK13" s="331">
        <v>0</v>
      </c>
      <c r="AL13" s="251">
        <f t="shared" si="11"/>
        <v>0</v>
      </c>
      <c r="AM13" s="331">
        <v>45.8</v>
      </c>
      <c r="AN13" s="251">
        <f t="shared" si="12"/>
        <v>1.8847736625514402</v>
      </c>
      <c r="AO13" s="165">
        <f>AVERAGE(AR13:AT13)</f>
        <v>0.66159122085048006</v>
      </c>
      <c r="AP13" s="355" t="s">
        <v>385</v>
      </c>
      <c r="AQ13" s="409">
        <f>T13</f>
        <v>0.34789533252388971</v>
      </c>
      <c r="AR13" s="378">
        <v>0</v>
      </c>
      <c r="AS13" s="378">
        <v>0.1</v>
      </c>
      <c r="AT13" s="378">
        <f>AN13</f>
        <v>1.8847736625514402</v>
      </c>
      <c r="AU13" s="331">
        <f>4.6+64+32+50+0.8+1.9+0.6+2.8+0.4</f>
        <v>157.10000000000002</v>
      </c>
      <c r="AV13" s="251">
        <f t="shared" si="13"/>
        <v>7.1409090909090915</v>
      </c>
      <c r="AW13" s="165">
        <f>AVERAGE(AZ13:BF13)</f>
        <v>0.97162698412698412</v>
      </c>
      <c r="AX13" s="355" t="s">
        <v>385</v>
      </c>
      <c r="AY13" s="408" t="e">
        <f>X13</f>
        <v>#REF!</v>
      </c>
      <c r="AZ13" s="392">
        <f>(14*0.745+16*0.05+2*0.15)/AZ33</f>
        <v>1.6013888888888892</v>
      </c>
      <c r="BA13" s="394">
        <v>0.49</v>
      </c>
      <c r="BB13" s="392">
        <v>1.1000000000000001</v>
      </c>
      <c r="BC13" s="392">
        <v>0.72</v>
      </c>
      <c r="BD13" s="392">
        <v>0.72</v>
      </c>
      <c r="BE13" s="392">
        <v>1</v>
      </c>
      <c r="BF13" s="392">
        <v>1.17</v>
      </c>
      <c r="BG13" s="331">
        <v>125.7</v>
      </c>
      <c r="BH13" s="251">
        <f t="shared" si="17"/>
        <v>5.7136363636363638</v>
      </c>
      <c r="BI13" s="165">
        <f>AVERAGE(BL13:BN13)</f>
        <v>0.15148148148148149</v>
      </c>
      <c r="BJ13" s="355" t="s">
        <v>385</v>
      </c>
      <c r="BK13" s="411" t="e">
        <f>AB13</f>
        <v>#REF!</v>
      </c>
      <c r="BL13" s="393">
        <f>0.068/BL$33</f>
        <v>9.4444444444444456E-2</v>
      </c>
      <c r="BM13" s="393">
        <v>0.08</v>
      </c>
      <c r="BN13" s="393">
        <v>0.28000000000000003</v>
      </c>
      <c r="BO13" s="86" t="s">
        <v>670</v>
      </c>
      <c r="BP13" s="10">
        <f>BP$7</f>
        <v>1</v>
      </c>
      <c r="BQ13" s="10">
        <f t="shared" si="18"/>
        <v>2</v>
      </c>
      <c r="BR13" s="10">
        <f t="shared" si="18"/>
        <v>1</v>
      </c>
      <c r="BS13" s="10">
        <f t="shared" si="18"/>
        <v>1</v>
      </c>
      <c r="BT13" s="10">
        <f t="shared" si="18"/>
        <v>1</v>
      </c>
      <c r="BU13" s="10" t="str">
        <f t="shared" si="18"/>
        <v>na</v>
      </c>
      <c r="BV13" s="50">
        <f>IF(OR($D13="4",$E13="4"),INDEX([14]NamesElementary!$J$1:$J$65536,MATCH($A13,[14]NamesElementary!$A$1:$A$65536,0),1),INDEX([14]Names!$W$1:$W$65602,MATCH($A13,[14]Names!$F$1:$F$65602,0),1))</f>
        <v>3</v>
      </c>
      <c r="BW13" s="51">
        <f t="shared" si="19"/>
        <v>2</v>
      </c>
      <c r="BX13" s="87">
        <f t="shared" si="14"/>
        <v>1.02</v>
      </c>
      <c r="BY13" s="87">
        <f t="shared" si="15"/>
        <v>2.0005657088721378</v>
      </c>
      <c r="BZ13" s="89" t="str">
        <f t="shared" si="16"/>
        <v>(1,2,1,1,1,na)</v>
      </c>
      <c r="CB13" s="52">
        <f>IF(BP13=1,'[14]SDG^2 values'!$B$4,IF(BP13=2,'[14]SDG^2 values'!$C$4,IF(BP13=3,'[14]SDG^2 values'!$D$4,IF(BP13=4,'[14]SDG^2 values'!$E$4,IF(BP13=5,'[14]SDG^2 values'!$F$4,1)))))</f>
        <v>1</v>
      </c>
      <c r="CC13" s="52">
        <f>IF(BQ13=1,'[14]SDG^2 values'!$B$5,IF(BQ13=2,'[14]SDG^2 values'!$C$5,IF(BQ13=3,'[14]SDG^2 values'!$D$5,IF(BQ13=4,'[14]SDG^2 values'!$E$5,IF(BQ13=5,'[14]SDG^2 values'!$F$5,1)))))</f>
        <v>1.02</v>
      </c>
      <c r="CD13" s="52">
        <f>IF(BR13=1,'[14]SDG^2 values'!$B$6,IF(BR13=2,'[14]SDG^2 values'!$C$6,IF(BR13=3,'[14]SDG^2 values'!$D$6,IF(BR13=4,'[14]SDG^2 values'!$E$6,IF(BR13=5,'[14]SDG^2 values'!$F$6,1)))))</f>
        <v>1</v>
      </c>
      <c r="CE13" s="52">
        <f>IF(BS13=1,'[14]SDG^2 values'!$B$7,IF(BS13=2,'[14]SDG^2 values'!$C$7,IF(BS13=3,'[14]SDG^2 values'!$D$7,IF(BS13=4,'[14]SDG^2 values'!$E$7,IF(BS13=5,'[14]SDG^2 values'!$F$7,1)))))</f>
        <v>1</v>
      </c>
      <c r="CF13" s="52">
        <f>IF(BT13=1,'[14]SDG^2 values'!$B$8,IF(BT13=2,'[14]SDG^2 values'!$C$8,IF(BT13=3,'[14]SDG^2 values'!$D$8,IF(BT13=4,'[14]SDG^2 values'!$E$8,IF(BT13=5,'[14]SDG^2 values'!$F$8,1)))))</f>
        <v>1</v>
      </c>
      <c r="CG13" s="52">
        <f>IF(BU13=1,'[14]SDG^2 values'!$B$9,IF(BU13=2,'[14]SDG^2 values'!$C$9,IF(BU13=3,'[14]SDG^2 values'!$D$9,IF(BU13=4,'[14]SDG^2 values'!$E$9,IF(BU13=5,'[14]SDG^2 values'!$F$9,1)))))</f>
        <v>1</v>
      </c>
    </row>
    <row r="14" spans="1:85" ht="12.75">
      <c r="A14" s="226">
        <v>3133</v>
      </c>
      <c r="B14" s="168" t="s">
        <v>525</v>
      </c>
      <c r="C14" s="151" t="s">
        <v>525</v>
      </c>
      <c r="D14" s="152" t="s">
        <v>526</v>
      </c>
      <c r="E14" s="153" t="s">
        <v>402</v>
      </c>
      <c r="F14" s="144" t="str">
        <f>IF(OR(D14="4",E14="4"),INDEX([14]NamesElementary!$B$1:$B$65536,MATCH(A14,[14]NamesElementary!$A$1:$A$65536,0),1),INDEX([14]Names!$J$1:$J$65602,MATCH(A14,[14]Names!$F$1:$F$65602,0),1))</f>
        <v>gravel, unspecified, at mine</v>
      </c>
      <c r="G14" s="125" t="str">
        <f>IF(OR(D14="4",E14="4"),"-",INDEX([14]Names!$K$1:$K$65602,MATCH(A14,[14]Names!$F$1:$F$65602,0),1))</f>
        <v>CH</v>
      </c>
      <c r="H14" s="164" t="str">
        <f>IF(OR(D14="4",E14="4"),INDEX([14]NamesElementary!$D$1:$D$65536,MATCH($A14,[14]NamesElementary!$A$1:$A$65536,0),1),"-")</f>
        <v>-</v>
      </c>
      <c r="I14" s="123" t="str">
        <f>IF(OR(D14="4",E14="4"),INDEX([14]NamesElementary!$E$1:$E$65536,MATCH($A14,[14]NamesElementary!$A$1:$A$65536,0),1),"-")</f>
        <v>-</v>
      </c>
      <c r="J14" s="124">
        <f>IF(OR(D14="4",E14="4"),"-",INDEX([14]Names!$N$1:$N$65602,MATCH(A14,[14]Names!$F$1:$F$65602,0),1))</f>
        <v>0</v>
      </c>
      <c r="K14" s="125" t="str">
        <f>IF(OR(D14="4",E14="4"),INDEX([14]NamesElementary!$G$1:$G$65536,MATCH(A14,[14]NamesElementary!$A$1:$A$65536,0),1),INDEX([14]Names!$O$1:$O$65602,MATCH(A14,[14]Names!$F$1:$F$65602,0),1))</f>
        <v>kg</v>
      </c>
      <c r="L14" s="165">
        <f t="shared" si="0"/>
        <v>0</v>
      </c>
      <c r="M14" s="29">
        <f t="shared" si="1"/>
        <v>1</v>
      </c>
      <c r="N14" s="1">
        <f t="shared" si="1"/>
        <v>2.1801136974489768</v>
      </c>
      <c r="O14" s="139" t="str">
        <f t="shared" si="1"/>
        <v>(3,4,3,1,3,5); not accounted</v>
      </c>
      <c r="P14" s="165" t="e">
        <f t="shared" si="2"/>
        <v>#REF!</v>
      </c>
      <c r="Q14" s="29">
        <f t="shared" si="3"/>
        <v>1</v>
      </c>
      <c r="R14" s="1">
        <f t="shared" si="3"/>
        <v>2.1801136974489768</v>
      </c>
      <c r="S14" s="139" t="str">
        <f t="shared" si="3"/>
        <v>(3,4,3,1,3,5); not accounted</v>
      </c>
      <c r="T14" s="165">
        <f t="shared" si="4"/>
        <v>0</v>
      </c>
      <c r="U14" s="29">
        <f t="shared" si="5"/>
        <v>1</v>
      </c>
      <c r="V14" s="1">
        <f t="shared" si="5"/>
        <v>2.1801136974489768</v>
      </c>
      <c r="W14" s="139" t="str">
        <f t="shared" si="5"/>
        <v>(3,4,3,1,3,5); not accounted</v>
      </c>
      <c r="X14" s="165" t="e">
        <f t="shared" si="6"/>
        <v>#REF!</v>
      </c>
      <c r="Y14" s="29">
        <f t="shared" si="7"/>
        <v>1</v>
      </c>
      <c r="Z14" s="1">
        <f t="shared" si="7"/>
        <v>2.1801136974489768</v>
      </c>
      <c r="AA14" s="139" t="str">
        <f t="shared" si="7"/>
        <v>(3,4,3,1,3,5); not accounted</v>
      </c>
      <c r="AB14" s="165" t="e">
        <f t="shared" si="20"/>
        <v>#REF!</v>
      </c>
      <c r="AC14" s="29">
        <v>1</v>
      </c>
      <c r="AD14" s="1">
        <f t="shared" si="8"/>
        <v>2.1801136974489768</v>
      </c>
      <c r="AE14" s="31" t="str">
        <f>BZ14&amp;"; "&amp;BO14</f>
        <v>(3,4,3,1,3,5); not accounted</v>
      </c>
      <c r="AF14" s="331">
        <v>0</v>
      </c>
      <c r="AG14" s="251">
        <f t="shared" si="10"/>
        <v>0</v>
      </c>
      <c r="AH14" s="251"/>
      <c r="AI14" s="251"/>
      <c r="AJ14" s="251"/>
      <c r="AK14" s="331">
        <v>0</v>
      </c>
      <c r="AL14" s="251">
        <f t="shared" si="11"/>
        <v>0</v>
      </c>
      <c r="AM14" s="331">
        <f>(142+3720)</f>
        <v>3862</v>
      </c>
      <c r="AN14" s="251">
        <f t="shared" si="12"/>
        <v>158.93004115226336</v>
      </c>
      <c r="AO14" s="165">
        <v>0</v>
      </c>
      <c r="AP14" t="s">
        <v>389</v>
      </c>
      <c r="AQ14" s="347"/>
      <c r="AR14" s="209">
        <v>115</v>
      </c>
      <c r="AS14" s="209"/>
      <c r="AT14" s="209"/>
      <c r="AU14" s="331">
        <v>0</v>
      </c>
      <c r="AV14" s="251">
        <f t="shared" si="13"/>
        <v>0</v>
      </c>
      <c r="AW14" s="165">
        <f>AV14</f>
        <v>0</v>
      </c>
      <c r="AZ14" s="376"/>
      <c r="BA14" s="376"/>
      <c r="BB14" s="376"/>
      <c r="BC14" s="376"/>
      <c r="BD14" s="376"/>
      <c r="BE14" s="376"/>
      <c r="BF14" s="376"/>
      <c r="BG14" s="331">
        <v>0</v>
      </c>
      <c r="BH14" s="251">
        <f t="shared" si="17"/>
        <v>0</v>
      </c>
      <c r="BI14" s="165"/>
      <c r="BK14" s="251"/>
      <c r="BL14" s="251"/>
      <c r="BM14" s="251"/>
      <c r="BN14" s="251"/>
      <c r="BO14" s="86" t="s">
        <v>674</v>
      </c>
      <c r="BP14" s="10">
        <v>3</v>
      </c>
      <c r="BQ14" s="50">
        <v>4</v>
      </c>
      <c r="BR14" s="50">
        <v>3</v>
      </c>
      <c r="BS14" s="50">
        <v>1</v>
      </c>
      <c r="BT14" s="50">
        <v>3</v>
      </c>
      <c r="BU14" s="50">
        <v>5</v>
      </c>
      <c r="BV14" s="50">
        <f>IF(OR($D14="4",$E14="4"),INDEX([14]NamesElementary!$J$1:$J$65536,MATCH($A14,[14]NamesElementary!$A$1:$A$65536,0),1),INDEX([14]Names!$W$1:$W$65602,MATCH($A14,[14]Names!$F$1:$F$65602,0),1))</f>
        <v>3</v>
      </c>
      <c r="BW14" s="51">
        <f t="shared" si="19"/>
        <v>2</v>
      </c>
      <c r="BX14" s="87">
        <f>EXP(SQRT((LN(CB14)^2)+(LN(CC14)^2)+(LN(CD14)^2)+(LN(CE14)^2)+(LN(CF14)^2)+(LN(CG14)^2)))</f>
        <v>1.3582005896413567</v>
      </c>
      <c r="BY14" s="87">
        <f>EXP(SQRT((LN(CB14)^2)+(LN(CC14)^2)+(LN(CD14)^2)+(LN(CE14)^2)+(LN(CF14)^2)+(LN(CG14)^2)+LN(BW14)^2))</f>
        <v>2.1334738054081499</v>
      </c>
      <c r="BZ14" s="89" t="str">
        <f>CONCATENATE("(",BP14,",",BQ14,",",BR14,",",BS14,",",BT14,",",BU14,")")</f>
        <v>(3,4,3,1,3,5)</v>
      </c>
      <c r="CB14" s="52">
        <f>IF(BP14=1,'[14]SDG^2 values'!$B$4,IF(BP14=2,'[14]SDG^2 values'!$C$4,IF(BP14=3,'[14]SDG^2 values'!$D$4,IF(BP14=4,'[14]SDG^2 values'!$E$4,IF(BP14=5,'[14]SDG^2 values'!$F$4,1)))))</f>
        <v>1.1000000000000001</v>
      </c>
      <c r="CC14" s="52">
        <f>IF(BQ14=1,'[14]SDG^2 values'!$B$5,IF(BQ14=2,'[14]SDG^2 values'!$C$5,IF(BQ14=3,'[14]SDG^2 values'!$D$5,IF(BQ14=4,'[14]SDG^2 values'!$E$5,IF(BQ14=5,'[14]SDG^2 values'!$F$5,1)))))</f>
        <v>1.1000000000000001</v>
      </c>
      <c r="CD14" s="52">
        <f>IF(BR14=1,'[14]SDG^2 values'!$B$6,IF(BR14=2,'[14]SDG^2 values'!$C$6,IF(BR14=3,'[14]SDG^2 values'!$D$6,IF(BR14=4,'[14]SDG^2 values'!$E$6,IF(BR14=5,'[14]SDG^2 values'!$F$6,1)))))</f>
        <v>1.1000000000000001</v>
      </c>
      <c r="CE14" s="52">
        <f>IF(BS14=1,'[14]SDG^2 values'!$B$7,IF(BS14=2,'[14]SDG^2 values'!$C$7,IF(BS14=3,'[14]SDG^2 values'!$D$7,IF(BS14=4,'[14]SDG^2 values'!$E$7,IF(BS14=5,'[14]SDG^2 values'!$F$7,1)))))</f>
        <v>1</v>
      </c>
      <c r="CF14" s="52">
        <f>IF(BT14=1,'[14]SDG^2 values'!$B$8,IF(BT14=2,'[14]SDG^2 values'!$C$8,IF(BT14=3,'[14]SDG^2 values'!$D$8,IF(BT14=4,'[14]SDG^2 values'!$E$8,IF(BT14=5,'[14]SDG^2 values'!$F$8,1)))))</f>
        <v>1.2</v>
      </c>
      <c r="CG14" s="52">
        <f>IF(BU14=1,'[14]SDG^2 values'!$B$9,IF(BU14=2,'[14]SDG^2 values'!$C$9,IF(BU14=3,'[14]SDG^2 values'!$D$9,IF(BU14=4,'[14]SDG^2 values'!$E$9,IF(BU14=5,'[14]SDG^2 values'!$F$9,1)))))</f>
        <v>1.2</v>
      </c>
    </row>
    <row r="15" spans="1:85" ht="12.75">
      <c r="A15" s="226">
        <v>1092</v>
      </c>
      <c r="B15" s="168" t="s">
        <v>525</v>
      </c>
      <c r="C15" s="151" t="s">
        <v>525</v>
      </c>
      <c r="D15" s="152" t="s">
        <v>526</v>
      </c>
      <c r="E15" s="153" t="s">
        <v>402</v>
      </c>
      <c r="F15" s="144" t="str">
        <f>IF(OR(D15="4",E15="4"),INDEX([14]NamesElementary!$B$1:$B$65536,MATCH(A15,[14]NamesElementary!$A$1:$A$65536,0),1),INDEX([14]Names!$J$1:$J$65602,MATCH(A15,[14]Names!$F$1:$F$65602,0),1))</f>
        <v>section bar extrusion, aluminium</v>
      </c>
      <c r="G15" s="125" t="str">
        <f>IF(OR(D15="4",E15="4"),"-",INDEX([14]Names!$K$1:$K$65602,MATCH(A15,[14]Names!$F$1:$F$65602,0),1))</f>
        <v>RER</v>
      </c>
      <c r="H15" s="164" t="str">
        <f>IF(OR(D15="4",E15="4"),INDEX([14]NamesElementary!$D$1:$D$65536,MATCH($A15,[14]NamesElementary!$A$1:$A$65536,0),1),"-")</f>
        <v>-</v>
      </c>
      <c r="I15" s="123" t="str">
        <f>IF(OR(D15="4",E15="4"),INDEX([14]NamesElementary!$E$1:$E$65536,MATCH($A15,[14]NamesElementary!$A$1:$A$65536,0),1),"-")</f>
        <v>-</v>
      </c>
      <c r="J15" s="124">
        <f>IF(OR(D15="4",E15="4"),"-",INDEX([14]Names!$N$1:$N$65602,MATCH(A15,[14]Names!$F$1:$F$65602,0),1))</f>
        <v>0</v>
      </c>
      <c r="K15" s="125" t="str">
        <f>IF(OR(D15="4",E15="4"),INDEX([14]NamesElementary!$G$1:$G$65536,MATCH(A15,[14]NamesElementary!$A$1:$A$65536,0),1),INDEX([14]Names!$O$1:$O$65602,MATCH(A15,[14]Names!$F$1:$F$65602,0),1))</f>
        <v>kg</v>
      </c>
      <c r="L15" s="165">
        <f t="shared" si="0"/>
        <v>2.4634129768204329</v>
      </c>
      <c r="M15" s="29">
        <f t="shared" si="1"/>
        <v>1</v>
      </c>
      <c r="N15" s="1">
        <f t="shared" si="1"/>
        <v>2.1801136974489768</v>
      </c>
      <c r="O15" s="139" t="str">
        <f t="shared" si="1"/>
        <v>(3,4,3,1,3,5); Estimation</v>
      </c>
      <c r="P15" s="165" t="e">
        <f t="shared" si="2"/>
        <v>#REF!</v>
      </c>
      <c r="Q15" s="29">
        <f t="shared" si="3"/>
        <v>1</v>
      </c>
      <c r="R15" s="1">
        <f t="shared" si="3"/>
        <v>2.1801136974489768</v>
      </c>
      <c r="S15" s="139" t="str">
        <f t="shared" si="3"/>
        <v>(3,4,3,1,3,5); Estimation</v>
      </c>
      <c r="T15" s="165">
        <f t="shared" si="4"/>
        <v>1.5948508816303548</v>
      </c>
      <c r="U15" s="29">
        <f t="shared" si="5"/>
        <v>1</v>
      </c>
      <c r="V15" s="1">
        <f t="shared" si="5"/>
        <v>2.1801136974489768</v>
      </c>
      <c r="W15" s="139" t="str">
        <f t="shared" si="5"/>
        <v>(3,4,3,1,3,5); Estimation</v>
      </c>
      <c r="X15" s="165" t="e">
        <f t="shared" si="6"/>
        <v>#REF!</v>
      </c>
      <c r="Y15" s="29">
        <f t="shared" si="7"/>
        <v>1</v>
      </c>
      <c r="Z15" s="1">
        <f t="shared" si="7"/>
        <v>2.1801136974489768</v>
      </c>
      <c r="AA15" s="139" t="str">
        <f t="shared" si="7"/>
        <v>(3,4,3,1,3,5); Estimation</v>
      </c>
      <c r="AB15" s="165" t="e">
        <f t="shared" si="20"/>
        <v>#REF!</v>
      </c>
      <c r="AC15" s="29">
        <v>1</v>
      </c>
      <c r="AD15" s="1">
        <f t="shared" si="8"/>
        <v>2.1801136974489768</v>
      </c>
      <c r="AE15" s="31" t="str">
        <f>BZ15&amp;"; "&amp;BO15</f>
        <v>(3,4,3,1,3,5); Estimation</v>
      </c>
      <c r="AF15" s="331">
        <f>AF7</f>
        <v>72</v>
      </c>
      <c r="AG15" s="251">
        <f t="shared" si="10"/>
        <v>3.2727272727272729</v>
      </c>
      <c r="AH15" s="251"/>
      <c r="AI15" s="251"/>
      <c r="AJ15" s="251"/>
      <c r="AK15" s="331">
        <f>AK7</f>
        <v>75</v>
      </c>
      <c r="AL15" s="251">
        <f t="shared" si="11"/>
        <v>3.4090909090909092</v>
      </c>
      <c r="AM15" s="331">
        <v>73.7</v>
      </c>
      <c r="AN15" s="251">
        <f t="shared" si="12"/>
        <v>3.0329218106995883</v>
      </c>
      <c r="AO15" s="165">
        <f>AN15</f>
        <v>3.0329218106995883</v>
      </c>
      <c r="AQ15" s="412"/>
      <c r="AR15" s="251"/>
      <c r="AS15" s="251"/>
      <c r="AT15" s="251"/>
      <c r="AU15" s="331">
        <f>AU7</f>
        <v>43.2</v>
      </c>
      <c r="AV15" s="251">
        <f t="shared" si="13"/>
        <v>1.9636363636363638</v>
      </c>
      <c r="AW15" s="165">
        <f>AV15</f>
        <v>1.9636363636363638</v>
      </c>
      <c r="AZ15" s="251"/>
      <c r="BA15" s="251"/>
      <c r="BB15" s="251"/>
      <c r="BC15" s="251"/>
      <c r="BD15" s="251"/>
      <c r="BE15" s="251"/>
      <c r="BF15" s="251"/>
      <c r="BG15" s="331">
        <f>BG7</f>
        <v>88</v>
      </c>
      <c r="BH15" s="251">
        <f t="shared" si="17"/>
        <v>4</v>
      </c>
      <c r="BI15" s="165">
        <f>BI7</f>
        <v>1.6987962962962964</v>
      </c>
      <c r="BK15" s="251"/>
      <c r="BL15" s="251"/>
      <c r="BM15" s="251"/>
      <c r="BN15" s="251"/>
      <c r="BO15" s="86" t="s">
        <v>400</v>
      </c>
      <c r="BP15" s="10">
        <v>3</v>
      </c>
      <c r="BQ15" s="50">
        <v>4</v>
      </c>
      <c r="BR15" s="50">
        <v>3</v>
      </c>
      <c r="BS15" s="50">
        <v>1</v>
      </c>
      <c r="BT15" s="50">
        <v>3</v>
      </c>
      <c r="BU15" s="50">
        <v>5</v>
      </c>
      <c r="BV15" s="50">
        <f>IF(OR($D15="4",$E15="4"),INDEX([14]NamesElementary!$J$1:$J$65536,MATCH($A15,[14]NamesElementary!$A$1:$A$65536,0),1),INDEX([14]Names!$W$1:$W$65602,MATCH($A15,[14]Names!$F$1:$F$65602,0),1))</f>
        <v>3</v>
      </c>
      <c r="BW15" s="51">
        <f t="shared" si="19"/>
        <v>2</v>
      </c>
      <c r="BX15" s="87">
        <f>EXP(SQRT((LN(CB15)^2)+(LN(CC15)^2)+(LN(CD15)^2)+(LN(CE15)^2)+(LN(CF15)^2)+(LN(CG15)^2)))</f>
        <v>1.3582005896413567</v>
      </c>
      <c r="BY15" s="87">
        <f>EXP(SQRT((LN(CB15)^2)+(LN(CC15)^2)+(LN(CD15)^2)+(LN(CE15)^2)+(LN(CF15)^2)+(LN(CG15)^2)+LN(BW15)^2))</f>
        <v>2.1334738054081499</v>
      </c>
      <c r="BZ15" s="89" t="str">
        <f>CONCATENATE("(",BP15,",",BQ15,",",BR15,",",BS15,",",BT15,",",BU15,")")</f>
        <v>(3,4,3,1,3,5)</v>
      </c>
      <c r="CB15" s="52">
        <f>IF(BP15=1,'[14]SDG^2 values'!$B$4,IF(BP15=2,'[14]SDG^2 values'!$C$4,IF(BP15=3,'[14]SDG^2 values'!$D$4,IF(BP15=4,'[14]SDG^2 values'!$E$4,IF(BP15=5,'[14]SDG^2 values'!$F$4,1)))))</f>
        <v>1.1000000000000001</v>
      </c>
      <c r="CC15" s="52">
        <f>IF(BQ15=1,'[14]SDG^2 values'!$B$5,IF(BQ15=2,'[14]SDG^2 values'!$C$5,IF(BQ15=3,'[14]SDG^2 values'!$D$5,IF(BQ15=4,'[14]SDG^2 values'!$E$5,IF(BQ15=5,'[14]SDG^2 values'!$F$5,1)))))</f>
        <v>1.1000000000000001</v>
      </c>
      <c r="CD15" s="52">
        <f>IF(BR15=1,'[14]SDG^2 values'!$B$6,IF(BR15=2,'[14]SDG^2 values'!$C$6,IF(BR15=3,'[14]SDG^2 values'!$D$6,IF(BR15=4,'[14]SDG^2 values'!$E$6,IF(BR15=5,'[14]SDG^2 values'!$F$6,1)))))</f>
        <v>1.1000000000000001</v>
      </c>
      <c r="CE15" s="52">
        <f>IF(BS15=1,'[14]SDG^2 values'!$B$7,IF(BS15=2,'[14]SDG^2 values'!$C$7,IF(BS15=3,'[14]SDG^2 values'!$D$7,IF(BS15=4,'[14]SDG^2 values'!$E$7,IF(BS15=5,'[14]SDG^2 values'!$F$7,1)))))</f>
        <v>1</v>
      </c>
      <c r="CF15" s="52">
        <f>IF(BT15=1,'[14]SDG^2 values'!$B$8,IF(BT15=2,'[14]SDG^2 values'!$C$8,IF(BT15=3,'[14]SDG^2 values'!$D$8,IF(BT15=4,'[14]SDG^2 values'!$E$8,IF(BT15=5,'[14]SDG^2 values'!$F$8,1)))))</f>
        <v>1.2</v>
      </c>
      <c r="CG15" s="52">
        <f>IF(BU15=1,'[14]SDG^2 values'!$B$9,IF(BU15=2,'[14]SDG^2 values'!$C$9,IF(BU15=3,'[14]SDG^2 values'!$D$9,IF(BU15=4,'[14]SDG^2 values'!$E$9,IF(BU15=5,'[14]SDG^2 values'!$F$9,1)))))</f>
        <v>1.2</v>
      </c>
    </row>
    <row r="16" spans="1:85" ht="12.75">
      <c r="A16" s="157">
        <v>1121</v>
      </c>
      <c r="B16" s="168" t="s">
        <v>525</v>
      </c>
      <c r="C16" s="151" t="s">
        <v>525</v>
      </c>
      <c r="D16" s="152" t="s">
        <v>526</v>
      </c>
      <c r="E16" s="153" t="s">
        <v>402</v>
      </c>
      <c r="F16" s="144" t="str">
        <f>IF(OR(D16="4",E16="4"),INDEX([14]NamesElementary!$B$1:$B$65536,MATCH(A16,[14]NamesElementary!$A$1:$A$65536,0),1),INDEX([14]Names!$J$1:$J$65602,MATCH(A16,[14]Names!$F$1:$F$65602,0),1))</f>
        <v>sheet rolling, steel</v>
      </c>
      <c r="G16" s="125" t="str">
        <f>IF(OR(D16="4",E16="4"),"-",INDEX([14]Names!$K$1:$K$65602,MATCH(A16,[14]Names!$F$1:$F$65602,0),1))</f>
        <v>RER</v>
      </c>
      <c r="H16" s="164" t="str">
        <f>IF(OR(D16="4",E16="4"),INDEX([14]NamesElementary!$D$1:$D$65536,MATCH($A16,[14]NamesElementary!$A$1:$A$65536,0),1),"-")</f>
        <v>-</v>
      </c>
      <c r="I16" s="123" t="str">
        <f>IF(OR(D16="4",E16="4"),INDEX([14]NamesElementary!$E$1:$E$65536,MATCH($A16,[14]NamesElementary!$A$1:$A$65536,0),1),"-")</f>
        <v>-</v>
      </c>
      <c r="J16" s="124">
        <f>IF(OR(D16="4",E16="4"),"-",INDEX([14]Names!$N$1:$N$65602,MATCH(A16,[14]Names!$F$1:$F$65602,0),1))</f>
        <v>0</v>
      </c>
      <c r="K16" s="125" t="str">
        <f>IF(OR(D16="4",E16="4"),INDEX([14]NamesElementary!$G$1:$G$65536,MATCH(A16,[14]NamesElementary!$A$1:$A$65536,0),1),INDEX([14]Names!$O$1:$O$65602,MATCH(A16,[14]Names!$F$1:$F$65602,0),1))</f>
        <v>kg</v>
      </c>
      <c r="L16" s="165">
        <f t="shared" si="0"/>
        <v>0.10264220736751802</v>
      </c>
      <c r="M16" s="29">
        <f t="shared" si="1"/>
        <v>1</v>
      </c>
      <c r="N16" s="1">
        <f t="shared" si="1"/>
        <v>2.1801136974489768</v>
      </c>
      <c r="O16" s="139" t="str">
        <f t="shared" si="1"/>
        <v>(3,4,3,1,3,5); Estimation</v>
      </c>
      <c r="P16" s="165" t="e">
        <f t="shared" si="2"/>
        <v>#REF!</v>
      </c>
      <c r="Q16" s="29">
        <f t="shared" si="3"/>
        <v>1</v>
      </c>
      <c r="R16" s="1">
        <f t="shared" si="3"/>
        <v>2.1801136974489768</v>
      </c>
      <c r="S16" s="139" t="str">
        <f t="shared" si="3"/>
        <v>(3,4,3,1,3,5); Estimation</v>
      </c>
      <c r="T16" s="165">
        <f>T13</f>
        <v>0.34789533252388971</v>
      </c>
      <c r="U16" s="29">
        <f t="shared" si="5"/>
        <v>1</v>
      </c>
      <c r="V16" s="1">
        <f t="shared" si="5"/>
        <v>2.1801136974489768</v>
      </c>
      <c r="W16" s="139" t="str">
        <f t="shared" si="5"/>
        <v>(3,4,3,1,3,5); Estimation</v>
      </c>
      <c r="X16" s="165" t="e">
        <f>X13</f>
        <v>#REF!</v>
      </c>
      <c r="Y16" s="29">
        <f t="shared" si="7"/>
        <v>1</v>
      </c>
      <c r="Z16" s="1">
        <f t="shared" si="7"/>
        <v>2.1801136974489768</v>
      </c>
      <c r="AA16" s="139" t="str">
        <f t="shared" si="7"/>
        <v>(3,4,3,1,3,5); Estimation</v>
      </c>
      <c r="AB16" s="165" t="e">
        <f t="shared" si="20"/>
        <v>#REF!</v>
      </c>
      <c r="AC16" s="29">
        <v>1</v>
      </c>
      <c r="AD16" s="1">
        <f t="shared" si="8"/>
        <v>2.1801136974489768</v>
      </c>
      <c r="AE16" s="31" t="str">
        <f>BZ16&amp;"; "&amp;BO16</f>
        <v>(3,4,3,1,3,5); Estimation</v>
      </c>
      <c r="AF16" s="331">
        <v>3</v>
      </c>
      <c r="AG16" s="251">
        <f t="shared" si="10"/>
        <v>0.13636363636363635</v>
      </c>
      <c r="AH16" s="251"/>
      <c r="AI16" s="251"/>
      <c r="AJ16" s="251"/>
      <c r="AK16" s="331">
        <v>0</v>
      </c>
      <c r="AL16" s="251">
        <f t="shared" si="11"/>
        <v>0</v>
      </c>
      <c r="AM16" s="331">
        <v>37</v>
      </c>
      <c r="AN16" s="251">
        <f t="shared" si="12"/>
        <v>1.522633744855967</v>
      </c>
      <c r="AO16" s="165">
        <f>AN16</f>
        <v>1.522633744855967</v>
      </c>
      <c r="AQ16" s="412"/>
      <c r="AR16" s="251"/>
      <c r="AS16" s="251"/>
      <c r="AT16" s="251"/>
      <c r="AU16" s="331">
        <v>32</v>
      </c>
      <c r="AV16" s="251">
        <f t="shared" si="13"/>
        <v>1.4545454545454546</v>
      </c>
      <c r="AW16" s="165">
        <f>AV16</f>
        <v>1.4545454545454546</v>
      </c>
      <c r="AZ16" s="251"/>
      <c r="BA16" s="251"/>
      <c r="BB16" s="251"/>
      <c r="BC16" s="251"/>
      <c r="BD16" s="251"/>
      <c r="BE16" s="251"/>
      <c r="BF16" s="251"/>
      <c r="BG16" s="331">
        <v>53.1</v>
      </c>
      <c r="BH16" s="251">
        <f t="shared" si="17"/>
        <v>2.4136363636363636</v>
      </c>
      <c r="BI16" s="165">
        <v>0</v>
      </c>
      <c r="BK16" s="251"/>
      <c r="BL16" s="251"/>
      <c r="BM16" s="251"/>
      <c r="BN16" s="251"/>
      <c r="BO16" s="86" t="s">
        <v>400</v>
      </c>
      <c r="BP16" s="10">
        <v>3</v>
      </c>
      <c r="BQ16" s="50">
        <v>4</v>
      </c>
      <c r="BR16" s="50">
        <v>3</v>
      </c>
      <c r="BS16" s="50">
        <v>1</v>
      </c>
      <c r="BT16" s="50">
        <v>3</v>
      </c>
      <c r="BU16" s="50">
        <v>5</v>
      </c>
      <c r="BV16" s="50">
        <f>IF(OR($D16="4",$E16="4"),INDEX([14]NamesElementary!$J$1:$J$65536,MATCH($A16,[14]NamesElementary!$A$1:$A$65536,0),1),INDEX([14]Names!$W$1:$W$65602,MATCH($A16,[14]Names!$F$1:$F$65602,0),1))</f>
        <v>3</v>
      </c>
      <c r="BW16" s="51">
        <f t="shared" si="19"/>
        <v>2</v>
      </c>
      <c r="BX16" s="87">
        <f>EXP(SQRT((LN(CB16)^2)+(LN(CC16)^2)+(LN(CD16)^2)+(LN(CE16)^2)+(LN(CF16)^2)+(LN(CG16)^2)))</f>
        <v>1.3582005896413567</v>
      </c>
      <c r="BY16" s="87">
        <f>EXP(SQRT((LN(CB16)^2)+(LN(CC16)^2)+(LN(CD16)^2)+(LN(CE16)^2)+(LN(CF16)^2)+(LN(CG16)^2)+LN(BW16)^2))</f>
        <v>2.1334738054081499</v>
      </c>
      <c r="BZ16" s="89" t="str">
        <f>CONCATENATE("(",BP16,",",BQ16,",",BR16,",",BS16,",",BT16,",",BU16,")")</f>
        <v>(3,4,3,1,3,5)</v>
      </c>
      <c r="CB16" s="52">
        <f>IF(BP16=1,'[14]SDG^2 values'!$B$4,IF(BP16=2,'[14]SDG^2 values'!$C$4,IF(BP16=3,'[14]SDG^2 values'!$D$4,IF(BP16=4,'[14]SDG^2 values'!$E$4,IF(BP16=5,'[14]SDG^2 values'!$F$4,1)))))</f>
        <v>1.1000000000000001</v>
      </c>
      <c r="CC16" s="52">
        <f>IF(BQ16=1,'[14]SDG^2 values'!$B$5,IF(BQ16=2,'[14]SDG^2 values'!$C$5,IF(BQ16=3,'[14]SDG^2 values'!$D$5,IF(BQ16=4,'[14]SDG^2 values'!$E$5,IF(BQ16=5,'[14]SDG^2 values'!$F$5,1)))))</f>
        <v>1.1000000000000001</v>
      </c>
      <c r="CD16" s="52">
        <f>IF(BR16=1,'[14]SDG^2 values'!$B$6,IF(BR16=2,'[14]SDG^2 values'!$C$6,IF(BR16=3,'[14]SDG^2 values'!$D$6,IF(BR16=4,'[14]SDG^2 values'!$E$6,IF(BR16=5,'[14]SDG^2 values'!$F$6,1)))))</f>
        <v>1.1000000000000001</v>
      </c>
      <c r="CE16" s="52">
        <f>IF(BS16=1,'[14]SDG^2 values'!$B$7,IF(BS16=2,'[14]SDG^2 values'!$C$7,IF(BS16=3,'[14]SDG^2 values'!$D$7,IF(BS16=4,'[14]SDG^2 values'!$E$7,IF(BS16=5,'[14]SDG^2 values'!$F$7,1)))))</f>
        <v>1</v>
      </c>
      <c r="CF16" s="52">
        <f>IF(BT16=1,'[14]SDG^2 values'!$B$8,IF(BT16=2,'[14]SDG^2 values'!$C$8,IF(BT16=3,'[14]SDG^2 values'!$D$8,IF(BT16=4,'[14]SDG^2 values'!$E$8,IF(BT16=5,'[14]SDG^2 values'!$F$8,1)))))</f>
        <v>1.2</v>
      </c>
      <c r="CG16" s="52">
        <f>IF(BU16=1,'[14]SDG^2 values'!$B$9,IF(BU16=2,'[14]SDG^2 values'!$C$9,IF(BU16=3,'[14]SDG^2 values'!$D$9,IF(BU16=4,'[14]SDG^2 values'!$E$9,IF(BU16=5,'[14]SDG^2 values'!$F$9,1)))))</f>
        <v>1.2</v>
      </c>
    </row>
    <row r="17" spans="1:85" ht="12.75">
      <c r="A17" s="157">
        <v>1094</v>
      </c>
      <c r="B17" s="168" t="s">
        <v>525</v>
      </c>
      <c r="C17" s="151" t="s">
        <v>525</v>
      </c>
      <c r="D17" s="152" t="s">
        <v>526</v>
      </c>
      <c r="E17" s="153" t="s">
        <v>402</v>
      </c>
      <c r="F17" s="144" t="str">
        <f>IF(OR(D17="4",E17="4"),INDEX([14]NamesElementary!$B$1:$B$65536,MATCH(A17,[14]NamesElementary!$A$1:$A$65536,0),1),INDEX([14]Names!$J$1:$J$65602,MATCH(A17,[14]Names!$F$1:$F$65602,0),1))</f>
        <v>section bar rolling, steel</v>
      </c>
      <c r="G17" s="125" t="str">
        <f>IF(OR(D17="4",E17="4"),"-",INDEX([14]Names!$K$1:$K$65602,MATCH(A17,[14]Names!$F$1:$F$65602,0),1))</f>
        <v>RER</v>
      </c>
      <c r="H17" s="164" t="str">
        <f>IF(OR(D17="4",E17="4"),INDEX([14]NamesElementary!$D$1:$D$65536,MATCH($A17,[14]NamesElementary!$A$1:$A$65536,0),1),"-")</f>
        <v>-</v>
      </c>
      <c r="I17" s="123" t="str">
        <f>IF(OR(D17="4",E17="4"),INDEX([14]NamesElementary!$E$1:$E$65536,MATCH($A17,[14]NamesElementary!$A$1:$A$65536,0),1),"-")</f>
        <v>-</v>
      </c>
      <c r="J17" s="124">
        <f>IF(OR(D17="4",E17="4"),"-",INDEX([14]Names!$N$1:$N$65602,MATCH(A17,[14]Names!$F$1:$F$65602,0),1))</f>
        <v>0</v>
      </c>
      <c r="K17" s="125" t="str">
        <f>IF(OR(D17="4",E17="4"),INDEX([14]NamesElementary!$G$1:$G$65536,MATCH(A17,[14]NamesElementary!$A$1:$A$65536,0),1),INDEX([14]Names!$O$1:$O$65602,MATCH(A17,[14]Names!$F$1:$F$65602,0),1))</f>
        <v>kg</v>
      </c>
      <c r="L17" s="165">
        <f t="shared" si="0"/>
        <v>1.5772685865475271</v>
      </c>
      <c r="M17" s="29">
        <f t="shared" si="1"/>
        <v>1</v>
      </c>
      <c r="N17" s="1">
        <f t="shared" si="1"/>
        <v>2.1801136974489768</v>
      </c>
      <c r="O17" s="139" t="str">
        <f t="shared" si="1"/>
        <v>(3,4,3,1,3,5); Brunschweiler 1993</v>
      </c>
      <c r="P17" s="165" t="e">
        <f t="shared" si="2"/>
        <v>#REF!</v>
      </c>
      <c r="Q17" s="29">
        <f t="shared" si="3"/>
        <v>1</v>
      </c>
      <c r="R17" s="1">
        <f t="shared" si="3"/>
        <v>2.1801136974489768</v>
      </c>
      <c r="S17" s="139" t="str">
        <f t="shared" si="3"/>
        <v>(3,4,3,1,3,5); Brunschweiler 1993</v>
      </c>
      <c r="T17" s="165">
        <f>AO17*T$39</f>
        <v>0</v>
      </c>
      <c r="U17" s="29">
        <f t="shared" si="5"/>
        <v>1</v>
      </c>
      <c r="V17" s="1">
        <f t="shared" si="5"/>
        <v>2.1801136974489768</v>
      </c>
      <c r="W17" s="139" t="str">
        <f t="shared" si="5"/>
        <v>(3,4,3,1,3,5); Brunschweiler 1993</v>
      </c>
      <c r="X17" s="165">
        <v>0</v>
      </c>
      <c r="Y17" s="29">
        <f t="shared" si="7"/>
        <v>1</v>
      </c>
      <c r="Z17" s="1">
        <f t="shared" si="7"/>
        <v>2.1801136974489768</v>
      </c>
      <c r="AA17" s="139" t="str">
        <f t="shared" si="7"/>
        <v>(3,4,3,1,3,5); Brunschweiler 1993</v>
      </c>
      <c r="AB17" s="165" t="e">
        <f t="shared" si="20"/>
        <v>#REF!</v>
      </c>
      <c r="AC17" s="29">
        <v>1</v>
      </c>
      <c r="AD17" s="1">
        <f t="shared" si="8"/>
        <v>2.1801136974489768</v>
      </c>
      <c r="AE17" s="31" t="str">
        <f>BZ17&amp;"; "&amp;BO17</f>
        <v>(3,4,3,1,3,5); Brunschweiler 1993</v>
      </c>
      <c r="AF17" s="331">
        <f>8.1+38</f>
        <v>46.1</v>
      </c>
      <c r="AG17" s="251">
        <f t="shared" si="10"/>
        <v>2.0954545454545457</v>
      </c>
      <c r="AH17" s="251"/>
      <c r="AI17" s="251"/>
      <c r="AJ17" s="251"/>
      <c r="AK17" s="331">
        <v>0</v>
      </c>
      <c r="AL17" s="251">
        <f t="shared" si="11"/>
        <v>0</v>
      </c>
      <c r="AM17" s="331">
        <v>0</v>
      </c>
      <c r="AN17" s="251">
        <f t="shared" si="12"/>
        <v>0</v>
      </c>
      <c r="AO17" s="165">
        <f>AN17</f>
        <v>0</v>
      </c>
      <c r="AQ17" s="412"/>
      <c r="AR17" s="251"/>
      <c r="AS17" s="251"/>
      <c r="AT17" s="251"/>
      <c r="AU17" s="331">
        <v>50</v>
      </c>
      <c r="AV17" s="251">
        <f t="shared" si="13"/>
        <v>2.2727272727272729</v>
      </c>
      <c r="AW17" s="165">
        <f>AV17</f>
        <v>2.2727272727272729</v>
      </c>
      <c r="AZ17" s="251"/>
      <c r="BA17" s="251"/>
      <c r="BB17" s="251"/>
      <c r="BC17" s="251"/>
      <c r="BD17" s="251"/>
      <c r="BE17" s="251"/>
      <c r="BF17" s="251"/>
      <c r="BG17" s="331">
        <v>67</v>
      </c>
      <c r="BH17" s="251">
        <f t="shared" si="17"/>
        <v>3.0454545454545454</v>
      </c>
      <c r="BI17" s="165">
        <f>BI13</f>
        <v>0.15148148148148149</v>
      </c>
      <c r="BK17" s="251"/>
      <c r="BL17" s="251"/>
      <c r="BM17" s="251"/>
      <c r="BN17" s="251"/>
      <c r="BO17" s="86" t="s">
        <v>372</v>
      </c>
      <c r="BP17" s="10">
        <v>3</v>
      </c>
      <c r="BQ17" s="50">
        <v>4</v>
      </c>
      <c r="BR17" s="50">
        <v>3</v>
      </c>
      <c r="BS17" s="50">
        <v>1</v>
      </c>
      <c r="BT17" s="50">
        <v>3</v>
      </c>
      <c r="BU17" s="50">
        <v>5</v>
      </c>
      <c r="BV17" s="50">
        <f>IF(OR($D17="4",$E17="4"),INDEX([14]NamesElementary!$J$1:$J$65536,MATCH($A17,[14]NamesElementary!$A$1:$A$65536,0),1),INDEX([14]Names!$W$1:$W$65602,MATCH($A17,[14]Names!$F$1:$F$65602,0),1))</f>
        <v>3</v>
      </c>
      <c r="BW17" s="51">
        <f t="shared" si="19"/>
        <v>2</v>
      </c>
      <c r="BX17" s="87">
        <f>EXP(SQRT((LN(CB17)^2)+(LN(CC17)^2)+(LN(CD17)^2)+(LN(CE17)^2)+(LN(CF17)^2)+(LN(CG17)^2)))</f>
        <v>1.3582005896413567</v>
      </c>
      <c r="BY17" s="87">
        <f>EXP(SQRT((LN(CB17)^2)+(LN(CC17)^2)+(LN(CD17)^2)+(LN(CE17)^2)+(LN(CF17)^2)+(LN(CG17)^2)+LN(BW17)^2))</f>
        <v>2.1334738054081499</v>
      </c>
      <c r="BZ17" s="89" t="str">
        <f>CONCATENATE("(",BP17,",",BQ17,",",BR17,",",BS17,",",BT17,",",BU17,")")</f>
        <v>(3,4,3,1,3,5)</v>
      </c>
      <c r="CB17" s="52">
        <f>IF(BP17=1,'[14]SDG^2 values'!$B$4,IF(BP17=2,'[14]SDG^2 values'!$C$4,IF(BP17=3,'[14]SDG^2 values'!$D$4,IF(BP17=4,'[14]SDG^2 values'!$E$4,IF(BP17=5,'[14]SDG^2 values'!$F$4,1)))))</f>
        <v>1.1000000000000001</v>
      </c>
      <c r="CC17" s="52">
        <f>IF(BQ17=1,'[14]SDG^2 values'!$B$5,IF(BQ17=2,'[14]SDG^2 values'!$C$5,IF(BQ17=3,'[14]SDG^2 values'!$D$5,IF(BQ17=4,'[14]SDG^2 values'!$E$5,IF(BQ17=5,'[14]SDG^2 values'!$F$5,1)))))</f>
        <v>1.1000000000000001</v>
      </c>
      <c r="CD17" s="52">
        <f>IF(BR17=1,'[14]SDG^2 values'!$B$6,IF(BR17=2,'[14]SDG^2 values'!$C$6,IF(BR17=3,'[14]SDG^2 values'!$D$6,IF(BR17=4,'[14]SDG^2 values'!$E$6,IF(BR17=5,'[14]SDG^2 values'!$F$6,1)))))</f>
        <v>1.1000000000000001</v>
      </c>
      <c r="CE17" s="52">
        <f>IF(BS17=1,'[14]SDG^2 values'!$B$7,IF(BS17=2,'[14]SDG^2 values'!$C$7,IF(BS17=3,'[14]SDG^2 values'!$D$7,IF(BS17=4,'[14]SDG^2 values'!$E$7,IF(BS17=5,'[14]SDG^2 values'!$F$7,1)))))</f>
        <v>1</v>
      </c>
      <c r="CF17" s="52">
        <f>IF(BT17=1,'[14]SDG^2 values'!$B$8,IF(BT17=2,'[14]SDG^2 values'!$C$8,IF(BT17=3,'[14]SDG^2 values'!$D$8,IF(BT17=4,'[14]SDG^2 values'!$E$8,IF(BT17=5,'[14]SDG^2 values'!$F$8,1)))))</f>
        <v>1.2</v>
      </c>
      <c r="CG17" s="52">
        <f>IF(BU17=1,'[14]SDG^2 values'!$B$9,IF(BU17=2,'[14]SDG^2 values'!$C$9,IF(BU17=3,'[14]SDG^2 values'!$D$9,IF(BU17=4,'[14]SDG^2 values'!$E$9,IF(BU17=5,'[14]SDG^2 values'!$F$9,1)))))</f>
        <v>1.2</v>
      </c>
    </row>
    <row r="18" spans="1:85" ht="24">
      <c r="A18" s="156">
        <v>1845</v>
      </c>
      <c r="B18" s="168" t="s">
        <v>152</v>
      </c>
      <c r="C18" s="151" t="s">
        <v>525</v>
      </c>
      <c r="D18" s="152" t="s">
        <v>526</v>
      </c>
      <c r="E18" s="153" t="s">
        <v>402</v>
      </c>
      <c r="F18" s="144" t="str">
        <f>IF(OR(D18="4",E18="4"),INDEX([14]NamesElementary!$B$1:$B$65536,MATCH(A18,[14]NamesElementary!$A$1:$A$65536,0),1),INDEX([14]Names!$J$1:$J$65602,MATCH(A18,[14]Names!$F$1:$F$65602,0),1))</f>
        <v>transport, lorry 20-28t, fleet average</v>
      </c>
      <c r="G18" s="125" t="str">
        <f>IF(OR(D18="4",E18="4"),"-",INDEX([14]Names!$K$1:$K$65602,MATCH(A18,[14]Names!$F$1:$F$65602,0),1))</f>
        <v>CH</v>
      </c>
      <c r="H18" s="164" t="str">
        <f>IF(OR(D18="4",E18="4"),INDEX([14]NamesElementary!$D$1:$D$65536,MATCH($A18,[14]NamesElementary!$A$1:$A$65536,0),1),"-")</f>
        <v>-</v>
      </c>
      <c r="I18" s="123" t="str">
        <f>IF(OR(D18="4",E18="4"),INDEX([14]NamesElementary!$E$1:$E$65536,MATCH($A18,[14]NamesElementary!$A$1:$A$65536,0),1),"-")</f>
        <v>-</v>
      </c>
      <c r="J18" s="124">
        <f>IF(OR(D18="4",E18="4"),"-",INDEX([14]Names!$N$1:$N$65602,MATCH(A18,[14]Names!$F$1:$F$65602,0),1))</f>
        <v>0</v>
      </c>
      <c r="K18" s="125" t="str">
        <f>IF(OR(D18="4",E18="4"),INDEX([14]NamesElementary!$G$1:$G$65536,MATCH(A18,[14]NamesElementary!$A$1:$A$65536,0),1),INDEX([14]Names!$O$1:$O$65602,MATCH(A18,[14]Names!$F$1:$F$65602,0),1))</f>
        <v>tkm</v>
      </c>
      <c r="L18" s="165">
        <f>0.05*(SUM(L7:L14)+L41*540)+0.01*SUM(L21:L23)</f>
        <v>0.20967065839654134</v>
      </c>
      <c r="M18" s="29">
        <f t="shared" si="1"/>
        <v>1</v>
      </c>
      <c r="N18" s="1">
        <f t="shared" si="1"/>
        <v>2.1418997227527785</v>
      </c>
      <c r="O18" s="139" t="str">
        <f t="shared" si="1"/>
        <v>(4,5,na,na,na,na); Standard distance 50km</v>
      </c>
      <c r="P18" s="165" t="e">
        <f>0.05*(SUM(P7:P14)+P41*540)+0.01*SUM(P21:P23)</f>
        <v>#REF!</v>
      </c>
      <c r="Q18" s="29">
        <f t="shared" si="3"/>
        <v>1</v>
      </c>
      <c r="R18" s="1">
        <f t="shared" si="3"/>
        <v>2.1418997227527785</v>
      </c>
      <c r="S18" s="139" t="str">
        <f t="shared" si="3"/>
        <v>(4,5,na,na,na,na); Standard distance 50km</v>
      </c>
      <c r="T18" s="165">
        <f>0.05*(SUM(T7:T14)+T41*540)+0.01*SUM(T21:T23)</f>
        <v>0.33412214165847942</v>
      </c>
      <c r="U18" s="29">
        <f t="shared" si="5"/>
        <v>1</v>
      </c>
      <c r="V18" s="1">
        <f t="shared" si="5"/>
        <v>2.1418997227527785</v>
      </c>
      <c r="W18" s="139" t="str">
        <f t="shared" si="5"/>
        <v>(4,5,na,na,na,na); Standard distance 50km</v>
      </c>
      <c r="X18" s="165" t="e">
        <f>0.05*(SUM(X7:X14)+X41*540)+0.01*SUM(X21:X23)</f>
        <v>#REF!</v>
      </c>
      <c r="Y18" s="29">
        <f t="shared" si="7"/>
        <v>1</v>
      </c>
      <c r="Z18" s="1">
        <f t="shared" si="7"/>
        <v>2.1418997227527785</v>
      </c>
      <c r="AA18" s="139" t="str">
        <f t="shared" si="7"/>
        <v>(4,5,na,na,na,na); Standard distance 50km</v>
      </c>
      <c r="AB18" s="165" t="e">
        <f>0.05*(SUM(AB7:AB14)+AB41*540)+0.01*SUM(AB21:AB23)</f>
        <v>#REF!</v>
      </c>
      <c r="AC18" s="29">
        <v>1</v>
      </c>
      <c r="AD18" s="1">
        <f t="shared" si="8"/>
        <v>2.1418997227527785</v>
      </c>
      <c r="AE18" s="31" t="str">
        <f t="shared" si="9"/>
        <v>(4,5,na,na,na,na); Standard distance 50km</v>
      </c>
      <c r="AF18" s="331">
        <f>0.05*(SUM(AF7:AF13)+AF14*2200+AF41*540)+0.01*SUM(AF21:AF23)</f>
        <v>6.1281999999999996</v>
      </c>
      <c r="AG18" s="251">
        <f t="shared" si="10"/>
        <v>0.27855454545454544</v>
      </c>
      <c r="AH18" s="251"/>
      <c r="AI18" s="251"/>
      <c r="AJ18" s="251"/>
      <c r="AK18" s="331">
        <f>0.05*(SUM(AK7:AK13)+AK14*2200+AK41*540)+0.01*SUM(AK21:AK23)</f>
        <v>3.75</v>
      </c>
      <c r="AL18" s="251">
        <f t="shared" si="11"/>
        <v>0.17045454545454544</v>
      </c>
      <c r="AM18" s="331">
        <f>0.05*(SUM(AM7:AM13)+AM14*2200+AM41*540)+0.01*SUM(AM21:AM23)</f>
        <v>424826.39820000005</v>
      </c>
      <c r="AN18" s="251">
        <f t="shared" si="12"/>
        <v>17482.567827160496</v>
      </c>
      <c r="AO18" s="251"/>
      <c r="AQ18" s="412"/>
      <c r="AR18" s="251"/>
      <c r="AS18" s="251"/>
      <c r="AT18" s="251"/>
      <c r="AU18" s="331">
        <f>0.05*(SUM(AU7:AU13)+AU14*2200+AU41*540)+0.01*SUM(AU21:AU23)</f>
        <v>11.486200000000002</v>
      </c>
      <c r="AV18" s="251">
        <f t="shared" si="13"/>
        <v>0.52210000000000012</v>
      </c>
      <c r="AW18" s="251"/>
      <c r="AZ18" s="251"/>
      <c r="BA18" s="251"/>
      <c r="BB18" s="251"/>
      <c r="BC18" s="251"/>
      <c r="BD18" s="251"/>
      <c r="BE18" s="251"/>
      <c r="BF18" s="251"/>
      <c r="BG18" s="331">
        <f>0.05*(SUM(BG7:BG13)+BG14*2200+BG41*540)+0.01*SUM(BG21:BG23)</f>
        <v>10.926200000000001</v>
      </c>
      <c r="BH18" s="251">
        <f t="shared" si="17"/>
        <v>0.49664545454545461</v>
      </c>
      <c r="BI18" s="251"/>
      <c r="BK18" s="251"/>
      <c r="BL18" s="251"/>
      <c r="BM18" s="251"/>
      <c r="BN18" s="251"/>
      <c r="BO18" s="86" t="s">
        <v>405</v>
      </c>
      <c r="BP18" s="10">
        <v>4</v>
      </c>
      <c r="BQ18" s="50">
        <v>5</v>
      </c>
      <c r="BR18" s="50" t="s">
        <v>271</v>
      </c>
      <c r="BS18" s="50" t="s">
        <v>271</v>
      </c>
      <c r="BT18" s="50" t="s">
        <v>271</v>
      </c>
      <c r="BU18" s="50" t="s">
        <v>271</v>
      </c>
      <c r="BV18" s="50">
        <f>IF(OR($D18="4",$E18="4"),INDEX([14]NamesElementary!$J$1:$J$65536,MATCH($A18,[14]NamesElementary!$A$1:$A$65536,0),1),INDEX([14]Names!$W$1:$W$65602,MATCH($A18,[14]Names!$F$1:$F$65602,0),1))</f>
        <v>5</v>
      </c>
      <c r="BW18" s="51">
        <f>INDEX([14]BasicUncertainty!$H$1:$H$65536,MATCH(BV18,[14]BasicUncertainty!$B$1:$B$65536,0),1)</f>
        <v>2</v>
      </c>
      <c r="BX18" s="87">
        <f t="shared" si="14"/>
        <v>1.2941338353151037</v>
      </c>
      <c r="BY18" s="87">
        <f t="shared" si="15"/>
        <v>2.0949941301068096</v>
      </c>
      <c r="BZ18" s="89" t="str">
        <f t="shared" si="16"/>
        <v>(4,5,na,na,na,na)</v>
      </c>
      <c r="CB18" s="52">
        <f>IF(BP18=1,'[14]SDG^2 values'!$B$4,IF(BP18=2,'[14]SDG^2 values'!$C$4,IF(BP18=3,'[14]SDG^2 values'!$D$4,IF(BP18=4,'[14]SDG^2 values'!$E$4,IF(BP18=5,'[14]SDG^2 values'!$F$4,1)))))</f>
        <v>1.2</v>
      </c>
      <c r="CC18" s="52">
        <f>IF(BQ18=1,'[14]SDG^2 values'!$B$5,IF(BQ18=2,'[14]SDG^2 values'!$C$5,IF(BQ18=3,'[14]SDG^2 values'!$D$5,IF(BQ18=4,'[14]SDG^2 values'!$E$5,IF(BQ18=5,'[14]SDG^2 values'!$F$5,1)))))</f>
        <v>1.2</v>
      </c>
      <c r="CD18" s="52">
        <f>IF(BR18=1,'[14]SDG^2 values'!$B$6,IF(BR18=2,'[14]SDG^2 values'!$C$6,IF(BR18=3,'[14]SDG^2 values'!$D$6,IF(BR18=4,'[14]SDG^2 values'!$E$6,IF(BR18=5,'[14]SDG^2 values'!$F$6,1)))))</f>
        <v>1</v>
      </c>
      <c r="CE18" s="52">
        <f>IF(BS18=1,'[14]SDG^2 values'!$B$7,IF(BS18=2,'[14]SDG^2 values'!$C$7,IF(BS18=3,'[14]SDG^2 values'!$D$7,IF(BS18=4,'[14]SDG^2 values'!$E$7,IF(BS18=5,'[14]SDG^2 values'!$F$7,1)))))</f>
        <v>1</v>
      </c>
      <c r="CF18" s="52">
        <f>IF(BT18=1,'[14]SDG^2 values'!$B$8,IF(BT18=2,'[14]SDG^2 values'!$C$8,IF(BT18=3,'[14]SDG^2 values'!$D$8,IF(BT18=4,'[14]SDG^2 values'!$E$8,IF(BT18=5,'[14]SDG^2 values'!$F$8,1)))))</f>
        <v>1</v>
      </c>
      <c r="CG18" s="52">
        <f>IF(BU18=1,'[14]SDG^2 values'!$B$9,IF(BU18=2,'[14]SDG^2 values'!$C$9,IF(BU18=3,'[14]SDG^2 values'!$D$9,IF(BU18=4,'[14]SDG^2 values'!$E$9,IF(BU18=5,'[14]SDG^2 values'!$F$9,1)))))</f>
        <v>1</v>
      </c>
    </row>
    <row r="19" spans="1:85" ht="24">
      <c r="A19" s="2">
        <v>1842</v>
      </c>
      <c r="B19" s="168" t="s">
        <v>525</v>
      </c>
      <c r="C19" s="151" t="s">
        <v>525</v>
      </c>
      <c r="D19" s="152" t="s">
        <v>526</v>
      </c>
      <c r="E19" s="153" t="s">
        <v>402</v>
      </c>
      <c r="F19" s="144" t="str">
        <f>IF(OR(D19="4",E19="4"),INDEX([14]NamesElementary!$B$1:$B$65536,MATCH(A19,[14]NamesElementary!$A$1:$A$65536,0),1),INDEX([14]Names!$J$1:$J$65602,MATCH(A19,[14]Names!$F$1:$F$65602,0),1))</f>
        <v>transport, freight, rail</v>
      </c>
      <c r="G19" s="125" t="str">
        <f>IF(OR(D19="4",E19="4"),"-",INDEX([14]Names!$K$1:$K$65602,MATCH(A19,[14]Names!$F$1:$F$65602,0),1))</f>
        <v>CH</v>
      </c>
      <c r="H19" s="164" t="str">
        <f>IF(OR(D19="4",E19="4"),INDEX([14]NamesElementary!$D$1:$D$65536,MATCH($A19,[14]NamesElementary!$A$1:$A$65536,0),1),"-")</f>
        <v>-</v>
      </c>
      <c r="I19" s="123" t="str">
        <f>IF(OR(D19="4",E19="4"),INDEX([14]NamesElementary!$E$1:$E$65536,MATCH($A19,[14]NamesElementary!$A$1:$A$65536,0),1),"-")</f>
        <v>-</v>
      </c>
      <c r="J19" s="124">
        <f>IF(OR(D19="4",E19="4"),"-",INDEX([14]Names!$N$1:$N$65602,MATCH(A19,[14]Names!$F$1:$F$65602,0),1))</f>
        <v>0</v>
      </c>
      <c r="K19" s="125" t="str">
        <f>IF(OR(D19="4",E19="4"),INDEX([14]NamesElementary!$G$1:$G$65536,MATCH(A19,[14]NamesElementary!$A$1:$A$65536,0),1),INDEX([14]Names!$O$1:$O$65602,MATCH(A19,[14]Names!$F$1:$F$65602,0),1))</f>
        <v>tkm</v>
      </c>
      <c r="L19" s="165">
        <f>0.2*(SUM(L7:L12)+L41*540)+0.6*L13</f>
        <v>1.5089773045790049</v>
      </c>
      <c r="M19" s="29">
        <f t="shared" si="1"/>
        <v>1</v>
      </c>
      <c r="N19" s="1">
        <f t="shared" si="1"/>
        <v>2.1418997227527785</v>
      </c>
      <c r="O19" s="139" t="str">
        <f t="shared" si="1"/>
        <v>(4,5,na,na,na,na); Standard distances 200km, 600km</v>
      </c>
      <c r="P19" s="165" t="e">
        <f>0.2*(SUM(P7:P12)+P41*540)+0.6*P13</f>
        <v>#REF!</v>
      </c>
      <c r="Q19" s="29">
        <f t="shared" si="3"/>
        <v>1</v>
      </c>
      <c r="R19" s="1">
        <f t="shared" si="3"/>
        <v>2.1418997227527785</v>
      </c>
      <c r="S19" s="139" t="str">
        <f t="shared" si="3"/>
        <v>(4,5,na,na,na,na); Standard distances 200km, 600km</v>
      </c>
      <c r="T19" s="165">
        <f>0.2*(SUM(T7:T12)+T41*540)+0.6*T13</f>
        <v>1.3740003826666201</v>
      </c>
      <c r="U19" s="29">
        <f t="shared" si="5"/>
        <v>1</v>
      </c>
      <c r="V19" s="1">
        <f t="shared" si="5"/>
        <v>2.1418997227527785</v>
      </c>
      <c r="W19" s="139" t="str">
        <f t="shared" si="5"/>
        <v>(4,5,na,na,na,na); Standard distances 200km, 600km</v>
      </c>
      <c r="X19" s="165" t="e">
        <f>0.2*(SUM(X7:X12)+X41*540)+0.6*X13</f>
        <v>#REF!</v>
      </c>
      <c r="Y19" s="29">
        <f t="shared" si="7"/>
        <v>1</v>
      </c>
      <c r="Z19" s="1">
        <f t="shared" si="7"/>
        <v>2.1418997227527785</v>
      </c>
      <c r="AA19" s="139" t="str">
        <f t="shared" si="7"/>
        <v>(4,5,na,na,na,na); Standard distances 200km, 600km</v>
      </c>
      <c r="AB19" s="165" t="e">
        <f>0.2*(SUM(AB7:AB12)+AB41*540)+0.6*AB13</f>
        <v>#REF!</v>
      </c>
      <c r="AC19" s="29">
        <v>1</v>
      </c>
      <c r="AD19" s="1">
        <f t="shared" si="8"/>
        <v>2.1418997227527785</v>
      </c>
      <c r="AE19" s="31" t="str">
        <f t="shared" si="9"/>
        <v>(4,5,na,na,na,na); Standard distances 200km, 600km</v>
      </c>
      <c r="AF19" s="331">
        <f>0.2*(SUM(AF7:AF12)+AF14*2200+AF41*540)+0.6*AF13</f>
        <v>44.103999999999999</v>
      </c>
      <c r="AG19" s="251">
        <f t="shared" si="10"/>
        <v>2.0047272727272727</v>
      </c>
      <c r="AH19" s="251"/>
      <c r="AI19" s="251"/>
      <c r="AJ19" s="251"/>
      <c r="AK19" s="331">
        <f>0.2*(SUM(AK7:AK12)+AK14*2200+AK41*540)+0.6*AK13</f>
        <v>15</v>
      </c>
      <c r="AL19" s="251">
        <f t="shared" si="11"/>
        <v>0.68181818181818177</v>
      </c>
      <c r="AM19" s="331">
        <f>0.2*(SUM(AM7:AM12)+AM14*2200+AM41*540)+0.6*AM13</f>
        <v>1699323.6640000001</v>
      </c>
      <c r="AN19" s="251">
        <f t="shared" si="12"/>
        <v>69931.014979423868</v>
      </c>
      <c r="AO19" s="251"/>
      <c r="AQ19" s="412"/>
      <c r="AR19" s="251"/>
      <c r="AS19" s="251"/>
      <c r="AT19" s="251"/>
      <c r="AU19" s="331">
        <f>0.2*(SUM(AU7:AU12)+AU14*2200+AU41*540)+0.6*AU13</f>
        <v>108.70400000000001</v>
      </c>
      <c r="AV19" s="251">
        <f t="shared" si="13"/>
        <v>4.9410909090909092</v>
      </c>
      <c r="AW19" s="251"/>
      <c r="AZ19" s="251"/>
      <c r="BA19" s="251"/>
      <c r="BB19" s="251"/>
      <c r="BC19" s="251"/>
      <c r="BD19" s="251"/>
      <c r="BE19" s="251"/>
      <c r="BF19" s="251"/>
      <c r="BG19" s="331">
        <f>0.2*(SUM(BG7:BG12)+BG14*2200+BG41*540)+0.6*BG13</f>
        <v>93.823999999999998</v>
      </c>
      <c r="BH19" s="251">
        <f t="shared" si="17"/>
        <v>4.2647272727272725</v>
      </c>
      <c r="BI19" s="251"/>
      <c r="BK19" s="251"/>
      <c r="BL19" s="251"/>
      <c r="BM19" s="251"/>
      <c r="BN19" s="251"/>
      <c r="BO19" s="86" t="s">
        <v>681</v>
      </c>
      <c r="BP19" s="10">
        <v>4</v>
      </c>
      <c r="BQ19" s="50">
        <v>5</v>
      </c>
      <c r="BR19" s="50" t="s">
        <v>271</v>
      </c>
      <c r="BS19" s="50" t="s">
        <v>271</v>
      </c>
      <c r="BT19" s="50" t="s">
        <v>271</v>
      </c>
      <c r="BU19" s="50" t="s">
        <v>271</v>
      </c>
      <c r="BV19" s="50">
        <f>IF(OR($D19="4",$E19="4"),INDEX([14]NamesElementary!$J$1:$J$65536,MATCH($A19,[14]NamesElementary!$A$1:$A$65536,0),1),INDEX([14]Names!$W$1:$W$65602,MATCH($A19,[14]Names!$F$1:$F$65602,0),1))</f>
        <v>5</v>
      </c>
      <c r="BW19" s="51">
        <f>INDEX([14]BasicUncertainty!$H$1:$H$65536,MATCH(BV19,[14]BasicUncertainty!$B$1:$B$65536,0),1)</f>
        <v>2</v>
      </c>
      <c r="BX19" s="87">
        <f t="shared" si="14"/>
        <v>1.2941338353151037</v>
      </c>
      <c r="BY19" s="87">
        <f t="shared" si="15"/>
        <v>2.0949941301068096</v>
      </c>
      <c r="BZ19" s="89" t="str">
        <f t="shared" si="16"/>
        <v>(4,5,na,na,na,na)</v>
      </c>
      <c r="CB19" s="52">
        <f>IF(BP19=1,'[14]SDG^2 values'!$B$4,IF(BP19=2,'[14]SDG^2 values'!$C$4,IF(BP19=3,'[14]SDG^2 values'!$D$4,IF(BP19=4,'[14]SDG^2 values'!$E$4,IF(BP19=5,'[14]SDG^2 values'!$F$4,1)))))</f>
        <v>1.2</v>
      </c>
      <c r="CC19" s="52">
        <f>IF(BQ19=1,'[14]SDG^2 values'!$B$5,IF(BQ19=2,'[14]SDG^2 values'!$C$5,IF(BQ19=3,'[14]SDG^2 values'!$D$5,IF(BQ19=4,'[14]SDG^2 values'!$E$5,IF(BQ19=5,'[14]SDG^2 values'!$F$5,1)))))</f>
        <v>1.2</v>
      </c>
      <c r="CD19" s="52">
        <f>IF(BR19=1,'[14]SDG^2 values'!$B$6,IF(BR19=2,'[14]SDG^2 values'!$C$6,IF(BR19=3,'[14]SDG^2 values'!$D$6,IF(BR19=4,'[14]SDG^2 values'!$E$6,IF(BR19=5,'[14]SDG^2 values'!$F$6,1)))))</f>
        <v>1</v>
      </c>
      <c r="CE19" s="52">
        <f>IF(BS19=1,'[14]SDG^2 values'!$B$7,IF(BS19=2,'[14]SDG^2 values'!$C$7,IF(BS19=3,'[14]SDG^2 values'!$D$7,IF(BS19=4,'[14]SDG^2 values'!$E$7,IF(BS19=5,'[14]SDG^2 values'!$F$7,1)))))</f>
        <v>1</v>
      </c>
      <c r="CF19" s="52">
        <f>IF(BT19=1,'[14]SDG^2 values'!$B$8,IF(BT19=2,'[14]SDG^2 values'!$C$8,IF(BT19=3,'[14]SDG^2 values'!$D$8,IF(BT19=4,'[14]SDG^2 values'!$E$8,IF(BT19=5,'[14]SDG^2 values'!$F$8,1)))))</f>
        <v>1</v>
      </c>
      <c r="CG19" s="52">
        <f>IF(BU19=1,'[14]SDG^2 values'!$B$9,IF(BU19=2,'[14]SDG^2 values'!$C$9,IF(BU19=3,'[14]SDG^2 values'!$D$9,IF(BU19=4,'[14]SDG^2 values'!$E$9,IF(BU19=5,'[14]SDG^2 values'!$F$9,1)))))</f>
        <v>1</v>
      </c>
    </row>
    <row r="20" spans="1:85" ht="12.75">
      <c r="A20" s="157">
        <v>2988</v>
      </c>
      <c r="B20" s="163" t="s">
        <v>525</v>
      </c>
      <c r="C20" s="151" t="s">
        <v>525</v>
      </c>
      <c r="D20" s="152" t="s">
        <v>526</v>
      </c>
      <c r="E20" s="153" t="s">
        <v>402</v>
      </c>
      <c r="F20" s="144" t="str">
        <f>IF(OR(D20="4",E20="4"),INDEX([14]NamesElementary!$B$1:$B$65536,MATCH(A20,[14]NamesElementary!$A$1:$A$65536,0),1),INDEX([14]Names!$J$1:$J$65602,MATCH(A20,[14]Names!$F$1:$F$65602,0),1))</f>
        <v>transport, van &lt;3.5t</v>
      </c>
      <c r="G20" s="125" t="str">
        <f>IF(OR(D20="4",E20="4"),"-",INDEX([14]Names!$K$1:$K$65602,MATCH(A20,[14]Names!$F$1:$F$65602,0),1))</f>
        <v>CH</v>
      </c>
      <c r="H20" s="164" t="str">
        <f>IF(OR(D20="4",E20="4"),INDEX([14]NamesElementary!$D$1:$D$65536,MATCH($A20,[14]NamesElementary!$A$1:$A$65536,0),1),"-")</f>
        <v>-</v>
      </c>
      <c r="I20" s="123" t="str">
        <f>IF(OR(D20="4",E20="4"),INDEX([14]NamesElementary!$E$1:$E$65536,MATCH($A20,[14]NamesElementary!$A$1:$A$65536,0),1),"-")</f>
        <v>-</v>
      </c>
      <c r="J20" s="124">
        <f>IF(OR(D20="4",E20="4"),"-",INDEX([14]Names!$N$1:$N$65602,MATCH(A20,[14]Names!$F$1:$F$65602,0),1))</f>
        <v>0</v>
      </c>
      <c r="K20" s="125" t="str">
        <f>IF(OR(D20="4",E20="4"),INDEX([14]NamesElementary!$G$1:$G$65536,MATCH(A20,[14]NamesElementary!$A$1:$A$65536,0),1),INDEX([14]Names!$O$1:$O$65602,MATCH(A20,[14]Names!$F$1:$F$65602,0),1))</f>
        <v>tkm</v>
      </c>
      <c r="L20" s="165">
        <f>0.1*L31</f>
        <v>0.41474294590301786</v>
      </c>
      <c r="M20" s="29">
        <f t="shared" si="1"/>
        <v>1</v>
      </c>
      <c r="N20" s="1">
        <f t="shared" si="1"/>
        <v>2.1801136974489768</v>
      </c>
      <c r="O20" s="139" t="str">
        <f t="shared" si="1"/>
        <v>(3,4,3,1,3,5); 100km to construction place</v>
      </c>
      <c r="P20" s="165" t="e">
        <f>0.1*P31</f>
        <v>#REF!</v>
      </c>
      <c r="Q20" s="29">
        <f t="shared" si="3"/>
        <v>1</v>
      </c>
      <c r="R20" s="1">
        <f t="shared" si="3"/>
        <v>2.1801136974489768</v>
      </c>
      <c r="S20" s="139" t="str">
        <f t="shared" si="3"/>
        <v>(3,4,3,1,3,5); 100km to construction place</v>
      </c>
      <c r="T20" s="165">
        <f>0.1*T31</f>
        <v>0.6150407503783375</v>
      </c>
      <c r="U20" s="29">
        <f t="shared" si="5"/>
        <v>1</v>
      </c>
      <c r="V20" s="1">
        <f t="shared" si="5"/>
        <v>2.1801136974489768</v>
      </c>
      <c r="W20" s="139" t="str">
        <f t="shared" si="5"/>
        <v>(3,4,3,1,3,5); 100km to construction place</v>
      </c>
      <c r="X20" s="165" t="e">
        <f>0.1*X31</f>
        <v>#REF!</v>
      </c>
      <c r="Y20" s="29">
        <f t="shared" si="7"/>
        <v>1</v>
      </c>
      <c r="Z20" s="1">
        <f t="shared" si="7"/>
        <v>2.1801136974489768</v>
      </c>
      <c r="AA20" s="139" t="str">
        <f t="shared" si="7"/>
        <v>(3,4,3,1,3,5); 100km to construction place</v>
      </c>
      <c r="AB20" s="165" t="e">
        <f>0.1*AB31</f>
        <v>#REF!</v>
      </c>
      <c r="AC20" s="29">
        <v>1</v>
      </c>
      <c r="AD20" s="1">
        <f t="shared" si="8"/>
        <v>2.1801136974489768</v>
      </c>
      <c r="AE20" s="31" t="str">
        <f t="shared" si="9"/>
        <v>(3,4,3,1,3,5); 100km to construction place</v>
      </c>
      <c r="AF20" s="331">
        <f>0.1*AF30</f>
        <v>12.231999999999999</v>
      </c>
      <c r="AG20" s="251">
        <f t="shared" si="10"/>
        <v>0.55599999999999994</v>
      </c>
      <c r="AH20" s="251"/>
      <c r="AI20" s="251"/>
      <c r="AJ20" s="251"/>
      <c r="AK20" s="331">
        <f>0.1*AK30</f>
        <v>7.5</v>
      </c>
      <c r="AL20" s="251">
        <f t="shared" si="11"/>
        <v>0.34090909090909088</v>
      </c>
      <c r="AM20" s="331">
        <f>0.1*AM30</f>
        <v>398.87200000000001</v>
      </c>
      <c r="AN20" s="251">
        <f t="shared" si="12"/>
        <v>16.41448559670782</v>
      </c>
      <c r="AO20" s="251"/>
      <c r="AQ20" s="412"/>
      <c r="AR20" s="251"/>
      <c r="AS20" s="251"/>
      <c r="AT20" s="251"/>
      <c r="AU20" s="331">
        <f>0.1*AU30</f>
        <v>22.932000000000002</v>
      </c>
      <c r="AV20" s="251">
        <f t="shared" si="13"/>
        <v>1.0423636363636364</v>
      </c>
      <c r="AW20" s="251"/>
      <c r="AZ20" s="251"/>
      <c r="BA20" s="251"/>
      <c r="BB20" s="251"/>
      <c r="BC20" s="251"/>
      <c r="BD20" s="251"/>
      <c r="BE20" s="251"/>
      <c r="BF20" s="251"/>
      <c r="BG20" s="331">
        <f>0.1*BG30</f>
        <v>21.772000000000002</v>
      </c>
      <c r="BH20" s="251">
        <f t="shared" si="17"/>
        <v>0.98963636363636376</v>
      </c>
      <c r="BI20" s="251"/>
      <c r="BK20" s="251"/>
      <c r="BL20" s="251"/>
      <c r="BM20" s="251"/>
      <c r="BN20" s="251"/>
      <c r="BO20" s="191" t="s">
        <v>709</v>
      </c>
      <c r="BP20" s="10">
        <v>3</v>
      </c>
      <c r="BQ20" s="50">
        <v>4</v>
      </c>
      <c r="BR20" s="50">
        <v>3</v>
      </c>
      <c r="BS20" s="50">
        <v>1</v>
      </c>
      <c r="BT20" s="50">
        <v>3</v>
      </c>
      <c r="BU20" s="50">
        <v>5</v>
      </c>
      <c r="BV20" s="50">
        <f>IF(OR($D20="4",$E20="4"),INDEX([14]NamesElementary!$J$1:$J$65536,MATCH($A20,[14]NamesElementary!$A$1:$A$65536,0),1),INDEX([14]Names!$W$1:$W$65602,MATCH($A20,[14]Names!$F$1:$F$65602,0),1))</f>
        <v>5</v>
      </c>
      <c r="BW20" s="51">
        <f>INDEX([14]BasicUncertainty!$H$1:$H$65536,MATCH(BV20,[14]BasicUncertainty!$B$1:$B$65536,0),1)</f>
        <v>2</v>
      </c>
      <c r="BX20" s="87">
        <f t="shared" si="14"/>
        <v>1.3582005896413567</v>
      </c>
      <c r="BY20" s="87">
        <f t="shared" si="15"/>
        <v>2.1334738054081499</v>
      </c>
      <c r="BZ20" s="89" t="str">
        <f t="shared" si="16"/>
        <v>(3,4,3,1,3,5)</v>
      </c>
      <c r="CB20" s="52">
        <f>IF(BP20=1,'[14]SDG^2 values'!$B$4,IF(BP20=2,'[14]SDG^2 values'!$C$4,IF(BP20=3,'[14]SDG^2 values'!$D$4,IF(BP20=4,'[14]SDG^2 values'!$E$4,IF(BP20=5,'[14]SDG^2 values'!$F$4,1)))))</f>
        <v>1.1000000000000001</v>
      </c>
      <c r="CC20" s="52">
        <f>IF(BQ20=1,'[14]SDG^2 values'!$B$5,IF(BQ20=2,'[14]SDG^2 values'!$C$5,IF(BQ20=3,'[14]SDG^2 values'!$D$5,IF(BQ20=4,'[14]SDG^2 values'!$E$5,IF(BQ20=5,'[14]SDG^2 values'!$F$5,1)))))</f>
        <v>1.1000000000000001</v>
      </c>
      <c r="CD20" s="52">
        <f>IF(BR20=1,'[14]SDG^2 values'!$B$6,IF(BR20=2,'[14]SDG^2 values'!$C$6,IF(BR20=3,'[14]SDG^2 values'!$D$6,IF(BR20=4,'[14]SDG^2 values'!$E$6,IF(BR20=5,'[14]SDG^2 values'!$F$6,1)))))</f>
        <v>1.1000000000000001</v>
      </c>
      <c r="CE20" s="52">
        <f>IF(BS20=1,'[14]SDG^2 values'!$B$7,IF(BS20=2,'[14]SDG^2 values'!$C$7,IF(BS20=3,'[14]SDG^2 values'!$D$7,IF(BS20=4,'[14]SDG^2 values'!$E$7,IF(BS20=5,'[14]SDG^2 values'!$F$7,1)))))</f>
        <v>1</v>
      </c>
      <c r="CF20" s="52">
        <f>IF(BT20=1,'[14]SDG^2 values'!$B$8,IF(BT20=2,'[14]SDG^2 values'!$C$8,IF(BT20=3,'[14]SDG^2 values'!$D$8,IF(BT20=4,'[14]SDG^2 values'!$E$8,IF(BT20=5,'[14]SDG^2 values'!$F$8,1)))))</f>
        <v>1.2</v>
      </c>
      <c r="CG20" s="52">
        <f>IF(BU20=1,'[14]SDG^2 values'!$B$9,IF(BU20=2,'[14]SDG^2 values'!$C$9,IF(BU20=3,'[14]SDG^2 values'!$D$9,IF(BU20=4,'[14]SDG^2 values'!$E$9,IF(BU20=5,'[14]SDG^2 values'!$F$9,1)))))</f>
        <v>1.2</v>
      </c>
    </row>
    <row r="21" spans="1:85" ht="24">
      <c r="A21" s="2">
        <v>1392</v>
      </c>
      <c r="B21" s="168" t="s">
        <v>153</v>
      </c>
      <c r="C21" s="151" t="s">
        <v>525</v>
      </c>
      <c r="D21" s="152" t="s">
        <v>526</v>
      </c>
      <c r="E21" s="153" t="s">
        <v>402</v>
      </c>
      <c r="F21" s="144" t="str">
        <f>IF(OR(D21="4",E21="4"),INDEX([14]NamesElementary!$B$1:$B$65536,MATCH(A21,[14]NamesElementary!$A$1:$A$65536,0),1),INDEX([14]Names!$J$1:$J$65602,MATCH(A21,[14]Names!$F$1:$F$65602,0),1))</f>
        <v>disposal, packaging cardboard, 19.6% water, to municipal incineration</v>
      </c>
      <c r="G21" s="125" t="str">
        <f>IF(OR(D21="4",E21="4"),"-",INDEX([14]Names!$K$1:$K$65602,MATCH(A21,[14]Names!$F$1:$F$65602,0),1))</f>
        <v>CH</v>
      </c>
      <c r="H21" s="164" t="str">
        <f>IF(OR(D21="4",E21="4"),INDEX([14]NamesElementary!$D$1:$D$65536,MATCH($A21,[14]NamesElementary!$A$1:$A$65536,0),1),"-")</f>
        <v>-</v>
      </c>
      <c r="I21" s="123" t="str">
        <f>IF(OR(D21="4",E21="4"),INDEX([14]NamesElementary!$E$1:$E$65536,MATCH($A21,[14]NamesElementary!$A$1:$A$65536,0),1),"-")</f>
        <v>-</v>
      </c>
      <c r="J21" s="124">
        <f>IF(OR(D21="4",E21="4"),"-",INDEX([14]Names!$N$1:$N$65602,MATCH(A21,[14]Names!$F$1:$F$65602,0),1))</f>
        <v>0</v>
      </c>
      <c r="K21" s="125" t="str">
        <f>IF(OR(D21="4",E21="4"),INDEX([14]NamesElementary!$G$1:$G$65536,MATCH(A21,[14]NamesElementary!$A$1:$A$65536,0),1),INDEX([14]Names!$O$1:$O$65602,MATCH(A21,[14]Names!$F$1:$F$65602,0),1))</f>
        <v>kg</v>
      </c>
      <c r="L21" s="165">
        <f>L8</f>
        <v>3.7635476034756615E-2</v>
      </c>
      <c r="M21" s="29">
        <f t="shared" si="1"/>
        <v>1</v>
      </c>
      <c r="N21" s="1">
        <f t="shared" si="1"/>
        <v>2.1801136974489768</v>
      </c>
      <c r="O21" s="139" t="str">
        <f t="shared" si="1"/>
        <v>(3,4,3,1,3,5); Calculated with use</v>
      </c>
      <c r="P21" s="165" t="e">
        <f>P8</f>
        <v>#REF!</v>
      </c>
      <c r="Q21" s="29">
        <f t="shared" si="3"/>
        <v>1</v>
      </c>
      <c r="R21" s="1">
        <f t="shared" si="3"/>
        <v>2.1801136974489768</v>
      </c>
      <c r="S21" s="139" t="str">
        <f t="shared" si="3"/>
        <v>(3,4,3,1,3,5); Calculated with use</v>
      </c>
      <c r="T21" s="165">
        <f>T8</f>
        <v>2.3803744501945598E-2</v>
      </c>
      <c r="U21" s="29">
        <f t="shared" si="5"/>
        <v>1</v>
      </c>
      <c r="V21" s="1">
        <f t="shared" si="5"/>
        <v>2.1801136974489768</v>
      </c>
      <c r="W21" s="139" t="str">
        <f t="shared" si="5"/>
        <v>(3,4,3,1,3,5); Calculated with use</v>
      </c>
      <c r="X21" s="165" t="e">
        <f>X8</f>
        <v>#REF!</v>
      </c>
      <c r="Y21" s="29">
        <f t="shared" si="7"/>
        <v>1</v>
      </c>
      <c r="Z21" s="1">
        <f t="shared" si="7"/>
        <v>2.1801136974489768</v>
      </c>
      <c r="AA21" s="139" t="str">
        <f t="shared" si="7"/>
        <v>(3,4,3,1,3,5); Calculated with use</v>
      </c>
      <c r="AB21" s="165" t="e">
        <f>AB8</f>
        <v>#REF!</v>
      </c>
      <c r="AC21" s="29">
        <v>1</v>
      </c>
      <c r="AD21" s="1">
        <f t="shared" si="8"/>
        <v>2.1801136974489768</v>
      </c>
      <c r="AE21" s="31" t="str">
        <f t="shared" si="9"/>
        <v>(3,4,3,1,3,5); Calculated with use</v>
      </c>
      <c r="AF21" s="331">
        <f>AF8</f>
        <v>1.1000000000000001</v>
      </c>
      <c r="AG21" s="251">
        <f t="shared" si="10"/>
        <v>0.05</v>
      </c>
      <c r="AH21" s="251"/>
      <c r="AI21" s="251"/>
      <c r="AJ21" s="251"/>
      <c r="AK21" s="331">
        <f>AK8</f>
        <v>0</v>
      </c>
      <c r="AL21" s="251">
        <f t="shared" si="11"/>
        <v>0</v>
      </c>
      <c r="AM21" s="331">
        <f>AM8</f>
        <v>1.1000000000000001</v>
      </c>
      <c r="AN21" s="251">
        <f t="shared" si="12"/>
        <v>4.5267489711934158E-2</v>
      </c>
      <c r="AO21" s="251"/>
      <c r="AQ21" s="412"/>
      <c r="AR21" s="251"/>
      <c r="AS21" s="251"/>
      <c r="AT21" s="251"/>
      <c r="AU21" s="331">
        <f>AU8</f>
        <v>1.9</v>
      </c>
      <c r="AV21" s="251">
        <f t="shared" si="13"/>
        <v>8.6363636363636365E-2</v>
      </c>
      <c r="AW21" s="251"/>
      <c r="AZ21" s="251"/>
      <c r="BA21" s="251"/>
      <c r="BB21" s="251"/>
      <c r="BC21" s="251"/>
      <c r="BD21" s="251"/>
      <c r="BE21" s="251"/>
      <c r="BF21" s="251"/>
      <c r="BG21" s="331">
        <f>BG8</f>
        <v>1.9</v>
      </c>
      <c r="BH21" s="251">
        <f t="shared" si="17"/>
        <v>8.6363636363636365E-2</v>
      </c>
      <c r="BI21" s="251"/>
      <c r="BK21" s="251"/>
      <c r="BL21" s="251"/>
      <c r="BM21" s="251"/>
      <c r="BN21" s="251"/>
      <c r="BO21" s="86" t="s">
        <v>338</v>
      </c>
      <c r="BP21" s="10">
        <v>3</v>
      </c>
      <c r="BQ21" s="50">
        <v>4</v>
      </c>
      <c r="BR21" s="50">
        <v>3</v>
      </c>
      <c r="BS21" s="50">
        <v>1</v>
      </c>
      <c r="BT21" s="50">
        <v>3</v>
      </c>
      <c r="BU21" s="50">
        <v>5</v>
      </c>
      <c r="BV21" s="50">
        <f>IF(OR($D21="4",$E21="4"),INDEX([14]NamesElementary!$J$1:$J$65536,MATCH($A21,[14]NamesElementary!$A$1:$A$65536,0),1),INDEX([14]Names!$W$1:$W$65602,MATCH($A21,[14]Names!$F$1:$F$65602,0),1))</f>
        <v>6</v>
      </c>
      <c r="BW21" s="51">
        <f>BW$7</f>
        <v>2</v>
      </c>
      <c r="BX21" s="87">
        <f t="shared" si="14"/>
        <v>1.3582005896413567</v>
      </c>
      <c r="BY21" s="87">
        <f t="shared" si="15"/>
        <v>2.1334738054081499</v>
      </c>
      <c r="BZ21" s="89" t="str">
        <f t="shared" si="16"/>
        <v>(3,4,3,1,3,5)</v>
      </c>
      <c r="CB21" s="52">
        <f>IF(BP21=1,'[14]SDG^2 values'!$B$4,IF(BP21=2,'[14]SDG^2 values'!$C$4,IF(BP21=3,'[14]SDG^2 values'!$D$4,IF(BP21=4,'[14]SDG^2 values'!$E$4,IF(BP21=5,'[14]SDG^2 values'!$F$4,1)))))</f>
        <v>1.1000000000000001</v>
      </c>
      <c r="CC21" s="52">
        <f>IF(BQ21=1,'[14]SDG^2 values'!$B$5,IF(BQ21=2,'[14]SDG^2 values'!$C$5,IF(BQ21=3,'[14]SDG^2 values'!$D$5,IF(BQ21=4,'[14]SDG^2 values'!$E$5,IF(BQ21=5,'[14]SDG^2 values'!$F$5,1)))))</f>
        <v>1.1000000000000001</v>
      </c>
      <c r="CD21" s="52">
        <f>IF(BR21=1,'[14]SDG^2 values'!$B$6,IF(BR21=2,'[14]SDG^2 values'!$C$6,IF(BR21=3,'[14]SDG^2 values'!$D$6,IF(BR21=4,'[14]SDG^2 values'!$E$6,IF(BR21=5,'[14]SDG^2 values'!$F$6,1)))))</f>
        <v>1.1000000000000001</v>
      </c>
      <c r="CE21" s="52">
        <f>IF(BS21=1,'[14]SDG^2 values'!$B$7,IF(BS21=2,'[14]SDG^2 values'!$C$7,IF(BS21=3,'[14]SDG^2 values'!$D$7,IF(BS21=4,'[14]SDG^2 values'!$E$7,IF(BS21=5,'[14]SDG^2 values'!$F$7,1)))))</f>
        <v>1</v>
      </c>
      <c r="CF21" s="52">
        <f>IF(BT21=1,'[14]SDG^2 values'!$B$8,IF(BT21=2,'[14]SDG^2 values'!$C$8,IF(BT21=3,'[14]SDG^2 values'!$D$8,IF(BT21=4,'[14]SDG^2 values'!$E$8,IF(BT21=5,'[14]SDG^2 values'!$F$8,1)))))</f>
        <v>1.2</v>
      </c>
      <c r="CG21" s="52">
        <f>IF(BU21=1,'[14]SDG^2 values'!$B$9,IF(BU21=2,'[14]SDG^2 values'!$C$9,IF(BU21=3,'[14]SDG^2 values'!$D$9,IF(BU21=4,'[14]SDG^2 values'!$E$9,IF(BU21=5,'[14]SDG^2 values'!$F$9,1)))))</f>
        <v>1.2</v>
      </c>
    </row>
    <row r="22" spans="1:85" ht="24">
      <c r="A22" s="157">
        <v>3966</v>
      </c>
      <c r="B22" s="168" t="s">
        <v>525</v>
      </c>
      <c r="C22" s="151" t="s">
        <v>525</v>
      </c>
      <c r="D22" s="152" t="s">
        <v>526</v>
      </c>
      <c r="E22" s="153" t="s">
        <v>402</v>
      </c>
      <c r="F22" s="144" t="str">
        <f>IF(OR(D22="4",E22="4"),INDEX([14]NamesElementary!$B$1:$B$65536,MATCH(A22,[14]NamesElementary!$A$1:$A$65536,0),1),INDEX([14]Names!$J$1:$J$65602,MATCH(A22,[14]Names!$F$1:$F$65602,0),1))</f>
        <v>disposal, building, polyethylene/polypropylene products, to final disposal</v>
      </c>
      <c r="G22" s="125" t="str">
        <f>IF(OR(D22="4",E22="4"),"-",INDEX([14]Names!$K$1:$K$65602,MATCH(A22,[14]Names!$F$1:$F$65602,0),1))</f>
        <v>CH</v>
      </c>
      <c r="H22" s="164" t="str">
        <f>IF(OR(D22="4",E22="4"),INDEX([14]NamesElementary!$D$1:$D$65536,MATCH($A22,[14]NamesElementary!$A$1:$A$65536,0),1),"-")</f>
        <v>-</v>
      </c>
      <c r="I22" s="123" t="str">
        <f>IF(OR(D22="4",E22="4"),INDEX([14]NamesElementary!$E$1:$E$65536,MATCH($A22,[14]NamesElementary!$A$1:$A$65536,0),1),"-")</f>
        <v>-</v>
      </c>
      <c r="J22" s="124">
        <f>IF(OR(D22="4",E22="4"),"-",INDEX([14]Names!$N$1:$N$65602,MATCH(A22,[14]Names!$F$1:$F$65602,0),1))</f>
        <v>0</v>
      </c>
      <c r="K22" s="125" t="str">
        <f>IF(OR(D22="4",E22="4"),INDEX([14]NamesElementary!$G$1:$G$65536,MATCH(A22,[14]NamesElementary!$A$1:$A$65536,0),1),INDEX([14]Names!$O$1:$O$65602,MATCH(A22,[14]Names!$F$1:$F$65602,0),1))</f>
        <v>kg</v>
      </c>
      <c r="L22" s="165">
        <f>L9+L11+L12</f>
        <v>6.842813824501202E-4</v>
      </c>
      <c r="M22" s="29">
        <f t="shared" si="1"/>
        <v>1</v>
      </c>
      <c r="N22" s="1">
        <f t="shared" si="1"/>
        <v>2.1801136974489768</v>
      </c>
      <c r="O22" s="139" t="str">
        <f t="shared" si="1"/>
        <v>(3,4,3,1,3,5); Disposal of plastics parts at end of life</v>
      </c>
      <c r="P22" s="165" t="e">
        <f>P9+P11+P12</f>
        <v>#REF!</v>
      </c>
      <c r="Q22" s="29">
        <f t="shared" si="3"/>
        <v>1</v>
      </c>
      <c r="R22" s="1">
        <f t="shared" si="3"/>
        <v>2.1801136974489768</v>
      </c>
      <c r="S22" s="139" t="str">
        <f t="shared" si="3"/>
        <v>(3,4,3,1,3,5); Disposal of plastics parts at end of life</v>
      </c>
      <c r="T22" s="165">
        <f>T9+T11+T12</f>
        <v>2.5065342960548711</v>
      </c>
      <c r="U22" s="29">
        <f t="shared" si="5"/>
        <v>1</v>
      </c>
      <c r="V22" s="1">
        <f t="shared" si="5"/>
        <v>2.1801136974489768</v>
      </c>
      <c r="W22" s="139" t="str">
        <f t="shared" si="5"/>
        <v>(3,4,3,1,3,5); Disposal of plastics parts at end of life</v>
      </c>
      <c r="X22" s="165" t="e">
        <f>X9+X11+X12</f>
        <v>#REF!</v>
      </c>
      <c r="Y22" s="29">
        <f t="shared" si="7"/>
        <v>1</v>
      </c>
      <c r="Z22" s="1">
        <f t="shared" si="7"/>
        <v>2.1801136974489768</v>
      </c>
      <c r="AA22" s="139" t="str">
        <f t="shared" si="7"/>
        <v>(3,4,3,1,3,5); Disposal of plastics parts at end of life</v>
      </c>
      <c r="AB22" s="165" t="e">
        <f>AB9+AB11+AB12</f>
        <v>#REF!</v>
      </c>
      <c r="AC22" s="29">
        <v>1</v>
      </c>
      <c r="AD22" s="1">
        <f t="shared" si="8"/>
        <v>2.1801136974489768</v>
      </c>
      <c r="AE22" s="31" t="str">
        <f t="shared" si="9"/>
        <v>(3,4,3,1,3,5); Disposal of plastics parts at end of life</v>
      </c>
      <c r="AF22" s="331">
        <f>AF9+AF11+AF12</f>
        <v>0.02</v>
      </c>
      <c r="AG22" s="251">
        <f t="shared" si="10"/>
        <v>9.0909090909090909E-4</v>
      </c>
      <c r="AH22" s="251"/>
      <c r="AI22" s="251"/>
      <c r="AJ22" s="251"/>
      <c r="AK22" s="331">
        <f>AK9+AK11+AK12</f>
        <v>0</v>
      </c>
      <c r="AL22" s="251">
        <f t="shared" si="11"/>
        <v>0</v>
      </c>
      <c r="AM22" s="331">
        <f>AM9+AM11+AM12</f>
        <v>4.6199999999999992</v>
      </c>
      <c r="AN22" s="251">
        <f t="shared" si="12"/>
        <v>0.19012345679012341</v>
      </c>
      <c r="AO22" s="251"/>
      <c r="AQ22" s="412"/>
      <c r="AR22" s="251"/>
      <c r="AS22" s="251"/>
      <c r="AT22" s="251"/>
      <c r="AU22" s="331">
        <f>AU9+AU11+AU12</f>
        <v>0.02</v>
      </c>
      <c r="AV22" s="251">
        <f t="shared" si="13"/>
        <v>9.0909090909090909E-4</v>
      </c>
      <c r="AW22" s="251"/>
      <c r="AZ22" s="251"/>
      <c r="BA22" s="251"/>
      <c r="BB22" s="251"/>
      <c r="BC22" s="251"/>
      <c r="BD22" s="251"/>
      <c r="BE22" s="251"/>
      <c r="BF22" s="251"/>
      <c r="BG22" s="331">
        <f>BG9+BG11+BG12</f>
        <v>2.02</v>
      </c>
      <c r="BH22" s="251">
        <f t="shared" si="17"/>
        <v>9.1818181818181813E-2</v>
      </c>
      <c r="BI22" s="251"/>
      <c r="BK22" s="251"/>
      <c r="BL22" s="251"/>
      <c r="BM22" s="251"/>
      <c r="BN22" s="251"/>
      <c r="BO22" s="86" t="s">
        <v>339</v>
      </c>
      <c r="BP22" s="10">
        <v>3</v>
      </c>
      <c r="BQ22" s="50">
        <v>4</v>
      </c>
      <c r="BR22" s="50">
        <v>3</v>
      </c>
      <c r="BS22" s="50">
        <v>1</v>
      </c>
      <c r="BT22" s="50">
        <v>3</v>
      </c>
      <c r="BU22" s="50">
        <v>5</v>
      </c>
      <c r="BV22" s="50">
        <f>IF(OR($D22="4",$E22="4"),INDEX([14]NamesElementary!$J$1:$J$65536,MATCH($A22,[14]NamesElementary!$A$1:$A$65536,0),1),INDEX([14]Names!$W$1:$W$65602,MATCH($A22,[14]Names!$F$1:$F$65602,0),1))</f>
        <v>6</v>
      </c>
      <c r="BW22" s="51">
        <f>BW$7</f>
        <v>2</v>
      </c>
      <c r="BX22" s="87">
        <f t="shared" si="14"/>
        <v>1.3582005896413567</v>
      </c>
      <c r="BY22" s="87">
        <f t="shared" si="15"/>
        <v>2.1334738054081499</v>
      </c>
      <c r="BZ22" s="89" t="str">
        <f t="shared" si="16"/>
        <v>(3,4,3,1,3,5)</v>
      </c>
      <c r="CB22" s="52">
        <f>IF(BP22=1,'[14]SDG^2 values'!$B$4,IF(BP22=2,'[14]SDG^2 values'!$C$4,IF(BP22=3,'[14]SDG^2 values'!$D$4,IF(BP22=4,'[14]SDG^2 values'!$E$4,IF(BP22=5,'[14]SDG^2 values'!$F$4,1)))))</f>
        <v>1.1000000000000001</v>
      </c>
      <c r="CC22" s="52">
        <f>IF(BQ22=1,'[14]SDG^2 values'!$B$5,IF(BQ22=2,'[14]SDG^2 values'!$C$5,IF(BQ22=3,'[14]SDG^2 values'!$D$5,IF(BQ22=4,'[14]SDG^2 values'!$E$5,IF(BQ22=5,'[14]SDG^2 values'!$F$5,1)))))</f>
        <v>1.1000000000000001</v>
      </c>
      <c r="CD22" s="52">
        <f>IF(BR22=1,'[14]SDG^2 values'!$B$6,IF(BR22=2,'[14]SDG^2 values'!$C$6,IF(BR22=3,'[14]SDG^2 values'!$D$6,IF(BR22=4,'[14]SDG^2 values'!$E$6,IF(BR22=5,'[14]SDG^2 values'!$F$6,1)))))</f>
        <v>1.1000000000000001</v>
      </c>
      <c r="CE22" s="52">
        <f>IF(BS22=1,'[14]SDG^2 values'!$B$7,IF(BS22=2,'[14]SDG^2 values'!$C$7,IF(BS22=3,'[14]SDG^2 values'!$D$7,IF(BS22=4,'[14]SDG^2 values'!$E$7,IF(BS22=5,'[14]SDG^2 values'!$F$7,1)))))</f>
        <v>1</v>
      </c>
      <c r="CF22" s="52">
        <f>IF(BT22=1,'[14]SDG^2 values'!$B$8,IF(BT22=2,'[14]SDG^2 values'!$C$8,IF(BT22=3,'[14]SDG^2 values'!$D$8,IF(BT22=4,'[14]SDG^2 values'!$E$8,IF(BT22=5,'[14]SDG^2 values'!$F$8,1)))))</f>
        <v>1.2</v>
      </c>
      <c r="CG22" s="52">
        <f>IF(BU22=1,'[14]SDG^2 values'!$B$9,IF(BU22=2,'[14]SDG^2 values'!$C$9,IF(BU22=3,'[14]SDG^2 values'!$D$9,IF(BU22=4,'[14]SDG^2 values'!$E$9,IF(BU22=5,'[14]SDG^2 values'!$F$9,1)))))</f>
        <v>1.2</v>
      </c>
    </row>
    <row r="23" spans="1:85" ht="24">
      <c r="A23" s="157">
        <v>3949</v>
      </c>
      <c r="B23" s="168" t="s">
        <v>525</v>
      </c>
      <c r="C23" s="151" t="s">
        <v>525</v>
      </c>
      <c r="D23" s="152" t="s">
        <v>526</v>
      </c>
      <c r="E23" s="153" t="s">
        <v>402</v>
      </c>
      <c r="F23" s="144" t="str">
        <f>IF(OR(D23="4",E23="4"),INDEX([14]NamesElementary!$B$1:$B$65536,MATCH(A23,[14]NamesElementary!$A$1:$A$65536,0),1),INDEX([14]Names!$J$1:$J$65602,MATCH(A23,[14]Names!$F$1:$F$65602,0),1))</f>
        <v>disposal, building, polystyrene isolation, flame-retardant, to final disposal</v>
      </c>
      <c r="G23" s="125" t="str">
        <f>IF(OR(D23="4",E23="4"),"-",INDEX([14]Names!$K$1:$K$65602,MATCH(A23,[14]Names!$F$1:$F$65602,0),1))</f>
        <v>CH</v>
      </c>
      <c r="H23" s="164" t="str">
        <f>IF(OR(D23="4",E23="4"),INDEX([14]NamesElementary!$D$1:$D$65536,MATCH($A23,[14]NamesElementary!$A$1:$A$65536,0),1),"-")</f>
        <v>-</v>
      </c>
      <c r="I23" s="123" t="str">
        <f>IF(OR(D23="4",E23="4"),INDEX([14]NamesElementary!$E$1:$E$65536,MATCH($A23,[14]NamesElementary!$A$1:$A$65536,0),1),"-")</f>
        <v>-</v>
      </c>
      <c r="J23" s="124">
        <f>IF(OR(D23="4",E23="4"),"-",INDEX([14]Names!$N$1:$N$65602,MATCH(A23,[14]Names!$F$1:$F$65602,0),1))</f>
        <v>0</v>
      </c>
      <c r="K23" s="125" t="str">
        <f>IF(OR(D23="4",E23="4"),INDEX([14]NamesElementary!$G$1:$G$65536,MATCH(A23,[14]NamesElementary!$A$1:$A$65536,0),1),INDEX([14]Names!$O$1:$O$65602,MATCH(A23,[14]Names!$F$1:$F$65602,0),1))</f>
        <v>kg</v>
      </c>
      <c r="L23" s="165">
        <f>L10</f>
        <v>3.4214069122506015E-3</v>
      </c>
      <c r="M23" s="29">
        <f t="shared" si="1"/>
        <v>1</v>
      </c>
      <c r="N23" s="1">
        <f t="shared" si="1"/>
        <v>2.1801136974489768</v>
      </c>
      <c r="O23" s="139" t="str">
        <f t="shared" si="1"/>
        <v>(3,4,3,1,3,5); Disposal of plastics parts at end of life</v>
      </c>
      <c r="P23" s="165" t="e">
        <f>P10</f>
        <v>#REF!</v>
      </c>
      <c r="Q23" s="29">
        <f t="shared" si="3"/>
        <v>1</v>
      </c>
      <c r="R23" s="1">
        <f t="shared" si="3"/>
        <v>2.1801136974489768</v>
      </c>
      <c r="S23" s="139" t="str">
        <f t="shared" si="3"/>
        <v>(3,4,3,1,3,5); Disposal of plastics parts at end of life</v>
      </c>
      <c r="T23" s="165">
        <f>T10</f>
        <v>1.0819883864520726E-2</v>
      </c>
      <c r="U23" s="29">
        <f t="shared" si="5"/>
        <v>1</v>
      </c>
      <c r="V23" s="1">
        <f t="shared" si="5"/>
        <v>2.1801136974489768</v>
      </c>
      <c r="W23" s="139" t="str">
        <f t="shared" si="5"/>
        <v>(3,4,3,1,3,5); Disposal of plastics parts at end of life</v>
      </c>
      <c r="X23" s="165" t="e">
        <f>X10</f>
        <v>#REF!</v>
      </c>
      <c r="Y23" s="29">
        <f t="shared" si="7"/>
        <v>1</v>
      </c>
      <c r="Z23" s="1">
        <f t="shared" si="7"/>
        <v>2.1801136974489768</v>
      </c>
      <c r="AA23" s="139" t="str">
        <f t="shared" si="7"/>
        <v>(3,4,3,1,3,5); Disposal of plastics parts at end of life</v>
      </c>
      <c r="AB23" s="165" t="e">
        <f>AB10</f>
        <v>#REF!</v>
      </c>
      <c r="AC23" s="29">
        <v>1</v>
      </c>
      <c r="AD23" s="1">
        <f t="shared" si="8"/>
        <v>2.1801136974489768</v>
      </c>
      <c r="AE23" s="31" t="str">
        <f t="shared" si="9"/>
        <v>(3,4,3,1,3,5); Disposal of plastics parts at end of life</v>
      </c>
      <c r="AF23" s="331">
        <f>AF10</f>
        <v>0.1</v>
      </c>
      <c r="AG23" s="251">
        <f t="shared" si="10"/>
        <v>4.5454545454545461E-3</v>
      </c>
      <c r="AH23" s="251"/>
      <c r="AI23" s="251"/>
      <c r="AJ23" s="251"/>
      <c r="AK23" s="331">
        <f>AK10</f>
        <v>0</v>
      </c>
      <c r="AL23" s="251">
        <f t="shared" si="11"/>
        <v>0</v>
      </c>
      <c r="AM23" s="331">
        <f>AM10</f>
        <v>0.5</v>
      </c>
      <c r="AN23" s="251">
        <f t="shared" si="12"/>
        <v>2.0576131687242798E-2</v>
      </c>
      <c r="AO23" s="251"/>
      <c r="AQ23" s="412"/>
      <c r="AR23" s="251"/>
      <c r="AS23" s="251"/>
      <c r="AT23" s="251"/>
      <c r="AU23" s="331">
        <f>AU10</f>
        <v>0.1</v>
      </c>
      <c r="AV23" s="251">
        <f t="shared" si="13"/>
        <v>4.5454545454545461E-3</v>
      </c>
      <c r="AW23" s="251"/>
      <c r="AZ23" s="251"/>
      <c r="BA23" s="251"/>
      <c r="BB23" s="251"/>
      <c r="BC23" s="251"/>
      <c r="BD23" s="251"/>
      <c r="BE23" s="251"/>
      <c r="BF23" s="251"/>
      <c r="BG23" s="331">
        <f>BG10</f>
        <v>0.1</v>
      </c>
      <c r="BH23" s="251">
        <f t="shared" si="17"/>
        <v>4.5454545454545461E-3</v>
      </c>
      <c r="BI23" s="251"/>
      <c r="BK23" s="251"/>
      <c r="BL23" s="251"/>
      <c r="BM23" s="251"/>
      <c r="BN23" s="251"/>
      <c r="BO23" s="86" t="str">
        <f>BO22</f>
        <v>Disposal of plastics parts at end of life</v>
      </c>
      <c r="BP23" s="10">
        <v>3</v>
      </c>
      <c r="BQ23" s="50">
        <v>4</v>
      </c>
      <c r="BR23" s="50">
        <v>3</v>
      </c>
      <c r="BS23" s="50">
        <v>1</v>
      </c>
      <c r="BT23" s="50">
        <v>3</v>
      </c>
      <c r="BU23" s="50">
        <v>5</v>
      </c>
      <c r="BV23" s="50">
        <f>IF(OR($D23="4",$E23="4"),INDEX([14]NamesElementary!$J$1:$J$65536,MATCH($A23,[14]NamesElementary!$A$1:$A$65536,0),1),INDEX([14]Names!$W$1:$W$65602,MATCH($A23,[14]Names!$F$1:$F$65602,0),1))</f>
        <v>6</v>
      </c>
      <c r="BW23" s="51">
        <f>BW$7</f>
        <v>2</v>
      </c>
      <c r="BX23" s="87">
        <f t="shared" si="14"/>
        <v>1.3582005896413567</v>
      </c>
      <c r="BY23" s="87">
        <f t="shared" si="15"/>
        <v>2.1334738054081499</v>
      </c>
      <c r="BZ23" s="89" t="str">
        <f t="shared" si="16"/>
        <v>(3,4,3,1,3,5)</v>
      </c>
      <c r="CB23" s="52">
        <f>IF(BP23=1,'[14]SDG^2 values'!$B$4,IF(BP23=2,'[14]SDG^2 values'!$C$4,IF(BP23=3,'[14]SDG^2 values'!$D$4,IF(BP23=4,'[14]SDG^2 values'!$E$4,IF(BP23=5,'[14]SDG^2 values'!$F$4,1)))))</f>
        <v>1.1000000000000001</v>
      </c>
      <c r="CC23" s="52">
        <f>IF(BQ23=1,'[14]SDG^2 values'!$B$5,IF(BQ23=2,'[14]SDG^2 values'!$C$5,IF(BQ23=3,'[14]SDG^2 values'!$D$5,IF(BQ23=4,'[14]SDG^2 values'!$E$5,IF(BQ23=5,'[14]SDG^2 values'!$F$5,1)))))</f>
        <v>1.1000000000000001</v>
      </c>
      <c r="CD23" s="52">
        <f>IF(BR23=1,'[14]SDG^2 values'!$B$6,IF(BR23=2,'[14]SDG^2 values'!$C$6,IF(BR23=3,'[14]SDG^2 values'!$D$6,IF(BR23=4,'[14]SDG^2 values'!$E$6,IF(BR23=5,'[14]SDG^2 values'!$F$6,1)))))</f>
        <v>1.1000000000000001</v>
      </c>
      <c r="CE23" s="52">
        <f>IF(BS23=1,'[14]SDG^2 values'!$B$7,IF(BS23=2,'[14]SDG^2 values'!$C$7,IF(BS23=3,'[14]SDG^2 values'!$D$7,IF(BS23=4,'[14]SDG^2 values'!$E$7,IF(BS23=5,'[14]SDG^2 values'!$F$7,1)))))</f>
        <v>1</v>
      </c>
      <c r="CF23" s="52">
        <f>IF(BT23=1,'[14]SDG^2 values'!$B$8,IF(BT23=2,'[14]SDG^2 values'!$C$8,IF(BT23=3,'[14]SDG^2 values'!$D$8,IF(BT23=4,'[14]SDG^2 values'!$E$8,IF(BT23=5,'[14]SDG^2 values'!$F$8,1)))))</f>
        <v>1.2</v>
      </c>
      <c r="CG23" s="52">
        <f>IF(BU23=1,'[14]SDG^2 values'!$B$9,IF(BU23=2,'[14]SDG^2 values'!$C$9,IF(BU23=3,'[14]SDG^2 values'!$D$9,IF(BU23=4,'[14]SDG^2 values'!$E$9,IF(BU23=5,'[14]SDG^2 values'!$F$9,1)))))</f>
        <v>1.2</v>
      </c>
    </row>
    <row r="24" spans="1:85" outlineLevel="1">
      <c r="A24" s="8">
        <v>1489</v>
      </c>
      <c r="B24" s="168" t="s">
        <v>523</v>
      </c>
      <c r="C24" s="169"/>
      <c r="D24" s="11" t="s">
        <v>402</v>
      </c>
      <c r="E24" s="170">
        <v>0</v>
      </c>
      <c r="F24" s="145" t="str">
        <f>IF(OR(D24="4",E24="4"),INDEX([14]NamesElementary!$B$1:$B$65536,MATCH(A24,[14]NamesElementary!$A$1:$A$65536,0),1),INDEX([14]Names!$J$1:$J$65602,MATCH(A24,[14]Names!$F$1:$F$65602,0),1))</f>
        <v>facade construction, mounted, at building</v>
      </c>
      <c r="G24" s="16" t="str">
        <f>IF(OR(D24="4",E24="4"),"-",INDEX([14]Names!$K$1:$K$65602,MATCH(A24,[14]Names!$F$1:$F$65602,0),1))</f>
        <v>RER</v>
      </c>
      <c r="H24" s="14" t="str">
        <f>IF(OR(D24="4",E24="4"),INDEX([14]NamesElementary!$D$1:$D$65536,MATCH($A24,[14]NamesElementary!$A$1:$A$65536,0),1),"-")</f>
        <v>-</v>
      </c>
      <c r="I24" s="14" t="str">
        <f>IF(OR(D24="4",E24="4"),INDEX([14]NamesElementary!$E$1:$E$65536,MATCH($A24,[14]NamesElementary!$A$1:$A$65536,0),1),"-")</f>
        <v>-</v>
      </c>
      <c r="J24" s="15">
        <f>IF(OR(D24="4",E24="4"),"-",INDEX([14]Names!$N$1:$N$65602,MATCH(A24,[14]Names!$F$1:$F$65602,0),1))</f>
        <v>1</v>
      </c>
      <c r="K24" s="16" t="str">
        <f>IF(OR(D24="4",E24="4"),INDEX([14]NamesElementary!$G$1:$G$65536,MATCH(A24,[14]NamesElementary!$A$1:$A$65536,0),1),INDEX([14]Names!$O$1:$O$65602,MATCH(A24,[14]Names!$F$1:$F$65602,0),1))</f>
        <v>m2</v>
      </c>
      <c r="L24" s="149">
        <v>1</v>
      </c>
      <c r="P24" s="149">
        <v>0</v>
      </c>
      <c r="T24" s="149">
        <v>0</v>
      </c>
      <c r="X24" s="149">
        <v>0</v>
      </c>
      <c r="AB24" s="149">
        <v>0</v>
      </c>
      <c r="AC24" s="29"/>
      <c r="AD24" s="1"/>
      <c r="AE24" s="31"/>
      <c r="AF24" s="332">
        <v>1</v>
      </c>
      <c r="AG24" s="31"/>
      <c r="AH24" s="31"/>
      <c r="AI24" s="31"/>
      <c r="AJ24" s="31"/>
      <c r="AK24" s="332">
        <v>0</v>
      </c>
      <c r="AL24" s="31"/>
      <c r="AM24" s="332"/>
      <c r="AN24" s="31"/>
      <c r="AO24" s="31"/>
      <c r="AQ24" s="413"/>
      <c r="AR24" s="31"/>
      <c r="AS24" s="31"/>
      <c r="AT24" s="31"/>
      <c r="AU24" s="332">
        <v>0</v>
      </c>
      <c r="AV24" s="31"/>
      <c r="AW24" s="31"/>
      <c r="AZ24" s="31"/>
      <c r="BA24" s="31"/>
      <c r="BB24" s="31"/>
      <c r="BC24" s="31"/>
      <c r="BD24" s="31"/>
      <c r="BE24" s="31"/>
      <c r="BF24" s="31"/>
      <c r="BG24" s="332">
        <v>0</v>
      </c>
      <c r="BH24" s="31"/>
      <c r="BI24" s="31"/>
      <c r="BK24" s="31"/>
      <c r="BL24" s="31"/>
      <c r="BM24" s="31"/>
      <c r="BN24" s="31"/>
      <c r="BO24" s="86"/>
      <c r="BP24" s="10">
        <v>1</v>
      </c>
      <c r="BQ24" s="50">
        <v>1</v>
      </c>
      <c r="BR24" s="50">
        <v>1</v>
      </c>
      <c r="BS24" s="50">
        <v>1</v>
      </c>
      <c r="BT24" s="50">
        <v>3</v>
      </c>
      <c r="BU24" s="50">
        <v>1</v>
      </c>
      <c r="BV24" s="50">
        <v>45</v>
      </c>
      <c r="BW24" s="51">
        <f>INDEX([14]BasicUncertainty!$H$1:$H$65536,MATCH(BV24,[14]BasicUncertainty!$B$1:$B$65536,0),1)</f>
        <v>1</v>
      </c>
      <c r="BX24" s="87">
        <f>EXP(SQRT((LN(CB24)^2)+(LN(CC24)^2)+(LN(CD24)^2)+(LN(CE24)^2)+(LN(CF24)^2)+(LN(CG24)^2)))</f>
        <v>1.2</v>
      </c>
      <c r="BY24" s="87">
        <f>EXP(SQRT((LN(CB24)^2)+(LN(CC24)^2)+(LN(CD24)^2)+(LN(CE24)^2)+(LN(CF24)^2)+(LN(CG24)^2)+LN(BW24)^2))</f>
        <v>1.2</v>
      </c>
      <c r="BZ24" s="89" t="str">
        <f>CONCATENATE("(",BP24,",",BQ24,",",BR24,",",BS24,",",BT24,",",BU24,")")</f>
        <v>(1,1,1,1,3,1)</v>
      </c>
      <c r="CB24" s="52">
        <f>IF(BP24=1,'[14]SDG^2 values'!$B$4,IF(BP24=2,'[14]SDG^2 values'!$C$4,IF(BP24=3,'[14]SDG^2 values'!$D$4,IF(BP24=4,'[14]SDG^2 values'!$E$4,IF(BP24=5,'[14]SDG^2 values'!$F$4,1)))))</f>
        <v>1</v>
      </c>
      <c r="CC24" s="52">
        <f>IF(BQ24=1,'[14]SDG^2 values'!$B$5,IF(BQ24=2,'[14]SDG^2 values'!$C$5,IF(BQ24=3,'[14]SDG^2 values'!$D$5,IF(BQ24=4,'[14]SDG^2 values'!$E$5,IF(BQ24=5,'[14]SDG^2 values'!$F$5,1)))))</f>
        <v>1</v>
      </c>
      <c r="CD24" s="52">
        <f>IF(BR24=1,'[14]SDG^2 values'!$B$6,IF(BR24=2,'[14]SDG^2 values'!$C$6,IF(BR24=3,'[14]SDG^2 values'!$D$6,IF(BR24=4,'[14]SDG^2 values'!$E$6,IF(BR24=5,'[14]SDG^2 values'!$F$6,1)))))</f>
        <v>1</v>
      </c>
      <c r="CE24" s="52">
        <f>IF(BS24=1,'[14]SDG^2 values'!$B$7,IF(BS24=2,'[14]SDG^2 values'!$C$7,IF(BS24=3,'[14]SDG^2 values'!$D$7,IF(BS24=4,'[14]SDG^2 values'!$E$7,IF(BS24=5,'[14]SDG^2 values'!$F$7,1)))))</f>
        <v>1</v>
      </c>
      <c r="CF24" s="52">
        <f>IF(BT24=1,'[14]SDG^2 values'!$B$8,IF(BT24=2,'[14]SDG^2 values'!$C$8,IF(BT24=3,'[14]SDG^2 values'!$D$8,IF(BT24=4,'[14]SDG^2 values'!$E$8,IF(BT24=5,'[14]SDG^2 values'!$F$8,1)))))</f>
        <v>1.2</v>
      </c>
      <c r="CG24" s="52">
        <f>IF(BU24=1,'[14]SDG^2 values'!$B$9,IF(BU24=2,'[14]SDG^2 values'!$C$9,IF(BU24=3,'[14]SDG^2 values'!$D$9,IF(BU24=4,'[14]SDG^2 values'!$E$9,IF(BU24=5,'[14]SDG^2 values'!$F$9,1)))))</f>
        <v>1</v>
      </c>
    </row>
    <row r="25" spans="1:85" outlineLevel="1">
      <c r="A25" s="7">
        <v>1490</v>
      </c>
      <c r="B25" s="168"/>
      <c r="C25" s="169"/>
      <c r="D25" s="11" t="s">
        <v>402</v>
      </c>
      <c r="E25" s="170">
        <v>0</v>
      </c>
      <c r="F25" s="145" t="str">
        <f>IF(OR(D25="4",E25="4"),INDEX([14]NamesElementary!$B$1:$B$65536,MATCH(A25,[14]NamesElementary!$A$1:$A$65536,0),1),INDEX([14]Names!$J$1:$J$65602,MATCH(A25,[14]Names!$F$1:$F$65602,0),1))</f>
        <v>facade construction, integrated, at building</v>
      </c>
      <c r="G25" s="16" t="str">
        <f>IF(OR(D25="4",E25="4"),"-",INDEX([14]Names!$K$1:$K$65602,MATCH(A25,[14]Names!$F$1:$F$65602,0),1))</f>
        <v>RER</v>
      </c>
      <c r="H25" s="14" t="str">
        <f>IF(OR(D25="4",E25="4"),INDEX([14]NamesElementary!$D$1:$D$65536,MATCH($A25,[14]NamesElementary!$A$1:$A$65536,0),1),"-")</f>
        <v>-</v>
      </c>
      <c r="I25" s="14" t="str">
        <f>IF(OR(D25="4",E25="4"),INDEX([14]NamesElementary!$E$1:$E$65536,MATCH($A25,[14]NamesElementary!$A$1:$A$65536,0),1),"-")</f>
        <v>-</v>
      </c>
      <c r="J25" s="15">
        <f>IF(OR(D25="4",E25="4"),"-",INDEX([14]Names!$N$1:$N$65602,MATCH(A25,[14]Names!$F$1:$F$65602,0),1))</f>
        <v>1</v>
      </c>
      <c r="K25" s="16" t="str">
        <f>IF(OR(D25="4",E25="4"),INDEX([14]NamesElementary!$G$1:$G$65536,MATCH(A25,[14]NamesElementary!$A$1:$A$65536,0),1),INDEX([14]Names!$O$1:$O$65602,MATCH(A25,[14]Names!$F$1:$F$65602,0),1))</f>
        <v>m2</v>
      </c>
      <c r="L25" s="149" t="str">
        <f>H24</f>
        <v>-</v>
      </c>
      <c r="P25" s="149">
        <f>L24</f>
        <v>1</v>
      </c>
      <c r="T25" s="149">
        <f>P24</f>
        <v>0</v>
      </c>
      <c r="X25" s="149">
        <f>T24</f>
        <v>0</v>
      </c>
      <c r="AB25" s="149">
        <f>X24</f>
        <v>0</v>
      </c>
      <c r="AC25" s="40"/>
      <c r="AD25" s="89"/>
      <c r="AE25" s="193"/>
      <c r="AF25" s="332">
        <v>0</v>
      </c>
      <c r="AG25" s="328"/>
      <c r="AH25" s="328"/>
      <c r="AI25" s="328"/>
      <c r="AJ25" s="328"/>
      <c r="AK25" s="332">
        <f>AD24</f>
        <v>0</v>
      </c>
      <c r="AL25" s="328"/>
      <c r="AM25" s="332"/>
      <c r="AN25" s="328"/>
      <c r="AO25" s="328"/>
      <c r="AQ25" s="414"/>
      <c r="AR25" s="328"/>
      <c r="AS25" s="328"/>
      <c r="AT25" s="328"/>
      <c r="AU25" s="332">
        <f>AK24</f>
        <v>0</v>
      </c>
      <c r="AV25" s="328"/>
      <c r="AW25" s="328"/>
      <c r="AZ25" s="328"/>
      <c r="BA25" s="328"/>
      <c r="BB25" s="328"/>
      <c r="BC25" s="328"/>
      <c r="BD25" s="328"/>
      <c r="BE25" s="328"/>
      <c r="BF25" s="328"/>
      <c r="BG25" s="332">
        <f>AM24</f>
        <v>0</v>
      </c>
      <c r="BH25" s="328"/>
      <c r="BI25" s="328"/>
      <c r="BK25" s="328"/>
      <c r="BL25" s="328"/>
      <c r="BM25" s="328"/>
      <c r="BN25" s="328"/>
    </row>
    <row r="26" spans="1:85" outlineLevel="1">
      <c r="A26" s="7">
        <v>1491</v>
      </c>
      <c r="B26" s="168"/>
      <c r="C26" s="169"/>
      <c r="D26" s="11" t="s">
        <v>402</v>
      </c>
      <c r="E26" s="170">
        <v>0</v>
      </c>
      <c r="F26" s="145" t="str">
        <f>IF(OR(D26="4",E26="4"),INDEX([14]NamesElementary!$B$1:$B$65536,MATCH(A26,[14]NamesElementary!$A$1:$A$65536,0),1),INDEX([14]Names!$J$1:$J$65602,MATCH(A26,[14]Names!$F$1:$F$65602,0),1))</f>
        <v>flat roof construction, on roof</v>
      </c>
      <c r="G26" s="16" t="str">
        <f>IF(OR(D26="4",E26="4"),"-",INDEX([14]Names!$K$1:$K$65602,MATCH(A26,[14]Names!$F$1:$F$65602,0),1))</f>
        <v>RER</v>
      </c>
      <c r="H26" s="14" t="str">
        <f>IF(OR(D26="4",E26="4"),INDEX([14]NamesElementary!$D$1:$D$65536,MATCH($A26,[14]NamesElementary!$A$1:$A$65536,0),1),"-")</f>
        <v>-</v>
      </c>
      <c r="I26" s="14" t="str">
        <f>IF(OR(D26="4",E26="4"),INDEX([14]NamesElementary!$E$1:$E$65536,MATCH($A26,[14]NamesElementary!$A$1:$A$65536,0),1),"-")</f>
        <v>-</v>
      </c>
      <c r="J26" s="15">
        <f>IF(OR(D26="4",E26="4"),"-",INDEX([14]Names!$N$1:$N$65602,MATCH(A26,[14]Names!$F$1:$F$65602,0),1))</f>
        <v>1</v>
      </c>
      <c r="K26" s="16" t="str">
        <f>IF(OR(D26="4",E26="4"),INDEX([14]NamesElementary!$G$1:$G$65536,MATCH(A26,[14]NamesElementary!$A$1:$A$65536,0),1),INDEX([14]Names!$O$1:$O$65602,MATCH(A26,[14]Names!$F$1:$F$65602,0),1))</f>
        <v>m2</v>
      </c>
      <c r="L26" s="149" t="str">
        <f>H25</f>
        <v>-</v>
      </c>
      <c r="P26" s="149" t="str">
        <f>L25</f>
        <v>-</v>
      </c>
      <c r="T26" s="149">
        <f>P25</f>
        <v>1</v>
      </c>
      <c r="X26" s="149">
        <f>T25</f>
        <v>0</v>
      </c>
      <c r="AB26" s="149">
        <f>X25</f>
        <v>0</v>
      </c>
      <c r="AC26" s="40"/>
      <c r="AD26" s="89"/>
      <c r="AE26" s="193"/>
      <c r="AF26" s="332">
        <v>0</v>
      </c>
      <c r="AG26" s="328"/>
      <c r="AH26" s="328"/>
      <c r="AI26" s="328"/>
      <c r="AJ26" s="328"/>
      <c r="AK26" s="332">
        <f>AD25</f>
        <v>0</v>
      </c>
      <c r="AL26" s="328"/>
      <c r="AM26" s="332">
        <v>22</v>
      </c>
      <c r="AN26" s="328"/>
      <c r="AO26" s="328"/>
      <c r="AQ26" s="414"/>
      <c r="AR26" s="328"/>
      <c r="AS26" s="328"/>
      <c r="AT26" s="328"/>
      <c r="AU26" s="332">
        <f>AK25</f>
        <v>0</v>
      </c>
      <c r="AV26" s="328"/>
      <c r="AW26" s="328"/>
      <c r="AZ26" s="328"/>
      <c r="BA26" s="328"/>
      <c r="BB26" s="328"/>
      <c r="BC26" s="328"/>
      <c r="BD26" s="328"/>
      <c r="BE26" s="328"/>
      <c r="BF26" s="328"/>
      <c r="BG26" s="332"/>
      <c r="BH26" s="328"/>
      <c r="BI26" s="328"/>
      <c r="BK26" s="328"/>
      <c r="BL26" s="328"/>
      <c r="BM26" s="328"/>
      <c r="BN26" s="328"/>
    </row>
    <row r="27" spans="1:85" outlineLevel="1">
      <c r="A27" s="7">
        <v>1645</v>
      </c>
      <c r="B27" s="168"/>
      <c r="C27" s="169"/>
      <c r="D27" s="11" t="s">
        <v>402</v>
      </c>
      <c r="E27" s="170">
        <v>0</v>
      </c>
      <c r="F27" s="145" t="str">
        <f>IF(OR(D27="4",E27="4"),INDEX([14]NamesElementary!$B$1:$B$65536,MATCH(A27,[14]NamesElementary!$A$1:$A$65536,0),1),INDEX([14]Names!$J$1:$J$65602,MATCH(A27,[14]Names!$F$1:$F$65602,0),1))</f>
        <v>slanted-roof construction, mounted, on roof</v>
      </c>
      <c r="G27" s="16" t="str">
        <f>IF(OR(D27="4",E27="4"),"-",INDEX([14]Names!$K$1:$K$65602,MATCH(A27,[14]Names!$F$1:$F$65602,0),1))</f>
        <v>RER</v>
      </c>
      <c r="H27" s="14" t="str">
        <f>IF(OR(D27="4",E27="4"),INDEX([14]NamesElementary!$D$1:$D$65536,MATCH($A27,[14]NamesElementary!$A$1:$A$65536,0),1),"-")</f>
        <v>-</v>
      </c>
      <c r="I27" s="14" t="str">
        <f>IF(OR(D27="4",E27="4"),INDEX([14]NamesElementary!$E$1:$E$65536,MATCH($A27,[14]NamesElementary!$A$1:$A$65536,0),1),"-")</f>
        <v>-</v>
      </c>
      <c r="J27" s="15">
        <f>IF(OR(D27="4",E27="4"),"-",INDEX([14]Names!$N$1:$N$65602,MATCH(A27,[14]Names!$F$1:$F$65602,0),1))</f>
        <v>1</v>
      </c>
      <c r="K27" s="16" t="str">
        <f>IF(OR(D27="4",E27="4"),INDEX([14]NamesElementary!$G$1:$G$65536,MATCH(A27,[14]NamesElementary!$A$1:$A$65536,0),1),INDEX([14]Names!$O$1:$O$65602,MATCH(A27,[14]Names!$F$1:$F$65602,0),1))</f>
        <v>m2</v>
      </c>
      <c r="L27" s="149" t="str">
        <f>H26</f>
        <v>-</v>
      </c>
      <c r="P27" s="149" t="str">
        <f>L26</f>
        <v>-</v>
      </c>
      <c r="T27" s="149" t="str">
        <f>P26</f>
        <v>-</v>
      </c>
      <c r="X27" s="149">
        <f>T26</f>
        <v>1</v>
      </c>
      <c r="AB27" s="149">
        <f>X26</f>
        <v>0</v>
      </c>
      <c r="AC27" s="40"/>
      <c r="AD27" s="89"/>
      <c r="AE27" s="193"/>
      <c r="AF27" s="332">
        <v>0</v>
      </c>
      <c r="AG27" s="328"/>
      <c r="AH27" s="328"/>
      <c r="AI27" s="328"/>
      <c r="AJ27" s="328"/>
      <c r="AK27" s="332">
        <f>AD26</f>
        <v>0</v>
      </c>
      <c r="AL27" s="328"/>
      <c r="AM27" s="332"/>
      <c r="AN27" s="328"/>
      <c r="AO27" s="328"/>
      <c r="AQ27" s="414"/>
      <c r="AR27" s="328"/>
      <c r="AS27" s="328"/>
      <c r="AT27" s="328"/>
      <c r="AU27" s="332">
        <f>AK26</f>
        <v>0</v>
      </c>
      <c r="AV27" s="328"/>
      <c r="AW27" s="328"/>
      <c r="AZ27" s="328"/>
      <c r="BA27" s="328"/>
      <c r="BB27" s="328"/>
      <c r="BC27" s="328"/>
      <c r="BD27" s="328"/>
      <c r="BE27" s="328"/>
      <c r="BF27" s="328"/>
      <c r="BG27" s="332">
        <f>AM26</f>
        <v>22</v>
      </c>
      <c r="BH27" s="328"/>
      <c r="BI27" s="328"/>
      <c r="BK27" s="328"/>
      <c r="BL27" s="328"/>
      <c r="BM27" s="328"/>
      <c r="BN27" s="328"/>
    </row>
    <row r="28" spans="1:85" outlineLevel="1">
      <c r="A28" s="7">
        <v>1646</v>
      </c>
      <c r="B28" s="168"/>
      <c r="C28" s="169"/>
      <c r="D28" s="11" t="s">
        <v>402</v>
      </c>
      <c r="E28" s="170">
        <v>0</v>
      </c>
      <c r="F28" s="145" t="str">
        <f>IF(OR(D28="4",E28="4"),INDEX([14]NamesElementary!$B$1:$B$65536,MATCH(A28,[14]NamesElementary!$A$1:$A$65536,0),1),INDEX([14]Names!$J$1:$J$65602,MATCH(A28,[14]Names!$F$1:$F$65602,0),1))</f>
        <v>slanted-roof construction, integrated, on roof</v>
      </c>
      <c r="G28" s="16" t="str">
        <f>IF(OR(D28="4",E28="4"),"-",INDEX([14]Names!$K$1:$K$65602,MATCH(A28,[14]Names!$F$1:$F$65602,0),1))</f>
        <v>RER</v>
      </c>
      <c r="H28" s="14" t="str">
        <f>IF(OR(D28="4",E28="4"),INDEX([14]NamesElementary!$D$1:$D$65536,MATCH($A28,[14]NamesElementary!$A$1:$A$65536,0),1),"-")</f>
        <v>-</v>
      </c>
      <c r="I28" s="14" t="str">
        <f>IF(OR(D28="4",E28="4"),INDEX([14]NamesElementary!$E$1:$E$65536,MATCH($A28,[14]NamesElementary!$A$1:$A$65536,0),1),"-")</f>
        <v>-</v>
      </c>
      <c r="J28" s="15">
        <f>IF(OR(D28="4",E28="4"),"-",INDEX([14]Names!$N$1:$N$65602,MATCH(A28,[14]Names!$F$1:$F$65602,0),1))</f>
        <v>1</v>
      </c>
      <c r="K28" s="16" t="str">
        <f>IF(OR(D28="4",E28="4"),INDEX([14]NamesElementary!$G$1:$G$65536,MATCH(A28,[14]NamesElementary!$A$1:$A$65536,0),1),INDEX([14]Names!$O$1:$O$65602,MATCH(A28,[14]Names!$F$1:$F$65602,0),1))</f>
        <v>m2</v>
      </c>
      <c r="L28" s="149" t="str">
        <f>H27</f>
        <v>-</v>
      </c>
      <c r="P28" s="149" t="str">
        <f>L27</f>
        <v>-</v>
      </c>
      <c r="T28" s="149" t="str">
        <f>P27</f>
        <v>-</v>
      </c>
      <c r="X28" s="149" t="str">
        <f>T27</f>
        <v>-</v>
      </c>
      <c r="AB28" s="149">
        <f>X27</f>
        <v>1</v>
      </c>
      <c r="AC28" s="40"/>
      <c r="AD28" s="89"/>
      <c r="AE28" s="193"/>
      <c r="AF28" s="332">
        <v>0</v>
      </c>
      <c r="AG28" s="328"/>
      <c r="AH28" s="328"/>
      <c r="AI28" s="328"/>
      <c r="AJ28" s="328"/>
      <c r="AK28" s="332">
        <f>AD27</f>
        <v>0</v>
      </c>
      <c r="AL28" s="328"/>
      <c r="AM28" s="332"/>
      <c r="AN28" s="328"/>
      <c r="AO28" s="328"/>
      <c r="AQ28" s="414"/>
      <c r="AR28" s="328"/>
      <c r="AS28" s="328"/>
      <c r="AT28" s="328"/>
      <c r="AU28" s="332">
        <f>AK27</f>
        <v>0</v>
      </c>
      <c r="AV28" s="328"/>
      <c r="AW28" s="328"/>
      <c r="AZ28" s="328"/>
      <c r="BA28" s="328"/>
      <c r="BB28" s="328"/>
      <c r="BC28" s="328"/>
      <c r="BD28" s="328"/>
      <c r="BE28" s="328"/>
      <c r="BF28" s="328"/>
      <c r="BG28" s="332">
        <v>22</v>
      </c>
      <c r="BH28" s="328"/>
      <c r="BI28" s="328"/>
      <c r="BK28" s="328"/>
      <c r="BL28" s="328"/>
      <c r="BM28" s="328"/>
      <c r="BN28" s="328"/>
    </row>
    <row r="29" spans="1:85" hidden="1" outlineLevel="1" collapsed="1">
      <c r="AF29" s="333"/>
      <c r="AK29" s="333"/>
      <c r="AM29" s="333"/>
      <c r="AQ29" s="395"/>
      <c r="AU29" s="333"/>
      <c r="BG29" s="333"/>
    </row>
    <row r="30" spans="1:85" collapsed="1">
      <c r="B30" s="190" t="s">
        <v>179</v>
      </c>
      <c r="C30" s="203"/>
      <c r="D30" s="195"/>
      <c r="E30" s="204"/>
      <c r="F30" s="205" t="s">
        <v>180</v>
      </c>
      <c r="G30" s="206"/>
      <c r="H30" s="207"/>
      <c r="I30" s="207"/>
      <c r="J30" s="208"/>
      <c r="K30" s="206" t="s">
        <v>395</v>
      </c>
      <c r="L30" s="209">
        <f>SUM(L7:L14)</f>
        <v>4.1850649350649354</v>
      </c>
      <c r="M30" s="368"/>
      <c r="N30" s="368"/>
      <c r="O30" s="368"/>
      <c r="P30" s="209" t="e">
        <f>SUM(P7:P14)</f>
        <v>#REF!</v>
      </c>
      <c r="Q30" s="368"/>
      <c r="R30" s="368"/>
      <c r="S30" s="368"/>
      <c r="T30" s="209">
        <f>SUM(T7:T14)</f>
        <v>6.17421124828532</v>
      </c>
      <c r="U30" s="368"/>
      <c r="V30" s="368"/>
      <c r="W30" s="368"/>
      <c r="X30" s="209" t="e">
        <f>SUM(X7:X14)</f>
        <v>#REF!</v>
      </c>
      <c r="Y30" s="368"/>
      <c r="Z30" s="368"/>
      <c r="AA30" s="368"/>
      <c r="AB30" s="209" t="e">
        <f>SUM(AB7:AB14)</f>
        <v>#REF!</v>
      </c>
      <c r="AC30" s="337"/>
      <c r="AD30" s="337"/>
      <c r="AE30" s="338" t="s">
        <v>680</v>
      </c>
      <c r="AF30" s="339">
        <f>SUM(AF7:AF13)+AF14*2200+AF41*540</f>
        <v>122.32</v>
      </c>
      <c r="AG30" s="209">
        <f>SUM(AG7:AG13)+AG14*2200+AG41*540</f>
        <v>5.5600000000000005</v>
      </c>
      <c r="AH30" s="379" t="s">
        <v>145</v>
      </c>
      <c r="AI30" s="409">
        <f>SUM(AI7:AI13)+AI14*2200+AI41*540</f>
        <v>4.1433237707354778</v>
      </c>
      <c r="AJ30" s="378">
        <f>SUM(AJ7:AJ13)+AJ14*2200+AJ41*540</f>
        <v>4</v>
      </c>
      <c r="AK30" s="339">
        <f>SUM(AK7:AK13)+AK14*2200+AK41*540</f>
        <v>75</v>
      </c>
      <c r="AL30" s="209">
        <f>SUM(AL7:AL13)+AL14*2200+AL41*540</f>
        <v>3.4090909090909092</v>
      </c>
      <c r="AM30" s="339">
        <f>SUM(AM7:AM13)+AM14+AM41*540</f>
        <v>3988.72</v>
      </c>
      <c r="AN30" s="345">
        <f>SUM(AN7:AN13)+AN14*2200+AN41*540</f>
        <v>349651.30534979416</v>
      </c>
      <c r="AO30" s="209">
        <f>SUM(AO7:AO13)+AO14*2200+AO41*540</f>
        <v>11.741473873500018</v>
      </c>
      <c r="AP30" s="391" t="str">
        <f>$AH30</f>
        <v>total weight</v>
      </c>
      <c r="AQ30" s="409">
        <f>SUM(AQ7:AQ13)</f>
        <v>6.1395876199188537</v>
      </c>
      <c r="AR30" s="378">
        <f>SUM(AR7:AR13)</f>
        <v>13</v>
      </c>
      <c r="AS30" s="378">
        <f>SUM(AS7:AS13)</f>
        <v>12.299999999999999</v>
      </c>
      <c r="AT30" s="378">
        <f>SUM(AT7:AT13)+AT14*2200+AT41*540</f>
        <v>9.7268907563025202</v>
      </c>
      <c r="AU30" s="339">
        <f>SUM(AU7:AU13)+AU14*2200+AU41*540</f>
        <v>229.32000000000002</v>
      </c>
      <c r="AV30" s="209">
        <f>SUM(AV7:AV13)+AV14*2200+AV41*540</f>
        <v>10.423636363636366</v>
      </c>
      <c r="AW30" s="209">
        <f>SUM(AW7:AW13)+AW14*2200+AW41*540</f>
        <v>2.9002705627705629</v>
      </c>
      <c r="AX30" s="391" t="str">
        <f>$AH30</f>
        <v>total weight</v>
      </c>
      <c r="AY30" s="409" t="e">
        <f t="shared" ref="AY30:BH30" si="21">SUM(AY7:AY13)+AY14*2200+AY41*540</f>
        <v>#REF!</v>
      </c>
      <c r="AZ30" s="378">
        <f t="shared" si="21"/>
        <v>3.2391666666666676</v>
      </c>
      <c r="BA30" s="378">
        <f t="shared" si="21"/>
        <v>1.03</v>
      </c>
      <c r="BB30" s="378">
        <f t="shared" si="21"/>
        <v>3.2</v>
      </c>
      <c r="BC30" s="378">
        <f t="shared" si="21"/>
        <v>2.6</v>
      </c>
      <c r="BD30" s="378">
        <f t="shared" si="21"/>
        <v>1.69</v>
      </c>
      <c r="BE30" s="378">
        <f t="shared" si="21"/>
        <v>4</v>
      </c>
      <c r="BF30" s="378">
        <f t="shared" si="21"/>
        <v>3.9</v>
      </c>
      <c r="BG30" s="339">
        <f t="shared" si="21"/>
        <v>217.72</v>
      </c>
      <c r="BH30" s="209">
        <f t="shared" si="21"/>
        <v>9.81</v>
      </c>
      <c r="BI30" s="209">
        <f>SUM(BI7:BI13)+BI14*2200+BI41*540</f>
        <v>2.8254629629629631</v>
      </c>
      <c r="BJ30" s="391" t="str">
        <f>$AH30</f>
        <v>total weight</v>
      </c>
      <c r="BK30" s="409" t="e">
        <f>SUM(BK7:BK13)+BK14*2200+BK41*540</f>
        <v>#REF!</v>
      </c>
      <c r="BL30" s="378">
        <f>SUM(BL7:BL13)+BL14*2200+BL41*540</f>
        <v>2.3444444444444446</v>
      </c>
      <c r="BM30" s="378">
        <f>SUM(BM7:BM13)+BM14*2200+BM41*540</f>
        <v>3.2319444444444443</v>
      </c>
      <c r="BN30" s="378">
        <f>SUM(BN7:BN13)+BN14*2200+BN41*540</f>
        <v>2.9000000000000004</v>
      </c>
    </row>
    <row r="31" spans="1:85">
      <c r="B31" s="190"/>
      <c r="C31" s="203"/>
      <c r="D31" s="195"/>
      <c r="E31" s="204"/>
      <c r="F31" s="205" t="s">
        <v>181</v>
      </c>
      <c r="G31" s="206"/>
      <c r="H31" s="207"/>
      <c r="I31" s="207"/>
      <c r="J31" s="208"/>
      <c r="K31" s="206" t="s">
        <v>395</v>
      </c>
      <c r="L31" s="209">
        <f>SUM(L7,L9:L13)</f>
        <v>4.1474294590301781</v>
      </c>
      <c r="M31" s="368"/>
      <c r="N31" s="368"/>
      <c r="O31" s="368"/>
      <c r="P31" s="209" t="e">
        <f>SUM(P7,P9:P13)</f>
        <v>#REF!</v>
      </c>
      <c r="Q31" s="368"/>
      <c r="R31" s="368"/>
      <c r="S31" s="368"/>
      <c r="T31" s="209">
        <f>SUM(T7,T9:T13)</f>
        <v>6.1504075037833745</v>
      </c>
      <c r="U31" s="368"/>
      <c r="V31" s="368"/>
      <c r="W31" s="368"/>
      <c r="X31" s="209" t="e">
        <f>SUM(X7,X9:X13)</f>
        <v>#REF!</v>
      </c>
      <c r="Y31" s="368"/>
      <c r="Z31" s="368"/>
      <c r="AA31" s="368"/>
      <c r="AB31" s="209" t="e">
        <f>SUM(AB7,AB9:AB13)</f>
        <v>#REF!</v>
      </c>
      <c r="AC31" s="337"/>
      <c r="AD31" s="337"/>
      <c r="AE31" s="338" t="str">
        <f>AE30</f>
        <v>Sum from the inventory</v>
      </c>
      <c r="AF31" s="339">
        <f>SUM(AF7,AF9:AF13)+AF41*540</f>
        <v>121.22</v>
      </c>
      <c r="AG31" s="209">
        <f>SUM(AG7,AG9:AG13)+AG41*540</f>
        <v>5.51</v>
      </c>
      <c r="AH31" s="375"/>
      <c r="AI31" s="209">
        <f>SUM(AI7,AI9:AI13)+AI41*540</f>
        <v>4.1433237707354778</v>
      </c>
      <c r="AJ31" s="209">
        <f t="shared" ref="AJ31:AO31" si="22">SUM(AJ7,AJ9:AJ13)+AJ41*540</f>
        <v>4</v>
      </c>
      <c r="AK31" s="339">
        <f t="shared" si="22"/>
        <v>75</v>
      </c>
      <c r="AL31" s="209">
        <f t="shared" si="22"/>
        <v>3.4090909090909092</v>
      </c>
      <c r="AM31" s="339">
        <f t="shared" si="22"/>
        <v>125.61999999999999</v>
      </c>
      <c r="AN31" s="209">
        <f t="shared" si="22"/>
        <v>5.1695473251028803</v>
      </c>
      <c r="AO31" s="209">
        <f t="shared" si="22"/>
        <v>11.696206383788082</v>
      </c>
      <c r="AQ31" s="209">
        <f>SUM(AQ7,AQ9:AQ13)+AQ41*540</f>
        <v>6.1395876199188537</v>
      </c>
      <c r="AR31" s="209">
        <f t="shared" ref="AR31:AW31" si="23">SUM(AR7,AR9:AR13)+AR41*540</f>
        <v>13</v>
      </c>
      <c r="AS31" s="209">
        <f t="shared" si="23"/>
        <v>12.299999999999999</v>
      </c>
      <c r="AT31" s="209">
        <f t="shared" si="23"/>
        <v>9.7268907563025202</v>
      </c>
      <c r="AU31" s="339">
        <f t="shared" si="23"/>
        <v>227.42000000000002</v>
      </c>
      <c r="AV31" s="209">
        <f t="shared" si="23"/>
        <v>10.33727272727273</v>
      </c>
      <c r="AW31" s="209">
        <f t="shared" si="23"/>
        <v>2.8139069264069265</v>
      </c>
      <c r="AY31" s="209" t="e">
        <f>SUM(AY7,AY9:AY13)+AY41*540</f>
        <v>#REF!</v>
      </c>
      <c r="AZ31" s="209">
        <f t="shared" ref="AZ31:BI31" si="24">SUM(AZ7,AZ9:AZ13)+AZ41*540</f>
        <v>3.2391666666666676</v>
      </c>
      <c r="BA31" s="209">
        <f t="shared" si="24"/>
        <v>1.03</v>
      </c>
      <c r="BB31" s="209">
        <f t="shared" si="24"/>
        <v>3.2</v>
      </c>
      <c r="BC31" s="209">
        <f t="shared" si="24"/>
        <v>2.6</v>
      </c>
      <c r="BD31" s="209">
        <f t="shared" si="24"/>
        <v>1.69</v>
      </c>
      <c r="BE31" s="209">
        <f t="shared" si="24"/>
        <v>4</v>
      </c>
      <c r="BF31" s="209">
        <f t="shared" si="24"/>
        <v>3.9</v>
      </c>
      <c r="BG31" s="339">
        <f t="shared" si="24"/>
        <v>215.82</v>
      </c>
      <c r="BH31" s="209">
        <f t="shared" si="24"/>
        <v>9.81</v>
      </c>
      <c r="BI31" s="209">
        <f t="shared" si="24"/>
        <v>2.8254629629629631</v>
      </c>
      <c r="BK31" s="209" t="e">
        <f>SUM(BK7,BK9:BK13)+BK41*540</f>
        <v>#REF!</v>
      </c>
      <c r="BL31" s="209">
        <f>SUM(BL7,BL9:BL13)+BL41*540</f>
        <v>2.3444444444444446</v>
      </c>
      <c r="BM31" s="209">
        <f>SUM(BM7,BM9:BM13)+BM41*540</f>
        <v>3.2319444444444443</v>
      </c>
      <c r="BN31" s="209">
        <f>SUM(BN7,BN9:BN13)+BN41*540</f>
        <v>2.9000000000000004</v>
      </c>
    </row>
    <row r="32" spans="1:85">
      <c r="B32" s="190"/>
      <c r="C32" s="203"/>
      <c r="D32" s="195"/>
      <c r="E32" s="204"/>
      <c r="F32" s="205" t="s">
        <v>323</v>
      </c>
      <c r="G32" s="206"/>
      <c r="H32" s="207"/>
      <c r="I32" s="207"/>
      <c r="J32" s="208"/>
      <c r="K32" s="206" t="s">
        <v>396</v>
      </c>
      <c r="L32" s="209">
        <v>1</v>
      </c>
      <c r="M32" s="368"/>
      <c r="N32" s="368"/>
      <c r="O32" s="368"/>
      <c r="P32" s="209">
        <v>1</v>
      </c>
      <c r="Q32" s="368"/>
      <c r="R32" s="368"/>
      <c r="S32" s="368"/>
      <c r="T32" s="209">
        <v>1</v>
      </c>
      <c r="U32" s="368"/>
      <c r="V32" s="368"/>
      <c r="W32" s="368"/>
      <c r="X32" s="209">
        <v>1</v>
      </c>
      <c r="Y32" s="368"/>
      <c r="Z32" s="368"/>
      <c r="AA32" s="368"/>
      <c r="AB32" s="209">
        <v>1</v>
      </c>
      <c r="AC32" s="337"/>
      <c r="AD32" s="337"/>
      <c r="AE32" s="338"/>
      <c r="AF32" s="339">
        <v>22</v>
      </c>
      <c r="AG32" s="209">
        <v>1</v>
      </c>
      <c r="AH32" s="209"/>
      <c r="AI32" s="209">
        <v>1</v>
      </c>
      <c r="AJ32" s="209">
        <v>1</v>
      </c>
      <c r="AK32" s="339">
        <v>22</v>
      </c>
      <c r="AL32" s="209">
        <v>1</v>
      </c>
      <c r="AM32" s="339">
        <v>24.3</v>
      </c>
      <c r="AN32" s="209">
        <v>1</v>
      </c>
      <c r="AO32" s="209">
        <v>1</v>
      </c>
      <c r="AQ32" s="209">
        <v>1</v>
      </c>
      <c r="AR32" s="209">
        <v>1</v>
      </c>
      <c r="AS32" s="209">
        <v>1</v>
      </c>
      <c r="AT32" s="209">
        <v>1</v>
      </c>
      <c r="AU32" s="339">
        <v>22</v>
      </c>
      <c r="AV32" s="209">
        <v>1</v>
      </c>
      <c r="AW32" s="209">
        <v>1</v>
      </c>
      <c r="AY32" s="209">
        <v>1</v>
      </c>
      <c r="AZ32" s="209">
        <v>1</v>
      </c>
      <c r="BA32" s="209">
        <v>2</v>
      </c>
      <c r="BB32" s="209">
        <v>1</v>
      </c>
      <c r="BC32" s="209">
        <v>1</v>
      </c>
      <c r="BD32" s="209">
        <v>1</v>
      </c>
      <c r="BE32" s="209">
        <v>1</v>
      </c>
      <c r="BF32" s="209">
        <v>1</v>
      </c>
      <c r="BG32" s="339">
        <v>22</v>
      </c>
      <c r="BH32" s="209">
        <v>1</v>
      </c>
      <c r="BI32" s="209">
        <v>1</v>
      </c>
      <c r="BK32" s="209">
        <v>1</v>
      </c>
      <c r="BL32" s="209">
        <v>1</v>
      </c>
      <c r="BM32" s="209">
        <v>1</v>
      </c>
      <c r="BN32" s="209">
        <v>1</v>
      </c>
    </row>
    <row r="33" spans="1:85">
      <c r="B33" s="190"/>
      <c r="C33" s="203"/>
      <c r="D33" s="195"/>
      <c r="E33" s="204"/>
      <c r="F33" s="205" t="s">
        <v>182</v>
      </c>
      <c r="G33" s="206"/>
      <c r="H33" s="207"/>
      <c r="I33" s="207"/>
      <c r="J33" s="208"/>
      <c r="K33" s="206" t="s">
        <v>395</v>
      </c>
      <c r="L33" s="340">
        <f>AG33</f>
        <v>0.81818181818181823</v>
      </c>
      <c r="M33" s="369">
        <f t="shared" ref="M33:AA33" si="25">MIN(M43:M85)*3</f>
        <v>0</v>
      </c>
      <c r="N33" s="369">
        <f t="shared" si="25"/>
        <v>0</v>
      </c>
      <c r="O33" s="369">
        <f t="shared" si="25"/>
        <v>0</v>
      </c>
      <c r="P33" s="345"/>
      <c r="Q33" s="369">
        <f t="shared" si="25"/>
        <v>0</v>
      </c>
      <c r="R33" s="369">
        <f t="shared" si="25"/>
        <v>0</v>
      </c>
      <c r="S33" s="369">
        <f t="shared" si="25"/>
        <v>0</v>
      </c>
      <c r="T33" s="209">
        <f>AN33</f>
        <v>2.2222222222222223</v>
      </c>
      <c r="U33" s="369">
        <f t="shared" si="25"/>
        <v>0</v>
      </c>
      <c r="V33" s="369">
        <f t="shared" si="25"/>
        <v>0</v>
      </c>
      <c r="W33" s="369">
        <f t="shared" si="25"/>
        <v>0</v>
      </c>
      <c r="X33" s="209">
        <f>AV33</f>
        <v>0.95454545454545459</v>
      </c>
      <c r="Y33" s="369">
        <f t="shared" si="25"/>
        <v>0</v>
      </c>
      <c r="Z33" s="369">
        <f t="shared" si="25"/>
        <v>0</v>
      </c>
      <c r="AA33" s="369">
        <f t="shared" si="25"/>
        <v>0</v>
      </c>
      <c r="AB33" s="345"/>
      <c r="AE33" s="33" t="s">
        <v>679</v>
      </c>
      <c r="AF33" s="334">
        <f>MIN(AF43:AF85)*3</f>
        <v>18</v>
      </c>
      <c r="AG33" s="251">
        <f>AF33/AF$32</f>
        <v>0.81818181818181823</v>
      </c>
      <c r="AH33" s="251"/>
      <c r="AI33" s="251"/>
      <c r="AJ33" s="251"/>
      <c r="AK33" s="334"/>
      <c r="AL33" s="345"/>
      <c r="AM33" s="334">
        <f>MIN(AM43:AM85)*3</f>
        <v>54</v>
      </c>
      <c r="AN33" s="209">
        <f>AM33/AM$32</f>
        <v>2.2222222222222223</v>
      </c>
      <c r="AO33" s="345"/>
      <c r="AQ33" s="345"/>
      <c r="AR33" s="345"/>
      <c r="AS33" s="345"/>
      <c r="AT33" s="345"/>
      <c r="AU33" s="334">
        <f>MIN(AU43:AU85)*3</f>
        <v>21</v>
      </c>
      <c r="AV33" s="209">
        <f>AU33/AU$32</f>
        <v>0.95454545454545459</v>
      </c>
      <c r="AW33" s="209">
        <f>AT33/AT$32</f>
        <v>0</v>
      </c>
      <c r="AY33" s="345">
        <f t="shared" ref="AY33:BD33" si="26">10*0.72</f>
        <v>7.1999999999999993</v>
      </c>
      <c r="AZ33" s="345">
        <f t="shared" si="26"/>
        <v>7.1999999999999993</v>
      </c>
      <c r="BA33" s="345">
        <f t="shared" si="26"/>
        <v>7.1999999999999993</v>
      </c>
      <c r="BB33" s="345">
        <f t="shared" si="26"/>
        <v>7.1999999999999993</v>
      </c>
      <c r="BC33" s="345">
        <f t="shared" si="26"/>
        <v>7.1999999999999993</v>
      </c>
      <c r="BD33" s="345">
        <f t="shared" si="26"/>
        <v>7.1999999999999993</v>
      </c>
      <c r="BE33" s="345"/>
      <c r="BF33" s="345"/>
      <c r="BG33" s="334"/>
      <c r="BH33" s="345"/>
      <c r="BI33" s="340"/>
      <c r="BK33" s="340">
        <v>0.72</v>
      </c>
      <c r="BL33" s="340">
        <v>0.72</v>
      </c>
      <c r="BM33" s="340">
        <v>0.72</v>
      </c>
      <c r="BN33" s="345"/>
    </row>
    <row r="34" spans="1:85">
      <c r="B34" s="190"/>
      <c r="C34" s="203"/>
      <c r="D34" s="195"/>
      <c r="E34" s="204"/>
      <c r="F34" s="205" t="s">
        <v>183</v>
      </c>
      <c r="G34" s="206"/>
      <c r="H34" s="207"/>
      <c r="I34" s="207"/>
      <c r="J34" s="208"/>
      <c r="K34" s="206" t="s">
        <v>395</v>
      </c>
      <c r="L34" s="340">
        <f>AG34</f>
        <v>13.636363636363637</v>
      </c>
      <c r="M34" s="369">
        <f t="shared" ref="M34:AA34" si="27">MAX(M43:M85)*3</f>
        <v>0</v>
      </c>
      <c r="N34" s="369">
        <f t="shared" si="27"/>
        <v>0</v>
      </c>
      <c r="O34" s="369">
        <f t="shared" si="27"/>
        <v>0</v>
      </c>
      <c r="P34" s="345"/>
      <c r="Q34" s="369">
        <f t="shared" si="27"/>
        <v>0</v>
      </c>
      <c r="R34" s="369">
        <f t="shared" si="27"/>
        <v>0</v>
      </c>
      <c r="S34" s="369">
        <f t="shared" si="27"/>
        <v>0</v>
      </c>
      <c r="T34" s="209">
        <f>AN34</f>
        <v>18.518518518518519</v>
      </c>
      <c r="U34" s="369">
        <f t="shared" si="27"/>
        <v>0</v>
      </c>
      <c r="V34" s="369">
        <f t="shared" si="27"/>
        <v>0</v>
      </c>
      <c r="W34" s="369">
        <f t="shared" si="27"/>
        <v>0</v>
      </c>
      <c r="X34" s="209">
        <f>AV34</f>
        <v>13.636363636363637</v>
      </c>
      <c r="Y34" s="369">
        <f t="shared" si="27"/>
        <v>0</v>
      </c>
      <c r="Z34" s="369">
        <f t="shared" si="27"/>
        <v>0</v>
      </c>
      <c r="AA34" s="369">
        <f t="shared" si="27"/>
        <v>0</v>
      </c>
      <c r="AB34" s="345"/>
      <c r="AE34" s="33" t="str">
        <f>AE33</f>
        <v>Siemer 2003</v>
      </c>
      <c r="AF34" s="334">
        <f>MAX(AF43:AF85)*3</f>
        <v>300</v>
      </c>
      <c r="AG34" s="251">
        <f>AF34/AF$32</f>
        <v>13.636363636363637</v>
      </c>
      <c r="AH34" s="251"/>
      <c r="AI34" s="251"/>
      <c r="AJ34" s="251"/>
      <c r="AK34" s="334"/>
      <c r="AL34" s="345"/>
      <c r="AM34" s="334">
        <f>MAX(AM43:AM87)*3</f>
        <v>450</v>
      </c>
      <c r="AN34" s="209">
        <f>AM34/AM$32</f>
        <v>18.518518518518519</v>
      </c>
      <c r="AO34" s="345"/>
      <c r="AQ34" s="345"/>
      <c r="AR34" s="345"/>
      <c r="AS34" s="345"/>
      <c r="AT34" s="345"/>
      <c r="AU34" s="334">
        <f>MAX(AU43:AU85)*3</f>
        <v>300</v>
      </c>
      <c r="AV34" s="209">
        <f>AU34/AU$32</f>
        <v>13.636363636363637</v>
      </c>
      <c r="AW34" s="345"/>
      <c r="AY34" s="345"/>
      <c r="AZ34" s="345"/>
      <c r="BA34" s="345"/>
      <c r="BB34" s="345"/>
      <c r="BC34" s="345"/>
      <c r="BD34" s="345"/>
      <c r="BE34" s="345"/>
      <c r="BF34" s="345"/>
      <c r="BG34" s="334"/>
      <c r="BH34" s="345"/>
      <c r="BI34" s="345"/>
      <c r="BK34" s="345"/>
      <c r="BL34" s="345"/>
      <c r="BM34" s="345"/>
      <c r="BN34" s="345"/>
    </row>
    <row r="35" spans="1:85">
      <c r="B35" s="190"/>
      <c r="C35" s="203"/>
      <c r="D35" s="195"/>
      <c r="E35" s="204"/>
      <c r="F35" s="205" t="s">
        <v>215</v>
      </c>
      <c r="G35" s="206"/>
      <c r="H35" s="207"/>
      <c r="I35" s="207"/>
      <c r="J35" s="208"/>
      <c r="K35" s="319">
        <v>1</v>
      </c>
      <c r="L35" s="345">
        <f>AF35</f>
        <v>25</v>
      </c>
      <c r="M35" s="369"/>
      <c r="N35" s="369"/>
      <c r="O35" s="369"/>
      <c r="P35" s="345"/>
      <c r="Q35" s="369"/>
      <c r="R35" s="369"/>
      <c r="S35" s="369"/>
      <c r="T35" s="345">
        <f>AM35</f>
        <v>45</v>
      </c>
      <c r="U35" s="369"/>
      <c r="V35" s="369"/>
      <c r="W35" s="369"/>
      <c r="X35" s="345">
        <f>AU35</f>
        <v>43</v>
      </c>
      <c r="Y35" s="369"/>
      <c r="Z35" s="369"/>
      <c r="AA35" s="369"/>
      <c r="AB35" s="345"/>
      <c r="AE35" s="33" t="str">
        <f>AE34</f>
        <v>Siemer 2003</v>
      </c>
      <c r="AF35" s="334">
        <f>COUNT(AF43:AF85)</f>
        <v>25</v>
      </c>
      <c r="AG35" s="251">
        <f>AF35/AF$32</f>
        <v>1.1363636363636365</v>
      </c>
      <c r="AH35" s="251"/>
      <c r="AI35" s="251"/>
      <c r="AJ35" s="251"/>
      <c r="AK35" s="334"/>
      <c r="AL35" s="345"/>
      <c r="AM35" s="334">
        <f>COUNT(AM43:AM87)</f>
        <v>45</v>
      </c>
      <c r="AN35" s="209">
        <f>AM35/AM$32</f>
        <v>1.8518518518518519</v>
      </c>
      <c r="AO35" s="345"/>
      <c r="AQ35" s="345"/>
      <c r="AR35" s="345"/>
      <c r="AS35" s="345"/>
      <c r="AT35" s="345"/>
      <c r="AU35" s="334">
        <f>COUNT(AU43:AU85)</f>
        <v>43</v>
      </c>
      <c r="AV35" s="209">
        <f>AU35/AU$32</f>
        <v>1.9545454545454546</v>
      </c>
      <c r="AW35" s="345"/>
      <c r="AY35" s="345"/>
      <c r="AZ35" s="345"/>
      <c r="BA35" s="345"/>
      <c r="BB35" s="345"/>
      <c r="BC35" s="345"/>
      <c r="BD35" s="345"/>
      <c r="BE35" s="345"/>
      <c r="BF35" s="345"/>
      <c r="BG35" s="334"/>
      <c r="BH35" s="345"/>
      <c r="BI35" s="345"/>
      <c r="BK35" s="345"/>
      <c r="BL35" s="345"/>
      <c r="BM35" s="345"/>
      <c r="BN35" s="345"/>
    </row>
    <row r="36" spans="1:85">
      <c r="B36" s="396"/>
      <c r="C36" s="397"/>
      <c r="D36" s="398"/>
      <c r="E36" s="399"/>
      <c r="F36" s="400" t="s">
        <v>319</v>
      </c>
      <c r="G36" s="401"/>
      <c r="H36" s="402"/>
      <c r="I36" s="402"/>
      <c r="J36" s="403"/>
      <c r="K36" s="401" t="s">
        <v>395</v>
      </c>
      <c r="L36" s="209" t="e">
        <f>L92</f>
        <v>#REF!</v>
      </c>
      <c r="M36" s="370" t="e">
        <f t="shared" ref="M36:AA37" si="28">AVERAGE(M42:M84)*3</f>
        <v>#DIV/0!</v>
      </c>
      <c r="N36" s="370" t="e">
        <f t="shared" si="28"/>
        <v>#DIV/0!</v>
      </c>
      <c r="O36" s="370" t="e">
        <f t="shared" si="28"/>
        <v>#DIV/0!</v>
      </c>
      <c r="P36" s="209" t="e">
        <f>P92</f>
        <v>#REF!</v>
      </c>
      <c r="Q36" s="370" t="e">
        <f t="shared" si="28"/>
        <v>#DIV/0!</v>
      </c>
      <c r="R36" s="370" t="e">
        <f t="shared" si="28"/>
        <v>#DIV/0!</v>
      </c>
      <c r="S36" s="370" t="e">
        <f t="shared" si="28"/>
        <v>#DIV/0!</v>
      </c>
      <c r="T36" s="209" t="e">
        <f>T92</f>
        <v>#REF!</v>
      </c>
      <c r="U36" s="370" t="e">
        <f t="shared" si="28"/>
        <v>#DIV/0!</v>
      </c>
      <c r="V36" s="370" t="e">
        <f t="shared" si="28"/>
        <v>#DIV/0!</v>
      </c>
      <c r="W36" s="370" t="e">
        <f t="shared" si="28"/>
        <v>#DIV/0!</v>
      </c>
      <c r="X36" s="209" t="e">
        <f>X92</f>
        <v>#REF!</v>
      </c>
      <c r="Y36" s="370" t="e">
        <f t="shared" si="28"/>
        <v>#DIV/0!</v>
      </c>
      <c r="Z36" s="370" t="e">
        <f t="shared" si="28"/>
        <v>#DIV/0!</v>
      </c>
      <c r="AA36" s="370" t="e">
        <f t="shared" si="28"/>
        <v>#DIV/0!</v>
      </c>
      <c r="AB36" s="209" t="e">
        <f>AB92</f>
        <v>#REF!</v>
      </c>
      <c r="AE36" s="33" t="s">
        <v>316</v>
      </c>
      <c r="AF36" s="335"/>
      <c r="AG36" s="251"/>
      <c r="AH36" s="251"/>
      <c r="AI36" s="251"/>
      <c r="AJ36" s="251"/>
      <c r="AK36" s="335"/>
      <c r="AL36" s="346"/>
      <c r="AM36" s="335"/>
      <c r="AN36" s="209"/>
      <c r="AO36" s="346"/>
      <c r="AQ36" s="346"/>
      <c r="AR36" s="346"/>
      <c r="AS36" s="346"/>
      <c r="AT36" s="346"/>
      <c r="AU36" s="335"/>
      <c r="AV36" s="209"/>
      <c r="AW36" s="347"/>
      <c r="AY36" s="347"/>
      <c r="AZ36" s="347"/>
      <c r="BA36" s="347"/>
      <c r="BB36" s="347"/>
      <c r="BC36" s="346"/>
      <c r="BD36" s="346"/>
      <c r="BE36" s="346"/>
      <c r="BF36" s="346"/>
      <c r="BG36" s="335"/>
      <c r="BH36" s="346"/>
      <c r="BI36" s="346"/>
      <c r="BK36" s="346"/>
      <c r="BL36" s="346"/>
      <c r="BM36" s="346"/>
      <c r="BN36" s="346"/>
    </row>
    <row r="37" spans="1:85">
      <c r="B37" s="396"/>
      <c r="C37" s="397"/>
      <c r="D37" s="398"/>
      <c r="E37" s="399"/>
      <c r="F37" s="205" t="s">
        <v>318</v>
      </c>
      <c r="G37" s="206"/>
      <c r="H37" s="207"/>
      <c r="I37" s="207"/>
      <c r="J37" s="208"/>
      <c r="K37" s="206" t="s">
        <v>395</v>
      </c>
      <c r="L37" s="209">
        <f>AG37</f>
        <v>4.8818181818181818</v>
      </c>
      <c r="M37" s="370" t="e">
        <f t="shared" si="28"/>
        <v>#DIV/0!</v>
      </c>
      <c r="N37" s="370" t="e">
        <f t="shared" si="28"/>
        <v>#DIV/0!</v>
      </c>
      <c r="O37" s="370" t="e">
        <f t="shared" si="28"/>
        <v>#DIV/0!</v>
      </c>
      <c r="P37" s="347"/>
      <c r="Q37" s="370" t="e">
        <f t="shared" si="28"/>
        <v>#DIV/0!</v>
      </c>
      <c r="R37" s="370" t="e">
        <f t="shared" si="28"/>
        <v>#DIV/0!</v>
      </c>
      <c r="S37" s="370" t="e">
        <f t="shared" si="28"/>
        <v>#DIV/0!</v>
      </c>
      <c r="T37" s="209">
        <f>AN37</f>
        <v>6.1742112482853218</v>
      </c>
      <c r="U37" s="370" t="e">
        <f t="shared" si="28"/>
        <v>#DIV/0!</v>
      </c>
      <c r="V37" s="370" t="e">
        <f t="shared" si="28"/>
        <v>#DIV/0!</v>
      </c>
      <c r="W37" s="370" t="e">
        <f t="shared" si="28"/>
        <v>#DIV/0!</v>
      </c>
      <c r="X37" s="209">
        <f>AV37</f>
        <v>4.4302325581395356</v>
      </c>
      <c r="Y37" s="370" t="e">
        <f t="shared" si="28"/>
        <v>#DIV/0!</v>
      </c>
      <c r="Z37" s="370" t="e">
        <f t="shared" si="28"/>
        <v>#DIV/0!</v>
      </c>
      <c r="AA37" s="370" t="e">
        <f t="shared" si="28"/>
        <v>#DIV/0!</v>
      </c>
      <c r="AB37" s="347"/>
      <c r="AE37" s="33" t="str">
        <f>AE35</f>
        <v>Siemer 2003</v>
      </c>
      <c r="AF37" s="335">
        <f>AVERAGE(AF43:AF85)*3</f>
        <v>107.39999999999999</v>
      </c>
      <c r="AG37" s="251">
        <f>AF37/AF$32</f>
        <v>4.8818181818181818</v>
      </c>
      <c r="AH37" s="251"/>
      <c r="AI37" s="251"/>
      <c r="AJ37" s="251"/>
      <c r="AK37" s="335"/>
      <c r="AL37" s="346"/>
      <c r="AM37" s="335">
        <f>AVERAGE(AM43:AM87)*3</f>
        <v>150.03333333333333</v>
      </c>
      <c r="AN37" s="209">
        <f>AM37/AM$32</f>
        <v>6.1742112482853218</v>
      </c>
      <c r="AO37" s="346"/>
      <c r="AQ37" s="346"/>
      <c r="AR37" s="346"/>
      <c r="AS37" s="346"/>
      <c r="AT37" s="346"/>
      <c r="AU37" s="335">
        <f>AVERAGE(AU43:AU85)*3</f>
        <v>97.465116279069775</v>
      </c>
      <c r="AV37" s="209">
        <f>AU37/AU$32</f>
        <v>4.4302325581395356</v>
      </c>
      <c r="AW37" s="347" t="e">
        <f>AVERAGE(AW30:BC30)</f>
        <v>#REF!</v>
      </c>
      <c r="AY37" s="347" t="e">
        <f>AVERAGE(AY30:BE30)</f>
        <v>#REF!</v>
      </c>
      <c r="AZ37" s="347">
        <f>AVERAGE(AZ30:BF30)</f>
        <v>2.8084523809523811</v>
      </c>
      <c r="BA37" s="347">
        <f>AVERAGE(BA30:BG30)</f>
        <v>33.448571428571427</v>
      </c>
      <c r="BB37" s="347">
        <f>AVERAGE(BB30:BG30)</f>
        <v>38.851666666666667</v>
      </c>
      <c r="BC37" s="346"/>
      <c r="BD37" s="346"/>
      <c r="BE37" s="346"/>
      <c r="BF37" s="346"/>
      <c r="BG37" s="335"/>
      <c r="BH37" s="346"/>
      <c r="BI37" s="346"/>
      <c r="BK37" s="346"/>
      <c r="BL37" s="346"/>
      <c r="BM37" s="346"/>
      <c r="BN37" s="346"/>
    </row>
    <row r="38" spans="1:85">
      <c r="B38" s="190"/>
      <c r="C38" s="203"/>
      <c r="D38" s="195"/>
      <c r="E38" s="204"/>
      <c r="F38" s="205" t="s">
        <v>216</v>
      </c>
      <c r="G38" s="206"/>
      <c r="H38" s="207"/>
      <c r="I38" s="207"/>
      <c r="J38" s="208"/>
      <c r="K38" s="206" t="s">
        <v>395</v>
      </c>
      <c r="L38" s="340">
        <f>AG38</f>
        <v>2.675358167108481</v>
      </c>
      <c r="M38" s="369" t="e">
        <f t="shared" ref="M38:AA38" si="29">STDEV(M43:M85)*3</f>
        <v>#DIV/0!</v>
      </c>
      <c r="N38" s="369" t="e">
        <f t="shared" si="29"/>
        <v>#DIV/0!</v>
      </c>
      <c r="O38" s="369" t="e">
        <f t="shared" si="29"/>
        <v>#DIV/0!</v>
      </c>
      <c r="P38" s="345"/>
      <c r="Q38" s="369" t="e">
        <f t="shared" si="29"/>
        <v>#DIV/0!</v>
      </c>
      <c r="R38" s="369" t="e">
        <f t="shared" si="29"/>
        <v>#DIV/0!</v>
      </c>
      <c r="S38" s="369" t="e">
        <f t="shared" si="29"/>
        <v>#DIV/0!</v>
      </c>
      <c r="T38" s="209">
        <f>AN38</f>
        <v>3.5727040616312817</v>
      </c>
      <c r="U38" s="369" t="e">
        <f t="shared" si="29"/>
        <v>#DIV/0!</v>
      </c>
      <c r="V38" s="369" t="e">
        <f t="shared" si="29"/>
        <v>#DIV/0!</v>
      </c>
      <c r="W38" s="369" t="e">
        <f t="shared" si="29"/>
        <v>#DIV/0!</v>
      </c>
      <c r="X38" s="209">
        <f>AV38</f>
        <v>1.9702904243481394</v>
      </c>
      <c r="Y38" s="369" t="e">
        <f t="shared" si="29"/>
        <v>#DIV/0!</v>
      </c>
      <c r="Z38" s="369" t="e">
        <f t="shared" si="29"/>
        <v>#DIV/0!</v>
      </c>
      <c r="AA38" s="369" t="e">
        <f t="shared" si="29"/>
        <v>#DIV/0!</v>
      </c>
      <c r="AB38" s="345"/>
      <c r="AE38" s="33" t="str">
        <f>AE37</f>
        <v>Siemer 2003</v>
      </c>
      <c r="AF38" s="334">
        <f>STDEV(AF43:AF85)*3</f>
        <v>58.857879676386581</v>
      </c>
      <c r="AG38" s="251">
        <f>AF38/AF$32</f>
        <v>2.675358167108481</v>
      </c>
      <c r="AH38" s="251"/>
      <c r="AI38" s="251"/>
      <c r="AJ38" s="251"/>
      <c r="AK38" s="334"/>
      <c r="AL38" s="345"/>
      <c r="AM38" s="334">
        <f>STDEV(AM43:AM87)*3</f>
        <v>86.816708697640152</v>
      </c>
      <c r="AN38" s="209">
        <f>AM38/AM$32</f>
        <v>3.5727040616312817</v>
      </c>
      <c r="AO38" s="345"/>
      <c r="AQ38" s="345"/>
      <c r="AR38" s="345"/>
      <c r="AS38" s="345"/>
      <c r="AT38" s="345"/>
      <c r="AU38" s="334">
        <f>STDEV(AU43:AU85)*3</f>
        <v>43.346389335659069</v>
      </c>
      <c r="AV38" s="209">
        <f>AU38/AU$32</f>
        <v>1.9702904243481394</v>
      </c>
      <c r="AW38" s="345"/>
      <c r="AZ38" s="345"/>
      <c r="BA38" s="345"/>
      <c r="BB38" s="345"/>
      <c r="BC38" s="345"/>
      <c r="BD38" s="345"/>
      <c r="BE38" s="345"/>
      <c r="BF38" s="345"/>
      <c r="BG38" s="334"/>
      <c r="BH38" s="345"/>
      <c r="BI38" s="345"/>
      <c r="BK38" s="345"/>
      <c r="BL38" s="345"/>
      <c r="BM38" s="345"/>
      <c r="BN38" s="345"/>
    </row>
    <row r="39" spans="1:85">
      <c r="B39" s="190"/>
      <c r="C39" s="203"/>
      <c r="D39" s="195"/>
      <c r="E39" s="204"/>
      <c r="F39" s="205" t="s">
        <v>217</v>
      </c>
      <c r="G39" s="206"/>
      <c r="H39" s="207"/>
      <c r="I39" s="207"/>
      <c r="J39" s="208"/>
      <c r="K39" s="206" t="s">
        <v>403</v>
      </c>
      <c r="L39" s="340">
        <f>L91*3/AF30</f>
        <v>0.75270952069513219</v>
      </c>
      <c r="M39" s="264"/>
      <c r="N39" s="264"/>
      <c r="O39" s="264"/>
      <c r="P39" s="340" t="e">
        <f>P36/AL30</f>
        <v>#REF!</v>
      </c>
      <c r="Q39" s="264"/>
      <c r="R39" s="264"/>
      <c r="S39" s="264"/>
      <c r="T39" s="340">
        <f>T37/AO30</f>
        <v>0.52584635581570727</v>
      </c>
      <c r="U39" s="264"/>
      <c r="V39" s="264"/>
      <c r="W39" s="264"/>
      <c r="X39" s="321" t="e">
        <f>X36/AW30</f>
        <v>#REF!</v>
      </c>
      <c r="Y39" s="264"/>
      <c r="Z39" s="264"/>
      <c r="AA39" s="264"/>
      <c r="AB39" s="321" t="e">
        <f>AB36/BI30</f>
        <v>#REF!</v>
      </c>
      <c r="AE39" s="33" t="s">
        <v>682</v>
      </c>
      <c r="AF39" s="336">
        <f>AF37/AF31</f>
        <v>0.88599241049331789</v>
      </c>
      <c r="AG39" s="251">
        <f>AF39/AF$32</f>
        <v>4.0272382295150816E-2</v>
      </c>
      <c r="AH39" s="251"/>
      <c r="AI39" s="251"/>
      <c r="AJ39" s="251"/>
      <c r="AK39" s="336"/>
      <c r="AL39" s="321"/>
      <c r="AM39" s="336">
        <f>AM37/AM31</f>
        <v>1.1943427267420264</v>
      </c>
      <c r="AN39" s="209">
        <f>AM39/AM$32</f>
        <v>4.9149906450289146E-2</v>
      </c>
      <c r="AO39" s="321"/>
      <c r="AQ39" s="321"/>
      <c r="AR39" s="321"/>
      <c r="AS39" s="321"/>
      <c r="AT39" s="321"/>
      <c r="AU39" s="336">
        <f>AU37/AU31</f>
        <v>0.4285687990461251</v>
      </c>
      <c r="AV39" s="209">
        <f>AU39/AU$32</f>
        <v>1.9480399956642049E-2</v>
      </c>
      <c r="AW39" s="321"/>
      <c r="AZ39" s="321"/>
      <c r="BA39" s="321"/>
      <c r="BB39" s="321"/>
      <c r="BC39" s="321"/>
      <c r="BD39" s="321"/>
      <c r="BE39" s="321"/>
      <c r="BF39" s="321"/>
      <c r="BG39" s="336" t="e">
        <f>AB30/BG30</f>
        <v>#REF!</v>
      </c>
      <c r="BH39" s="321"/>
      <c r="BI39" s="321"/>
      <c r="BK39" s="321"/>
      <c r="BL39" s="321"/>
      <c r="BM39" s="321"/>
      <c r="BN39" s="321"/>
    </row>
    <row r="40" spans="1:85" s="174" customFormat="1">
      <c r="B40" s="190"/>
      <c r="C40" s="203"/>
      <c r="D40" s="195"/>
      <c r="E40" s="204"/>
      <c r="F40" s="205"/>
      <c r="G40" s="206"/>
      <c r="H40" s="207"/>
      <c r="I40" s="207"/>
      <c r="J40" s="208"/>
      <c r="K40" s="206"/>
      <c r="L40" s="340"/>
      <c r="M40" s="340"/>
      <c r="N40" s="340"/>
      <c r="O40" s="340"/>
      <c r="P40" s="340"/>
      <c r="Q40" s="340"/>
      <c r="R40" s="340"/>
      <c r="S40" s="340"/>
      <c r="T40" s="340"/>
      <c r="U40" s="340"/>
      <c r="V40" s="340"/>
      <c r="W40" s="340"/>
      <c r="X40" s="340"/>
      <c r="Y40" s="340"/>
      <c r="Z40" s="340"/>
      <c r="AA40" s="340"/>
      <c r="AB40" s="340"/>
      <c r="AC40" s="210"/>
      <c r="AD40" s="210"/>
      <c r="AE40" s="211"/>
      <c r="AF40" s="321"/>
      <c r="AG40" s="251"/>
      <c r="AH40" s="251"/>
      <c r="AI40" s="251"/>
      <c r="AJ40" s="251"/>
      <c r="AK40" s="321"/>
      <c r="AL40" s="321"/>
      <c r="AM40" s="321"/>
      <c r="AN40" s="209"/>
      <c r="AO40" s="321"/>
      <c r="AQ40" s="321"/>
      <c r="AR40" s="321"/>
      <c r="AS40" s="321"/>
      <c r="AT40" s="321"/>
      <c r="AU40" s="321"/>
      <c r="AV40" s="251"/>
      <c r="AW40" s="321"/>
      <c r="AZ40" s="321"/>
      <c r="BA40" s="321"/>
      <c r="BB40" s="321"/>
      <c r="BC40" s="321"/>
      <c r="BD40" s="321"/>
      <c r="BE40" s="321"/>
      <c r="BF40" s="321"/>
      <c r="BG40" s="321"/>
      <c r="BH40" s="321"/>
      <c r="BI40" s="321"/>
      <c r="BK40" s="321"/>
      <c r="BL40" s="321"/>
      <c r="BM40" s="321"/>
      <c r="BN40" s="321"/>
      <c r="BO40" s="212"/>
      <c r="BP40" s="213"/>
      <c r="BQ40" s="161"/>
      <c r="BR40" s="161"/>
      <c r="BS40" s="161"/>
      <c r="BT40" s="161"/>
      <c r="BU40" s="161"/>
      <c r="BV40" s="161"/>
      <c r="BW40" s="161"/>
      <c r="BX40" s="161"/>
      <c r="BY40" s="161"/>
      <c r="BZ40" s="161"/>
    </row>
    <row r="41" spans="1:85" ht="12.75">
      <c r="A41" s="156">
        <v>953</v>
      </c>
      <c r="B41" s="168" t="s">
        <v>525</v>
      </c>
      <c r="C41" s="151" t="s">
        <v>525</v>
      </c>
      <c r="D41" s="152" t="s">
        <v>526</v>
      </c>
      <c r="E41" s="153" t="s">
        <v>402</v>
      </c>
      <c r="F41" s="144" t="str">
        <f>IF(OR(D41="4",E41="4"),INDEX([14]NamesElementary!$B$1:$B$65536,MATCH(A41,[14]NamesElementary!$A$1:$A$65536,0),1),INDEX([14]Names!$J$1:$J$65602,MATCH(A41,[14]Names!$F$1:$F$65602,0),1))</f>
        <v>glued laminated timber, outdoor use, at plant</v>
      </c>
      <c r="G41" s="125" t="str">
        <f>IF(OR(D41="4",E41="4"),"-",INDEX([14]Names!$K$1:$K$65602,MATCH(A41,[14]Names!$F$1:$F$65602,0),1))</f>
        <v>RER</v>
      </c>
      <c r="H41" s="164" t="str">
        <f>IF(OR(D41="4",E41="4"),INDEX([14]NamesElementary!$D$1:$D$65536,MATCH($A41,[14]NamesElementary!$A$1:$A$65536,0),1),"-")</f>
        <v>-</v>
      </c>
      <c r="I41" s="123" t="str">
        <f>IF(OR(D41="4",E41="4"),INDEX([14]NamesElementary!$E$1:$E$65536,MATCH($A41,[14]NamesElementary!$A$1:$A$65536,0),1),"-")</f>
        <v>-</v>
      </c>
      <c r="J41" s="124">
        <f>IF(OR(D41="4",E41="4"),"-",INDEX([14]Names!$N$1:$N$65602,MATCH(A41,[14]Names!$F$1:$F$65602,0),1))</f>
        <v>0</v>
      </c>
      <c r="K41" s="125" t="str">
        <f>IF(OR(D41="4",E41="4"),INDEX([14]NamesElementary!$G$1:$G$65536,MATCH(A41,[14]NamesElementary!$A$1:$A$65536,0),1),INDEX([14]Names!$O$1:$O$65602,MATCH(A41,[14]Names!$F$1:$F$65602,0),1))</f>
        <v>m3</v>
      </c>
      <c r="L41" s="165">
        <f>AG41*AF$39</f>
        <v>0</v>
      </c>
      <c r="M41" s="29">
        <f>Q41</f>
        <v>1</v>
      </c>
      <c r="N41" s="1">
        <f>R41</f>
        <v>1.3634578165196725</v>
      </c>
      <c r="O41" s="139" t="str">
        <f>S41</f>
        <v>(3,4,3,1,1,5); Schwarz et al. 1992</v>
      </c>
      <c r="P41" s="165" t="e">
        <f>AL41*P$39</f>
        <v>#REF!</v>
      </c>
      <c r="Q41" s="29">
        <f>U41</f>
        <v>1</v>
      </c>
      <c r="R41" s="1">
        <f>V41</f>
        <v>1.3634578165196725</v>
      </c>
      <c r="S41" s="139" t="str">
        <f>W41</f>
        <v>(3,4,3,1,1,5); Schwarz et al. 1992</v>
      </c>
      <c r="T41" s="165">
        <f>AN41</f>
        <v>0</v>
      </c>
      <c r="U41" s="29">
        <f>Y41</f>
        <v>1</v>
      </c>
      <c r="V41" s="1">
        <f>Z41</f>
        <v>1.3634578165196725</v>
      </c>
      <c r="W41" s="139" t="str">
        <f>AA41</f>
        <v>(3,4,3,1,1,5); Schwarz et al. 1992</v>
      </c>
      <c r="X41" s="165">
        <v>0</v>
      </c>
      <c r="Y41" s="29">
        <f>AC41</f>
        <v>1</v>
      </c>
      <c r="Z41" s="1">
        <f>AD41</f>
        <v>1.3634578165196725</v>
      </c>
      <c r="AA41" s="139" t="str">
        <f>AE41</f>
        <v>(3,4,3,1,1,5); Schwarz et al. 1992</v>
      </c>
      <c r="AB41" s="165" t="e">
        <f>BH41*AB$39</f>
        <v>#REF!</v>
      </c>
      <c r="AC41" s="29">
        <v>1</v>
      </c>
      <c r="AD41" s="1">
        <f>EXP(SQRT((LN(BY41)^2)+(LN(BY$24)^2)))</f>
        <v>1.3634578165196725</v>
      </c>
      <c r="AE41" s="31" t="str">
        <f>BZ41&amp;"; "&amp;BO41</f>
        <v>(3,4,3,1,1,5); Schwarz et al. 1992</v>
      </c>
      <c r="AF41" s="331">
        <v>0</v>
      </c>
      <c r="AG41" s="251">
        <f>AF41/AF$32</f>
        <v>0</v>
      </c>
      <c r="AH41" s="251"/>
      <c r="AI41" s="251"/>
      <c r="AJ41" s="251"/>
      <c r="AK41" s="331">
        <v>0</v>
      </c>
      <c r="AL41" s="251">
        <f>AK41/AK$32</f>
        <v>0</v>
      </c>
      <c r="AM41" s="331">
        <v>0</v>
      </c>
      <c r="AN41" s="251">
        <f>AM41/AM$32</f>
        <v>0</v>
      </c>
      <c r="AO41" s="251"/>
      <c r="AQ41" s="251"/>
      <c r="AR41" s="251"/>
      <c r="AS41" s="251"/>
      <c r="AT41" s="251"/>
      <c r="AU41" s="331">
        <f>27/540</f>
        <v>0.05</v>
      </c>
      <c r="AV41" s="251">
        <f>AU41/AU$32</f>
        <v>2.2727272727272731E-3</v>
      </c>
      <c r="AW41" s="251"/>
      <c r="AZ41" s="251"/>
      <c r="BA41" s="251"/>
      <c r="BB41" s="251"/>
      <c r="BC41" s="251"/>
      <c r="BD41" s="251"/>
      <c r="BE41" s="251"/>
      <c r="BF41" s="251"/>
      <c r="BG41" s="331">
        <v>0</v>
      </c>
      <c r="BH41" s="251">
        <f>BG41/BG$32</f>
        <v>0</v>
      </c>
      <c r="BI41" s="251"/>
      <c r="BK41" s="251"/>
      <c r="BL41" s="251"/>
      <c r="BM41" s="251"/>
      <c r="BN41" s="251"/>
      <c r="BO41" s="86" t="s">
        <v>373</v>
      </c>
      <c r="BP41" s="10">
        <v>3</v>
      </c>
      <c r="BQ41" s="50">
        <v>4</v>
      </c>
      <c r="BR41" s="50">
        <v>3</v>
      </c>
      <c r="BS41" s="50">
        <v>1</v>
      </c>
      <c r="BT41" s="50">
        <v>1</v>
      </c>
      <c r="BU41" s="50">
        <v>5</v>
      </c>
      <c r="BV41" s="50">
        <f>IF(OR($D41="4",$E41="4"),INDEX([14]NamesElementary!$J$1:$J$65536,MATCH($A41,[14]NamesElementary!$A$1:$A$65536,0),1),INDEX([14]Names!$W$1:$W$65602,MATCH($A41,[14]Names!$F$1:$F$65602,0),1))</f>
        <v>3</v>
      </c>
      <c r="BW41" s="51">
        <f>INDEX([14]BasicUncertainty!$H$1:$H$65536,MATCH(BV41,[14]BasicUncertainty!$B$1:$B$65536,0),1)</f>
        <v>1.05</v>
      </c>
      <c r="BX41" s="87">
        <f>EXP(SQRT((LN(CB41)^2)+(LN(CC41)^2)+(LN(CD41)^2)+(LN(CE41)^2)+(LN(CF41)^2)+(LN(CG41)^2)))</f>
        <v>1.2788404103505406</v>
      </c>
      <c r="BY41" s="87">
        <f>EXP(SQRT((LN(CB41)^2)+(LN(CC41)^2)+(LN(CD41)^2)+(LN(CE41)^2)+(LN(CF41)^2)+(LN(CG41)^2)+LN(BW41)^2))</f>
        <v>1.2849840792941758</v>
      </c>
      <c r="BZ41" s="89" t="str">
        <f>CONCATENATE("(",BP41,",",BQ41,",",BR41,",",BS41,",",BT41,",",BU41,")")</f>
        <v>(3,4,3,1,1,5)</v>
      </c>
      <c r="CB41" s="52">
        <f>IF(BP41=1,'[14]SDG^2 values'!$B$4,IF(BP41=2,'[14]SDG^2 values'!$C$4,IF(BP41=3,'[14]SDG^2 values'!$D$4,IF(BP41=4,'[14]SDG^2 values'!$E$4,IF(BP41=5,'[14]SDG^2 values'!$F$4,1)))))</f>
        <v>1.1000000000000001</v>
      </c>
      <c r="CC41" s="52">
        <f>IF(BQ41=1,'[14]SDG^2 values'!$B$5,IF(BQ41=2,'[14]SDG^2 values'!$C$5,IF(BQ41=3,'[14]SDG^2 values'!$D$5,IF(BQ41=4,'[14]SDG^2 values'!$E$5,IF(BQ41=5,'[14]SDG^2 values'!$F$5,1)))))</f>
        <v>1.1000000000000001</v>
      </c>
      <c r="CD41" s="52">
        <f>IF(BR41=1,'[14]SDG^2 values'!$B$6,IF(BR41=2,'[14]SDG^2 values'!$C$6,IF(BR41=3,'[14]SDG^2 values'!$D$6,IF(BR41=4,'[14]SDG^2 values'!$E$6,IF(BR41=5,'[14]SDG^2 values'!$F$6,1)))))</f>
        <v>1.1000000000000001</v>
      </c>
      <c r="CE41" s="52">
        <f>IF(BS41=1,'[14]SDG^2 values'!$B$7,IF(BS41=2,'[14]SDG^2 values'!$C$7,IF(BS41=3,'[14]SDG^2 values'!$D$7,IF(BS41=4,'[14]SDG^2 values'!$E$7,IF(BS41=5,'[14]SDG^2 values'!$F$7,1)))))</f>
        <v>1</v>
      </c>
      <c r="CF41" s="52">
        <f>IF(BT41=1,'[14]SDG^2 values'!$B$8,IF(BT41=2,'[14]SDG^2 values'!$C$8,IF(BT41=3,'[14]SDG^2 values'!$D$8,IF(BT41=4,'[14]SDG^2 values'!$E$8,IF(BT41=5,'[14]SDG^2 values'!$F$8,1)))))</f>
        <v>1</v>
      </c>
      <c r="CG41" s="52">
        <f>IF(BU41=1,'[14]SDG^2 values'!$B$9,IF(BU41=2,'[14]SDG^2 values'!$C$9,IF(BU41=3,'[14]SDG^2 values'!$D$9,IF(BU41=4,'[14]SDG^2 values'!$E$9,IF(BU41=5,'[14]SDG^2 values'!$F$9,1)))))</f>
        <v>1.2</v>
      </c>
    </row>
    <row r="42" spans="1:85" s="174" customFormat="1" ht="12.75" outlineLevel="1">
      <c r="A42" s="358"/>
      <c r="B42" s="190"/>
      <c r="C42" s="203"/>
      <c r="D42" s="195"/>
      <c r="E42" s="204"/>
      <c r="F42" s="341"/>
      <c r="G42" s="359"/>
      <c r="H42" s="360"/>
      <c r="I42" s="361"/>
      <c r="J42" s="362"/>
      <c r="K42" s="359"/>
      <c r="L42" s="251" t="s">
        <v>679</v>
      </c>
      <c r="M42" s="29"/>
      <c r="N42" s="1"/>
      <c r="O42" s="139"/>
      <c r="P42" s="251" t="s">
        <v>679</v>
      </c>
      <c r="Q42" s="251" t="s">
        <v>679</v>
      </c>
      <c r="R42" s="251" t="s">
        <v>679</v>
      </c>
      <c r="S42" s="251" t="s">
        <v>679</v>
      </c>
      <c r="T42" s="251" t="s">
        <v>679</v>
      </c>
      <c r="U42" s="251" t="s">
        <v>679</v>
      </c>
      <c r="V42" s="251" t="s">
        <v>679</v>
      </c>
      <c r="W42" s="251" t="s">
        <v>679</v>
      </c>
      <c r="X42" s="251" t="s">
        <v>679</v>
      </c>
      <c r="Y42" s="251" t="s">
        <v>679</v>
      </c>
      <c r="Z42" s="251" t="s">
        <v>679</v>
      </c>
      <c r="AA42" s="251" t="s">
        <v>679</v>
      </c>
      <c r="AB42" s="251" t="s">
        <v>679</v>
      </c>
      <c r="AC42" s="29"/>
      <c r="AD42" s="1"/>
      <c r="AE42" s="31"/>
      <c r="AF42" s="251"/>
      <c r="AG42" s="251"/>
      <c r="AH42" s="251"/>
      <c r="AI42" s="251"/>
      <c r="AJ42" s="251"/>
      <c r="AK42" s="251"/>
      <c r="AL42" s="251"/>
      <c r="AM42" s="251"/>
      <c r="AN42" s="251"/>
      <c r="AO42" s="251"/>
      <c r="AQ42" s="251"/>
      <c r="AR42" s="251"/>
      <c r="AS42" s="251"/>
      <c r="AT42" s="251"/>
      <c r="AU42" s="251"/>
      <c r="AV42" s="251"/>
      <c r="AW42" s="251"/>
      <c r="AZ42" s="251"/>
      <c r="BA42" s="251"/>
      <c r="BB42" s="251"/>
      <c r="BC42" s="251"/>
      <c r="BD42" s="251"/>
      <c r="BE42" s="251"/>
      <c r="BF42" s="251"/>
      <c r="BG42" s="251"/>
      <c r="BH42" s="251"/>
      <c r="BI42" s="251"/>
      <c r="BK42" s="251"/>
      <c r="BL42" s="251"/>
      <c r="BM42" s="251"/>
      <c r="BN42" s="251"/>
      <c r="BO42" s="363"/>
      <c r="BP42" s="132"/>
      <c r="BQ42" s="198"/>
      <c r="BR42" s="198"/>
      <c r="BS42" s="198"/>
      <c r="BT42" s="198"/>
      <c r="BU42" s="198"/>
      <c r="BV42" s="198"/>
      <c r="BW42" s="198"/>
      <c r="BX42" s="89"/>
      <c r="BY42" s="89"/>
      <c r="BZ42" s="89"/>
      <c r="CB42" s="364"/>
      <c r="CC42" s="364"/>
      <c r="CD42" s="364"/>
      <c r="CE42" s="364"/>
      <c r="CF42" s="364"/>
      <c r="CG42" s="364"/>
    </row>
    <row r="43" spans="1:85" outlineLevel="1">
      <c r="L43" s="7">
        <v>50</v>
      </c>
      <c r="T43" s="7">
        <v>90</v>
      </c>
      <c r="X43" s="7">
        <v>30</v>
      </c>
      <c r="AF43" s="7">
        <v>50</v>
      </c>
      <c r="AM43" s="7">
        <v>90</v>
      </c>
      <c r="AU43" s="7">
        <v>30</v>
      </c>
    </row>
    <row r="44" spans="1:85" outlineLevel="1">
      <c r="L44" s="7">
        <v>58</v>
      </c>
      <c r="T44" s="7">
        <v>80</v>
      </c>
      <c r="X44" s="7">
        <v>30</v>
      </c>
      <c r="AF44" s="7">
        <v>58</v>
      </c>
      <c r="AM44" s="7">
        <v>80</v>
      </c>
      <c r="AU44" s="7">
        <v>30</v>
      </c>
    </row>
    <row r="45" spans="1:85" outlineLevel="1">
      <c r="L45" s="7">
        <v>30</v>
      </c>
      <c r="T45" s="7">
        <v>80</v>
      </c>
      <c r="X45" s="7">
        <v>40</v>
      </c>
      <c r="AF45" s="7">
        <v>30</v>
      </c>
      <c r="AM45" s="7">
        <v>80</v>
      </c>
      <c r="AU45" s="7">
        <v>40</v>
      </c>
    </row>
    <row r="46" spans="1:85" outlineLevel="1">
      <c r="L46" s="7">
        <v>50</v>
      </c>
      <c r="T46" s="7">
        <v>120</v>
      </c>
      <c r="X46" s="7">
        <v>30</v>
      </c>
      <c r="AF46" s="7">
        <v>50</v>
      </c>
      <c r="AM46" s="7">
        <v>120</v>
      </c>
      <c r="AU46" s="7">
        <v>30</v>
      </c>
    </row>
    <row r="47" spans="1:85" outlineLevel="1">
      <c r="L47" s="7">
        <v>50</v>
      </c>
      <c r="T47" s="7">
        <v>150</v>
      </c>
      <c r="X47" s="7">
        <v>30</v>
      </c>
      <c r="AF47" s="7">
        <v>50</v>
      </c>
      <c r="AM47" s="7">
        <v>150</v>
      </c>
      <c r="AU47" s="7">
        <v>30</v>
      </c>
    </row>
    <row r="48" spans="1:85" outlineLevel="1">
      <c r="L48" s="7">
        <v>29</v>
      </c>
      <c r="T48" s="7">
        <v>58</v>
      </c>
      <c r="X48" s="7">
        <v>50</v>
      </c>
      <c r="AF48" s="7">
        <v>29</v>
      </c>
      <c r="AM48" s="7">
        <v>58</v>
      </c>
      <c r="AU48" s="7">
        <v>50</v>
      </c>
    </row>
    <row r="49" spans="12:47" outlineLevel="1">
      <c r="L49" s="7">
        <v>20</v>
      </c>
      <c r="T49" s="7">
        <v>60</v>
      </c>
      <c r="X49" s="7">
        <v>38</v>
      </c>
      <c r="AF49" s="7">
        <v>20</v>
      </c>
      <c r="AM49" s="7">
        <v>60</v>
      </c>
      <c r="AU49" s="7">
        <v>38</v>
      </c>
    </row>
    <row r="50" spans="12:47" outlineLevel="1">
      <c r="L50" s="7">
        <v>25</v>
      </c>
      <c r="T50" s="7">
        <v>18</v>
      </c>
      <c r="X50" s="7">
        <v>18</v>
      </c>
      <c r="AF50" s="7">
        <v>25</v>
      </c>
      <c r="AM50" s="7">
        <v>18</v>
      </c>
      <c r="AU50" s="7">
        <v>18</v>
      </c>
    </row>
    <row r="51" spans="12:47" outlineLevel="1">
      <c r="L51" s="7">
        <v>60</v>
      </c>
      <c r="T51" s="7">
        <v>20</v>
      </c>
      <c r="X51" s="7">
        <v>20</v>
      </c>
      <c r="AF51" s="7">
        <v>60</v>
      </c>
      <c r="AM51" s="7">
        <v>20</v>
      </c>
      <c r="AU51" s="7">
        <v>20</v>
      </c>
    </row>
    <row r="52" spans="12:47" outlineLevel="1">
      <c r="L52" s="7">
        <v>26</v>
      </c>
      <c r="T52" s="7">
        <v>53</v>
      </c>
      <c r="X52" s="7">
        <v>31</v>
      </c>
      <c r="AF52" s="7">
        <v>26</v>
      </c>
      <c r="AM52" s="7">
        <v>53</v>
      </c>
      <c r="AU52" s="7">
        <v>31</v>
      </c>
    </row>
    <row r="53" spans="12:47" outlineLevel="1">
      <c r="L53" s="7">
        <v>20</v>
      </c>
      <c r="T53" s="7">
        <v>40</v>
      </c>
      <c r="X53" s="7">
        <v>25</v>
      </c>
      <c r="AF53" s="7">
        <v>20</v>
      </c>
      <c r="AM53" s="7">
        <v>40</v>
      </c>
      <c r="AU53" s="7">
        <v>25</v>
      </c>
    </row>
    <row r="54" spans="12:47" outlineLevel="1">
      <c r="L54" s="7">
        <v>25</v>
      </c>
      <c r="T54" s="7">
        <v>42</v>
      </c>
      <c r="X54" s="7">
        <v>32</v>
      </c>
      <c r="AF54" s="7">
        <v>25</v>
      </c>
      <c r="AM54" s="7">
        <v>42</v>
      </c>
      <c r="AU54" s="7">
        <v>32</v>
      </c>
    </row>
    <row r="55" spans="12:47" outlineLevel="1">
      <c r="L55" s="7">
        <v>51</v>
      </c>
      <c r="T55" s="7">
        <v>35</v>
      </c>
      <c r="X55" s="7">
        <v>32</v>
      </c>
      <c r="AF55" s="7">
        <v>51</v>
      </c>
      <c r="AM55" s="7">
        <v>35</v>
      </c>
      <c r="AU55" s="7">
        <v>32</v>
      </c>
    </row>
    <row r="56" spans="12:47" outlineLevel="1">
      <c r="L56" s="7">
        <v>16</v>
      </c>
      <c r="T56" s="7">
        <v>30</v>
      </c>
      <c r="X56" s="7">
        <v>26</v>
      </c>
      <c r="AF56" s="7">
        <v>16</v>
      </c>
      <c r="AM56" s="7">
        <v>30</v>
      </c>
      <c r="AU56" s="7">
        <v>26</v>
      </c>
    </row>
    <row r="57" spans="12:47" outlineLevel="1">
      <c r="L57" s="7">
        <v>100</v>
      </c>
      <c r="T57" s="7">
        <v>40</v>
      </c>
      <c r="X57" s="7">
        <v>20</v>
      </c>
      <c r="AF57" s="7">
        <v>100</v>
      </c>
      <c r="AM57" s="7">
        <v>40</v>
      </c>
      <c r="AU57" s="7">
        <v>20</v>
      </c>
    </row>
    <row r="58" spans="12:47" outlineLevel="1">
      <c r="L58" s="7">
        <v>45</v>
      </c>
      <c r="T58" s="7">
        <v>20</v>
      </c>
      <c r="X58" s="7">
        <v>40</v>
      </c>
      <c r="AF58" s="7">
        <v>45</v>
      </c>
      <c r="AM58" s="7">
        <v>20</v>
      </c>
      <c r="AU58" s="7">
        <v>40</v>
      </c>
    </row>
    <row r="59" spans="12:47" outlineLevel="1">
      <c r="L59" s="7">
        <v>33</v>
      </c>
      <c r="T59" s="7">
        <v>42</v>
      </c>
      <c r="X59" s="7">
        <v>35</v>
      </c>
      <c r="AF59" s="7">
        <v>33</v>
      </c>
      <c r="AM59" s="7">
        <v>42</v>
      </c>
      <c r="AU59" s="7">
        <v>35</v>
      </c>
    </row>
    <row r="60" spans="12:47" outlineLevel="1">
      <c r="L60" s="7">
        <v>30</v>
      </c>
      <c r="T60" s="7">
        <v>30</v>
      </c>
      <c r="X60" s="7">
        <v>40</v>
      </c>
      <c r="AF60" s="7">
        <v>30</v>
      </c>
      <c r="AM60" s="7">
        <v>30</v>
      </c>
      <c r="AU60" s="7">
        <v>40</v>
      </c>
    </row>
    <row r="61" spans="12:47" outlineLevel="1">
      <c r="L61" s="7">
        <v>20</v>
      </c>
      <c r="T61" s="7">
        <v>25</v>
      </c>
      <c r="X61" s="7">
        <v>24</v>
      </c>
      <c r="AF61" s="7">
        <v>20</v>
      </c>
      <c r="AM61" s="7">
        <v>25</v>
      </c>
      <c r="AU61" s="7">
        <v>24</v>
      </c>
    </row>
    <row r="62" spans="12:47" outlineLevel="1">
      <c r="L62" s="7">
        <v>44</v>
      </c>
      <c r="T62" s="7">
        <v>56</v>
      </c>
      <c r="X62" s="7">
        <v>20</v>
      </c>
      <c r="AF62" s="7">
        <v>44</v>
      </c>
      <c r="AM62" s="7">
        <v>56</v>
      </c>
      <c r="AU62" s="7">
        <v>20</v>
      </c>
    </row>
    <row r="63" spans="12:47" outlineLevel="1">
      <c r="L63" s="7">
        <v>23</v>
      </c>
      <c r="T63" s="7">
        <v>56</v>
      </c>
      <c r="X63" s="7">
        <v>25</v>
      </c>
      <c r="AF63" s="7">
        <v>23</v>
      </c>
      <c r="AM63" s="7">
        <v>56</v>
      </c>
      <c r="AU63" s="7">
        <v>25</v>
      </c>
    </row>
    <row r="64" spans="12:47" outlineLevel="1">
      <c r="L64" s="7">
        <v>40</v>
      </c>
      <c r="T64" s="7">
        <v>50</v>
      </c>
      <c r="X64" s="7">
        <v>38</v>
      </c>
      <c r="AF64" s="7">
        <v>40</v>
      </c>
      <c r="AM64" s="7">
        <v>50</v>
      </c>
      <c r="AU64" s="7">
        <v>38</v>
      </c>
    </row>
    <row r="65" spans="12:47" outlineLevel="1">
      <c r="L65" s="7">
        <v>20</v>
      </c>
      <c r="T65" s="7">
        <v>40</v>
      </c>
      <c r="X65" s="7">
        <v>48</v>
      </c>
      <c r="AF65" s="7">
        <v>20</v>
      </c>
      <c r="AM65" s="7">
        <v>40</v>
      </c>
      <c r="AU65" s="7">
        <v>48</v>
      </c>
    </row>
    <row r="66" spans="12:47" outlineLevel="1">
      <c r="L66" s="7">
        <v>24</v>
      </c>
      <c r="T66" s="7">
        <v>30</v>
      </c>
      <c r="X66" s="7">
        <v>25</v>
      </c>
      <c r="AF66" s="7">
        <v>24</v>
      </c>
      <c r="AM66" s="7">
        <v>30</v>
      </c>
      <c r="AU66" s="7">
        <v>25</v>
      </c>
    </row>
    <row r="67" spans="12:47" outlineLevel="1">
      <c r="L67" s="7">
        <v>6</v>
      </c>
      <c r="T67" s="7">
        <v>100</v>
      </c>
      <c r="X67" s="7">
        <v>31</v>
      </c>
      <c r="AF67" s="7">
        <v>6</v>
      </c>
      <c r="AM67" s="7">
        <v>100</v>
      </c>
      <c r="AU67" s="7">
        <v>31</v>
      </c>
    </row>
    <row r="68" spans="12:47" outlineLevel="1">
      <c r="T68" s="7">
        <v>100</v>
      </c>
      <c r="X68" s="7">
        <v>40</v>
      </c>
      <c r="AM68" s="7">
        <v>100</v>
      </c>
      <c r="AU68" s="7">
        <v>40</v>
      </c>
    </row>
    <row r="69" spans="12:47" outlineLevel="1">
      <c r="T69" s="7">
        <v>55</v>
      </c>
      <c r="X69" s="7">
        <v>17</v>
      </c>
      <c r="AM69" s="7">
        <v>55</v>
      </c>
      <c r="AU69" s="7">
        <v>17</v>
      </c>
    </row>
    <row r="70" spans="12:47" outlineLevel="1">
      <c r="T70" s="7">
        <v>90</v>
      </c>
      <c r="X70" s="7">
        <v>31</v>
      </c>
      <c r="AM70" s="7">
        <v>90</v>
      </c>
      <c r="AU70" s="7">
        <v>31</v>
      </c>
    </row>
    <row r="71" spans="12:47" outlineLevel="1">
      <c r="T71" s="7">
        <v>45</v>
      </c>
      <c r="X71" s="7">
        <v>100</v>
      </c>
      <c r="AM71" s="7">
        <v>45</v>
      </c>
      <c r="AU71" s="7">
        <v>100</v>
      </c>
    </row>
    <row r="72" spans="12:47" outlineLevel="1">
      <c r="T72" s="7">
        <v>33</v>
      </c>
      <c r="X72" s="7">
        <v>7</v>
      </c>
      <c r="AM72" s="7">
        <v>33</v>
      </c>
      <c r="AU72" s="7">
        <v>7</v>
      </c>
    </row>
    <row r="73" spans="12:47" outlineLevel="1">
      <c r="T73" s="7">
        <v>75</v>
      </c>
      <c r="X73" s="7">
        <v>45</v>
      </c>
      <c r="AM73" s="7">
        <v>75</v>
      </c>
      <c r="AU73" s="7">
        <v>45</v>
      </c>
    </row>
    <row r="74" spans="12:47" outlineLevel="1">
      <c r="T74" s="7">
        <v>36</v>
      </c>
      <c r="X74" s="7">
        <v>30</v>
      </c>
      <c r="AM74" s="7">
        <v>36</v>
      </c>
      <c r="AU74" s="7">
        <v>30</v>
      </c>
    </row>
    <row r="75" spans="12:47" outlineLevel="1">
      <c r="T75" s="7">
        <v>20</v>
      </c>
      <c r="X75" s="7">
        <v>42.5</v>
      </c>
      <c r="AM75" s="7">
        <v>20</v>
      </c>
      <c r="AU75" s="7">
        <v>42.5</v>
      </c>
    </row>
    <row r="76" spans="12:47" outlineLevel="1">
      <c r="T76" s="7">
        <v>35</v>
      </c>
      <c r="X76" s="7">
        <v>35</v>
      </c>
      <c r="AM76" s="7">
        <v>35</v>
      </c>
      <c r="AU76" s="7">
        <v>35</v>
      </c>
    </row>
    <row r="77" spans="12:47" outlineLevel="1">
      <c r="T77" s="7">
        <v>30</v>
      </c>
      <c r="X77" s="7">
        <v>33</v>
      </c>
      <c r="AM77" s="7">
        <v>30</v>
      </c>
      <c r="AU77" s="7">
        <v>33</v>
      </c>
    </row>
    <row r="78" spans="12:47" outlineLevel="1">
      <c r="T78" s="7">
        <v>33</v>
      </c>
      <c r="X78" s="7">
        <v>30</v>
      </c>
      <c r="AM78" s="7">
        <v>33</v>
      </c>
      <c r="AU78" s="7">
        <v>30</v>
      </c>
    </row>
    <row r="79" spans="12:47" outlineLevel="1">
      <c r="T79" s="7">
        <v>50</v>
      </c>
      <c r="X79" s="7">
        <v>30</v>
      </c>
      <c r="AM79" s="7">
        <v>50</v>
      </c>
      <c r="AU79" s="7">
        <v>30</v>
      </c>
    </row>
    <row r="80" spans="12:47" outlineLevel="1">
      <c r="T80" s="7">
        <v>24</v>
      </c>
      <c r="X80" s="7">
        <v>50</v>
      </c>
      <c r="AM80" s="7">
        <v>24</v>
      </c>
      <c r="AU80" s="7">
        <v>50</v>
      </c>
    </row>
    <row r="81" spans="6:47" outlineLevel="1">
      <c r="T81" s="7">
        <v>43</v>
      </c>
      <c r="X81" s="7">
        <v>20</v>
      </c>
      <c r="AM81" s="7">
        <v>43</v>
      </c>
      <c r="AU81" s="7">
        <v>20</v>
      </c>
    </row>
    <row r="82" spans="6:47" outlineLevel="1">
      <c r="T82" s="7">
        <v>70</v>
      </c>
      <c r="X82" s="7">
        <v>46</v>
      </c>
      <c r="AM82" s="7">
        <v>70</v>
      </c>
      <c r="AU82" s="7">
        <v>46</v>
      </c>
    </row>
    <row r="83" spans="6:47" outlineLevel="1">
      <c r="T83" s="7">
        <v>40</v>
      </c>
      <c r="X83" s="7">
        <v>20</v>
      </c>
      <c r="AM83" s="7">
        <v>40</v>
      </c>
      <c r="AU83" s="7">
        <v>20</v>
      </c>
    </row>
    <row r="84" spans="6:47" outlineLevel="1">
      <c r="T84" s="7">
        <v>30</v>
      </c>
      <c r="X84" s="7">
        <v>12.5</v>
      </c>
      <c r="AM84" s="7">
        <v>30</v>
      </c>
      <c r="AU84" s="7">
        <v>12.5</v>
      </c>
    </row>
    <row r="85" spans="6:47" outlineLevel="1">
      <c r="T85" s="7">
        <v>26.5</v>
      </c>
      <c r="X85" s="7">
        <v>30</v>
      </c>
      <c r="AM85" s="7">
        <v>26.5</v>
      </c>
      <c r="AU85" s="7">
        <v>30</v>
      </c>
    </row>
    <row r="86" spans="6:47" outlineLevel="1">
      <c r="T86" s="7">
        <v>25</v>
      </c>
      <c r="AM86" s="7">
        <v>25</v>
      </c>
    </row>
    <row r="87" spans="6:47" outlineLevel="1">
      <c r="T87" s="7">
        <v>25</v>
      </c>
      <c r="AM87" s="7">
        <v>25</v>
      </c>
    </row>
    <row r="89" spans="6:47">
      <c r="L89" s="40" t="s">
        <v>316</v>
      </c>
      <c r="M89" s="118"/>
      <c r="N89" s="118"/>
      <c r="O89" s="118"/>
      <c r="P89" s="40" t="str">
        <f>L89</f>
        <v>Siemer 2007</v>
      </c>
      <c r="T89" s="40" t="str">
        <f>P89</f>
        <v>Siemer 2007</v>
      </c>
      <c r="X89" s="40" t="str">
        <f>T89</f>
        <v>Siemer 2007</v>
      </c>
      <c r="AB89" s="40" t="str">
        <f>X89</f>
        <v>Siemer 2007</v>
      </c>
    </row>
    <row r="90" spans="6:47">
      <c r="F90" s="366" t="e">
        <f>#REF!</f>
        <v>#REF!</v>
      </c>
      <c r="G90" s="7" t="s">
        <v>178</v>
      </c>
      <c r="L90" s="40" t="s">
        <v>290</v>
      </c>
      <c r="M90" s="118"/>
      <c r="N90" s="118"/>
      <c r="O90" s="118"/>
      <c r="P90" s="40" t="str">
        <f>L90</f>
        <v>kg/kWp</v>
      </c>
      <c r="T90" s="40" t="str">
        <f>P90</f>
        <v>kg/kWp</v>
      </c>
      <c r="X90" s="40" t="str">
        <f>T90</f>
        <v>kg/kWp</v>
      </c>
      <c r="AB90" s="40" t="str">
        <f>X90</f>
        <v>kg/kWp</v>
      </c>
    </row>
    <row r="91" spans="6:47">
      <c r="F91" s="8" t="s">
        <v>147</v>
      </c>
      <c r="L91" s="367">
        <f>X91</f>
        <v>30.69047619047619</v>
      </c>
      <c r="M91" s="118"/>
      <c r="N91" s="118"/>
      <c r="O91" s="118"/>
      <c r="P91" s="365">
        <f>AVERAGE(P93:P65536)</f>
        <v>26.954545454545453</v>
      </c>
      <c r="T91" s="365">
        <f>AVERAGE(T93:T65536)</f>
        <v>47.645161290322584</v>
      </c>
      <c r="X91" s="365">
        <f>AVERAGE(X93:X160)</f>
        <v>30.69047619047619</v>
      </c>
      <c r="AB91" s="365">
        <f>P91</f>
        <v>26.954545454545453</v>
      </c>
    </row>
    <row r="92" spans="6:47">
      <c r="F92" s="8" t="s">
        <v>156</v>
      </c>
      <c r="K92" s="7" t="s">
        <v>317</v>
      </c>
      <c r="L92" s="367" t="e">
        <f>X92</f>
        <v>#REF!</v>
      </c>
      <c r="M92" s="118"/>
      <c r="N92" s="118"/>
      <c r="O92" s="118"/>
      <c r="P92" s="367" t="e">
        <f>P91*$F$90/1000</f>
        <v>#REF!</v>
      </c>
      <c r="T92" s="367" t="e">
        <f>T91*$F$90/1000</f>
        <v>#REF!</v>
      </c>
      <c r="X92" s="367" t="e">
        <f>X91*$F$90/1000</f>
        <v>#REF!</v>
      </c>
      <c r="AB92" s="365" t="e">
        <f>P92</f>
        <v>#REF!</v>
      </c>
    </row>
    <row r="93" spans="6:47">
      <c r="P93" s="7">
        <v>30</v>
      </c>
      <c r="T93" s="7">
        <v>24</v>
      </c>
      <c r="X93" s="7">
        <v>21</v>
      </c>
    </row>
    <row r="94" spans="6:47">
      <c r="P94" s="7">
        <v>18</v>
      </c>
      <c r="T94" s="7">
        <v>80</v>
      </c>
      <c r="X94" s="7">
        <v>30</v>
      </c>
    </row>
    <row r="95" spans="6:47">
      <c r="P95" s="7">
        <v>28</v>
      </c>
      <c r="T95" s="7">
        <v>120</v>
      </c>
      <c r="X95" s="7">
        <v>70</v>
      </c>
    </row>
    <row r="96" spans="6:47">
      <c r="P96" s="7">
        <v>15</v>
      </c>
      <c r="T96" s="7">
        <v>100</v>
      </c>
      <c r="X96" s="7">
        <v>28</v>
      </c>
    </row>
    <row r="97" spans="16:24">
      <c r="P97" s="7">
        <v>15</v>
      </c>
      <c r="T97" s="7">
        <v>150</v>
      </c>
      <c r="X97" s="7">
        <v>38</v>
      </c>
    </row>
    <row r="98" spans="16:24">
      <c r="P98" s="7">
        <v>60</v>
      </c>
      <c r="T98" s="7">
        <v>58</v>
      </c>
      <c r="X98" s="7">
        <v>26</v>
      </c>
    </row>
    <row r="99" spans="16:24">
      <c r="P99" s="7">
        <v>27</v>
      </c>
      <c r="T99" s="7">
        <v>30</v>
      </c>
      <c r="X99" s="7">
        <v>40</v>
      </c>
    </row>
    <row r="100" spans="16:24">
      <c r="P100" s="7">
        <v>25</v>
      </c>
      <c r="T100" s="7">
        <v>80</v>
      </c>
      <c r="X100" s="7">
        <v>20</v>
      </c>
    </row>
    <row r="101" spans="16:24">
      <c r="P101" s="7">
        <v>30</v>
      </c>
      <c r="T101" s="7">
        <v>33</v>
      </c>
      <c r="X101" s="7">
        <v>20</v>
      </c>
    </row>
    <row r="102" spans="16:24">
      <c r="P102" s="7">
        <v>35</v>
      </c>
      <c r="T102" s="7">
        <v>70</v>
      </c>
      <c r="X102" s="7">
        <v>26</v>
      </c>
    </row>
    <row r="103" spans="16:24">
      <c r="P103" s="7">
        <v>5</v>
      </c>
      <c r="T103" s="7">
        <v>30</v>
      </c>
      <c r="X103" s="7">
        <v>11</v>
      </c>
    </row>
    <row r="104" spans="16:24">
      <c r="P104" s="7">
        <v>15</v>
      </c>
      <c r="T104" s="7">
        <v>33</v>
      </c>
      <c r="X104" s="7">
        <v>35</v>
      </c>
    </row>
    <row r="105" spans="16:24">
      <c r="P105" s="7">
        <v>50</v>
      </c>
      <c r="T105" s="7">
        <v>30</v>
      </c>
      <c r="X105" s="7">
        <v>2.5</v>
      </c>
    </row>
    <row r="106" spans="16:24">
      <c r="P106" s="7">
        <v>30</v>
      </c>
      <c r="T106" s="7">
        <v>54</v>
      </c>
      <c r="X106" s="7">
        <v>4.5</v>
      </c>
    </row>
    <row r="107" spans="16:24">
      <c r="P107" s="7">
        <v>20</v>
      </c>
      <c r="T107" s="7">
        <v>45</v>
      </c>
      <c r="X107" s="7">
        <v>37</v>
      </c>
    </row>
    <row r="108" spans="16:24">
      <c r="P108" s="7">
        <v>25</v>
      </c>
      <c r="T108" s="7">
        <v>30</v>
      </c>
      <c r="X108" s="7">
        <v>25</v>
      </c>
    </row>
    <row r="109" spans="16:24">
      <c r="P109" s="7">
        <v>25</v>
      </c>
      <c r="T109" s="7">
        <v>35</v>
      </c>
      <c r="X109" s="7">
        <v>22</v>
      </c>
    </row>
    <row r="110" spans="16:24">
      <c r="P110" s="7">
        <v>25</v>
      </c>
      <c r="T110" s="7">
        <v>38</v>
      </c>
      <c r="X110" s="7">
        <v>18</v>
      </c>
    </row>
    <row r="111" spans="16:24">
      <c r="P111" s="7">
        <v>35</v>
      </c>
      <c r="T111" s="7">
        <v>30</v>
      </c>
      <c r="X111" s="7">
        <v>50</v>
      </c>
    </row>
    <row r="112" spans="16:24">
      <c r="P112" s="7">
        <v>24</v>
      </c>
      <c r="T112" s="7">
        <v>30</v>
      </c>
      <c r="X112" s="7">
        <v>25</v>
      </c>
    </row>
    <row r="113" spans="16:24">
      <c r="P113" s="7">
        <v>50</v>
      </c>
      <c r="T113" s="7">
        <v>140</v>
      </c>
      <c r="X113" s="7">
        <v>33</v>
      </c>
    </row>
    <row r="114" spans="16:24">
      <c r="P114" s="7">
        <v>6</v>
      </c>
      <c r="T114" s="7">
        <v>30</v>
      </c>
      <c r="X114" s="7">
        <v>28</v>
      </c>
    </row>
    <row r="115" spans="16:24">
      <c r="T115" s="7">
        <v>35</v>
      </c>
      <c r="X115" s="7">
        <v>35</v>
      </c>
    </row>
    <row r="116" spans="16:24">
      <c r="T116" s="7">
        <v>5</v>
      </c>
      <c r="X116" s="7">
        <v>30</v>
      </c>
    </row>
    <row r="117" spans="16:24">
      <c r="T117" s="7">
        <v>15</v>
      </c>
      <c r="X117" s="7">
        <v>10</v>
      </c>
    </row>
    <row r="118" spans="16:24">
      <c r="T118" s="7">
        <v>50</v>
      </c>
      <c r="X118" s="7">
        <v>10</v>
      </c>
    </row>
    <row r="119" spans="16:24">
      <c r="T119" s="7">
        <v>50</v>
      </c>
      <c r="X119" s="7">
        <v>20</v>
      </c>
    </row>
    <row r="120" spans="16:24">
      <c r="T120" s="7">
        <v>30</v>
      </c>
      <c r="X120" s="7">
        <v>50</v>
      </c>
    </row>
    <row r="121" spans="16:24">
      <c r="T121" s="7">
        <v>30</v>
      </c>
      <c r="X121" s="7">
        <v>7</v>
      </c>
    </row>
    <row r="122" spans="16:24">
      <c r="T122" s="7">
        <v>50</v>
      </c>
      <c r="X122" s="7">
        <v>50</v>
      </c>
    </row>
    <row r="123" spans="16:24">
      <c r="T123" s="7">
        <v>30</v>
      </c>
      <c r="X123" s="7">
        <v>45</v>
      </c>
    </row>
    <row r="124" spans="16:24">
      <c r="T124" s="7">
        <v>100</v>
      </c>
      <c r="X124" s="7">
        <v>54</v>
      </c>
    </row>
    <row r="125" spans="16:24">
      <c r="T125" s="7">
        <v>30</v>
      </c>
      <c r="X125" s="7">
        <v>30</v>
      </c>
    </row>
    <row r="126" spans="16:24">
      <c r="T126" s="7">
        <v>50</v>
      </c>
      <c r="X126" s="7">
        <v>50</v>
      </c>
    </row>
    <row r="127" spans="16:24">
      <c r="T127" s="7">
        <v>60</v>
      </c>
      <c r="X127" s="7">
        <v>30</v>
      </c>
    </row>
    <row r="128" spans="16:24">
      <c r="T128" s="7">
        <v>70</v>
      </c>
      <c r="X128" s="7">
        <v>50</v>
      </c>
    </row>
    <row r="129" spans="20:24">
      <c r="T129" s="7">
        <v>45</v>
      </c>
      <c r="X129" s="7">
        <v>30</v>
      </c>
    </row>
    <row r="130" spans="20:24">
      <c r="T130" s="7">
        <v>30</v>
      </c>
      <c r="X130" s="7">
        <v>50</v>
      </c>
    </row>
    <row r="131" spans="20:24">
      <c r="T131" s="7">
        <v>50</v>
      </c>
      <c r="X131" s="7">
        <v>40</v>
      </c>
    </row>
    <row r="132" spans="20:24">
      <c r="T132" s="7">
        <v>60</v>
      </c>
      <c r="X132" s="7">
        <v>45</v>
      </c>
    </row>
    <row r="133" spans="20:24">
      <c r="T133" s="7">
        <v>70</v>
      </c>
      <c r="X133" s="7">
        <v>40</v>
      </c>
    </row>
    <row r="134" spans="20:24">
      <c r="T134" s="7">
        <v>55</v>
      </c>
      <c r="X134" s="7">
        <v>45</v>
      </c>
    </row>
    <row r="135" spans="20:24">
      <c r="T135" s="7">
        <v>30</v>
      </c>
      <c r="X135" s="7">
        <v>25</v>
      </c>
    </row>
    <row r="136" spans="20:24">
      <c r="T136" s="7">
        <v>50</v>
      </c>
      <c r="X136" s="7">
        <v>30</v>
      </c>
    </row>
    <row r="137" spans="20:24">
      <c r="T137" s="7">
        <v>75</v>
      </c>
      <c r="X137" s="7">
        <v>22</v>
      </c>
    </row>
    <row r="138" spans="20:24">
      <c r="T138" s="7">
        <v>20</v>
      </c>
      <c r="X138" s="7">
        <v>28</v>
      </c>
    </row>
    <row r="139" spans="20:24">
      <c r="T139" s="7">
        <v>50</v>
      </c>
      <c r="X139" s="7">
        <v>30</v>
      </c>
    </row>
    <row r="140" spans="20:24">
      <c r="T140" s="7">
        <v>36</v>
      </c>
      <c r="X140" s="7">
        <v>25</v>
      </c>
    </row>
    <row r="141" spans="20:24">
      <c r="T141" s="7">
        <v>27</v>
      </c>
      <c r="X141" s="7">
        <v>27</v>
      </c>
    </row>
    <row r="142" spans="20:24">
      <c r="T142" s="7">
        <v>50</v>
      </c>
      <c r="X142" s="7">
        <v>50</v>
      </c>
    </row>
    <row r="143" spans="20:24">
      <c r="T143" s="7">
        <v>22</v>
      </c>
      <c r="X143" s="7">
        <v>18</v>
      </c>
    </row>
    <row r="144" spans="20:24">
      <c r="T144" s="7">
        <v>43</v>
      </c>
      <c r="X144" s="7">
        <v>18</v>
      </c>
    </row>
    <row r="145" spans="20:24">
      <c r="T145" s="7">
        <v>43</v>
      </c>
      <c r="X145" s="7">
        <v>16</v>
      </c>
    </row>
    <row r="146" spans="20:24">
      <c r="T146" s="7">
        <v>75</v>
      </c>
      <c r="X146" s="7">
        <v>20</v>
      </c>
    </row>
    <row r="147" spans="20:24">
      <c r="T147" s="7">
        <v>30</v>
      </c>
      <c r="X147" s="7">
        <v>20</v>
      </c>
    </row>
    <row r="148" spans="20:24">
      <c r="T148" s="7">
        <v>40</v>
      </c>
      <c r="X148" s="7">
        <v>50</v>
      </c>
    </row>
    <row r="149" spans="20:24">
      <c r="T149" s="7">
        <v>26</v>
      </c>
      <c r="X149" s="7">
        <v>45</v>
      </c>
    </row>
    <row r="150" spans="20:24">
      <c r="T150" s="7">
        <v>25</v>
      </c>
      <c r="X150" s="7">
        <v>40</v>
      </c>
    </row>
    <row r="151" spans="20:24">
      <c r="T151" s="7">
        <v>20</v>
      </c>
      <c r="X151" s="7">
        <v>12.5</v>
      </c>
    </row>
    <row r="152" spans="20:24">
      <c r="T152" s="7">
        <v>42</v>
      </c>
      <c r="X152" s="7">
        <v>24</v>
      </c>
    </row>
    <row r="153" spans="20:24">
      <c r="T153" s="7">
        <v>40</v>
      </c>
      <c r="X153" s="7">
        <v>30</v>
      </c>
    </row>
    <row r="154" spans="20:24">
      <c r="T154" s="7">
        <v>25</v>
      </c>
      <c r="X154" s="7">
        <v>50</v>
      </c>
    </row>
    <row r="155" spans="20:24">
      <c r="X155" s="7">
        <v>22</v>
      </c>
    </row>
  </sheetData>
  <autoFilter ref="A6:CG28"/>
  <phoneticPr fontId="0" type="noConversion"/>
  <conditionalFormatting sqref="BP24:BU24 BP18:BU19">
    <cfRule type="cellIs" dxfId="147" priority="1" stopIfTrue="1" operator="notBetween">
      <formula>1</formula>
      <formula>5</formula>
    </cfRule>
  </conditionalFormatting>
  <conditionalFormatting sqref="CB41:CG42 CB7:CG24">
    <cfRule type="cellIs" dxfId="146" priority="2" stopIfTrue="1" operator="equal">
      <formula>0</formula>
    </cfRule>
  </conditionalFormatting>
  <dataValidations disablePrompts="1" count="1">
    <dataValidation allowBlank="1" showInputMessage="1" showErrorMessage="1" promptTitle="Do not change" prompt="This field is automatically updated from the names-list" sqref="BV41:BV42 BV7:BV23"/>
  </dataValidations>
  <printOptions horizontalCentered="1" verticalCentered="1"/>
  <pageMargins left="0.78740157480314965" right="0.78740157480314965" top="0.98425196850393704" bottom="0.98425196850393704" header="0.51181102362204722" footer="0.51181102362204722"/>
  <pageSetup paperSize="9" scale="23"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6">
    <pageSetUpPr fitToPage="1"/>
  </sheetPr>
  <dimension ref="A1:AE33"/>
  <sheetViews>
    <sheetView zoomScale="75" workbookViewId="0">
      <pane xSplit="11" ySplit="6" topLeftCell="L7" activePane="bottomRight" state="frozen"/>
      <selection activeCell="J46" sqref="J46"/>
      <selection pane="topRight" activeCell="J46" sqref="J46"/>
      <selection pane="bottomLeft" activeCell="J46" sqref="J46"/>
      <selection pane="bottomRight" activeCell="J46" sqref="J46"/>
    </sheetView>
  </sheetViews>
  <sheetFormatPr defaultColWidth="11.42578125" defaultRowHeight="12" outlineLevelCol="1"/>
  <cols>
    <col min="1" max="1" width="8.42578125" style="7" customWidth="1" outlineLevel="1"/>
    <col min="2" max="2" width="12.85546875" style="158" customWidth="1"/>
    <col min="3" max="3" width="3.7109375" style="159" hidden="1" customWidth="1" outlineLevel="1"/>
    <col min="4" max="4" width="3.140625" style="7" hidden="1" customWidth="1" outlineLevel="1"/>
    <col min="5" max="5" width="2.7109375" style="7" hidden="1" customWidth="1" outlineLevel="1"/>
    <col min="6" max="6" width="39.140625" style="8" customWidth="1" collapsed="1"/>
    <col min="7" max="7" width="5" style="7" customWidth="1"/>
    <col min="8" max="8" width="5.7109375" style="7" hidden="1" customWidth="1" outlineLevel="1"/>
    <col min="9" max="9" width="10.28515625" style="7" hidden="1" customWidth="1" outlineLevel="1"/>
    <col min="10" max="10" width="4.140625" style="7" bestFit="1" customWidth="1" collapsed="1"/>
    <col min="11" max="11" width="5.140625" style="7" customWidth="1"/>
    <col min="12" max="12" width="11.28515625" style="7" customWidth="1"/>
    <col min="13" max="13" width="2" style="141" hidden="1" customWidth="1" outlineLevel="1"/>
    <col min="14" max="14" width="4.28515625" style="140" hidden="1" customWidth="1" outlineLevel="1"/>
    <col min="15" max="15" width="37.85546875" style="140" hidden="1" customWidth="1" outlineLevel="1"/>
    <col min="16" max="16" width="11.28515625" style="7" customWidth="1" collapsed="1"/>
    <col min="17" max="17" width="2" style="141" hidden="1" customWidth="1" outlineLevel="1"/>
    <col min="18" max="18" width="4.28515625" style="140" hidden="1" customWidth="1" outlineLevel="1"/>
    <col min="19" max="19" width="37.85546875" style="140" hidden="1" customWidth="1" outlineLevel="1"/>
    <col min="20" max="20" width="11.28515625" style="7" customWidth="1" collapsed="1"/>
    <col min="21" max="21" width="2" style="141" hidden="1" customWidth="1" outlineLevel="1"/>
    <col min="22" max="22" width="4.28515625" style="140" hidden="1" customWidth="1" outlineLevel="1"/>
    <col min="23" max="23" width="37.85546875" style="140" hidden="1" customWidth="1" outlineLevel="1"/>
    <col min="24" max="24" width="11.28515625" style="7" customWidth="1" collapsed="1"/>
    <col min="25" max="25" width="2" style="141" hidden="1" customWidth="1" outlineLevel="1"/>
    <col min="26" max="26" width="4.28515625" style="140" hidden="1" customWidth="1" outlineLevel="1"/>
    <col min="27" max="27" width="37.85546875" style="140" hidden="1" customWidth="1" outlineLevel="1"/>
    <col min="28" max="28" width="11.28515625" style="7" customWidth="1" collapsed="1"/>
    <col min="29" max="29" width="2" style="118" customWidth="1" outlineLevel="1"/>
    <col min="30" max="30" width="5.140625" style="32" customWidth="1" outlineLevel="1"/>
    <col min="31" max="31" width="39.140625" style="33" customWidth="1" outlineLevel="1"/>
    <col min="32" max="16384" width="11.42578125" style="7"/>
  </cols>
  <sheetData>
    <row r="1" spans="1:31">
      <c r="A1" s="36"/>
      <c r="B1" s="34"/>
      <c r="C1" s="35"/>
      <c r="D1" s="36"/>
      <c r="E1" s="36"/>
      <c r="F1" s="37" t="s">
        <v>510</v>
      </c>
      <c r="G1" s="36"/>
      <c r="H1" s="36"/>
      <c r="I1" s="36"/>
      <c r="J1" s="36"/>
      <c r="K1" s="36"/>
      <c r="L1" s="189" t="s">
        <v>1010</v>
      </c>
      <c r="M1" s="21"/>
      <c r="N1" s="22"/>
      <c r="O1" s="22"/>
      <c r="P1" s="189" t="s">
        <v>1011</v>
      </c>
      <c r="Q1" s="21"/>
      <c r="R1" s="22"/>
      <c r="S1" s="22"/>
      <c r="T1" s="189" t="s">
        <v>1012</v>
      </c>
      <c r="U1" s="21"/>
      <c r="V1" s="22"/>
      <c r="W1" s="22"/>
      <c r="X1" s="189" t="s">
        <v>1013</v>
      </c>
      <c r="Y1" s="21"/>
      <c r="Z1" s="22"/>
      <c r="AA1" s="22"/>
      <c r="AB1" s="189" t="s">
        <v>1014</v>
      </c>
      <c r="AC1" s="21"/>
      <c r="AD1" s="22"/>
      <c r="AE1" s="22"/>
    </row>
    <row r="2" spans="1:31">
      <c r="A2" s="36"/>
      <c r="B2" s="147"/>
      <c r="C2" s="35" t="s">
        <v>511</v>
      </c>
      <c r="D2" s="147">
        <v>3503</v>
      </c>
      <c r="E2" s="147">
        <v>3504</v>
      </c>
      <c r="F2" s="147">
        <v>3702</v>
      </c>
      <c r="G2" s="147">
        <v>3703</v>
      </c>
      <c r="H2" s="147">
        <v>3506</v>
      </c>
      <c r="I2" s="147">
        <v>3507</v>
      </c>
      <c r="J2" s="147">
        <v>3508</v>
      </c>
      <c r="K2" s="147">
        <v>3706</v>
      </c>
      <c r="L2" s="147">
        <v>3707</v>
      </c>
      <c r="M2" s="133">
        <v>3708</v>
      </c>
      <c r="N2" s="133">
        <v>3709</v>
      </c>
      <c r="O2" s="134">
        <v>3792</v>
      </c>
      <c r="P2" s="147">
        <v>3707</v>
      </c>
      <c r="Q2" s="133">
        <v>3708</v>
      </c>
      <c r="R2" s="133">
        <v>3709</v>
      </c>
      <c r="S2" s="134">
        <v>3792</v>
      </c>
      <c r="T2" s="147">
        <v>3707</v>
      </c>
      <c r="U2" s="133">
        <v>3708</v>
      </c>
      <c r="V2" s="133">
        <v>3709</v>
      </c>
      <c r="W2" s="134">
        <v>3792</v>
      </c>
      <c r="X2" s="147">
        <v>3707</v>
      </c>
      <c r="Y2" s="133">
        <v>3708</v>
      </c>
      <c r="Z2" s="133">
        <v>3709</v>
      </c>
      <c r="AA2" s="134">
        <v>3792</v>
      </c>
      <c r="AB2" s="147">
        <v>3707</v>
      </c>
      <c r="AC2" s="23">
        <v>3708</v>
      </c>
      <c r="AD2" s="23">
        <v>3709</v>
      </c>
      <c r="AE2" s="24">
        <v>3792</v>
      </c>
    </row>
    <row r="3" spans="1:31" ht="104.25" customHeight="1">
      <c r="A3" s="36" t="s">
        <v>398</v>
      </c>
      <c r="B3" s="166"/>
      <c r="C3" s="35">
        <v>401</v>
      </c>
      <c r="D3" s="167" t="s">
        <v>514</v>
      </c>
      <c r="E3" s="167" t="s">
        <v>515</v>
      </c>
      <c r="F3" s="132" t="s">
        <v>516</v>
      </c>
      <c r="G3" s="41" t="s">
        <v>517</v>
      </c>
      <c r="H3" s="41" t="s">
        <v>518</v>
      </c>
      <c r="I3" s="41" t="s">
        <v>519</v>
      </c>
      <c r="J3" s="41" t="s">
        <v>520</v>
      </c>
      <c r="K3" s="41" t="s">
        <v>394</v>
      </c>
      <c r="L3" s="178" t="s">
        <v>121</v>
      </c>
      <c r="M3" s="135" t="s">
        <v>265</v>
      </c>
      <c r="N3" s="135" t="s">
        <v>266</v>
      </c>
      <c r="O3" s="136" t="s">
        <v>548</v>
      </c>
      <c r="P3" s="178" t="s">
        <v>122</v>
      </c>
      <c r="Q3" s="135" t="s">
        <v>265</v>
      </c>
      <c r="R3" s="135" t="s">
        <v>266</v>
      </c>
      <c r="S3" s="136" t="s">
        <v>548</v>
      </c>
      <c r="T3" s="178" t="s">
        <v>125</v>
      </c>
      <c r="U3" s="135" t="s">
        <v>265</v>
      </c>
      <c r="V3" s="135" t="s">
        <v>266</v>
      </c>
      <c r="W3" s="136" t="s">
        <v>548</v>
      </c>
      <c r="X3" s="178" t="s">
        <v>127</v>
      </c>
      <c r="Y3" s="135" t="s">
        <v>265</v>
      </c>
      <c r="Z3" s="135" t="s">
        <v>266</v>
      </c>
      <c r="AA3" s="136" t="s">
        <v>548</v>
      </c>
      <c r="AB3" s="178" t="s">
        <v>128</v>
      </c>
      <c r="AC3" s="25" t="s">
        <v>265</v>
      </c>
      <c r="AD3" s="25" t="s">
        <v>266</v>
      </c>
      <c r="AE3" s="128" t="s">
        <v>548</v>
      </c>
    </row>
    <row r="4" spans="1:31" ht="13.5" customHeight="1">
      <c r="A4" s="36"/>
      <c r="B4" s="166"/>
      <c r="C4" s="35">
        <v>662</v>
      </c>
      <c r="D4" s="9"/>
      <c r="E4" s="9"/>
      <c r="F4" s="132" t="s">
        <v>517</v>
      </c>
      <c r="G4" s="132"/>
      <c r="H4" s="132"/>
      <c r="I4" s="132"/>
      <c r="J4" s="132"/>
      <c r="K4" s="132"/>
      <c r="L4" s="178" t="s">
        <v>521</v>
      </c>
      <c r="M4" s="137">
        <v>0</v>
      </c>
      <c r="N4" s="137">
        <v>0</v>
      </c>
      <c r="O4" s="138">
        <v>0</v>
      </c>
      <c r="P4" s="178" t="s">
        <v>521</v>
      </c>
      <c r="Q4" s="137">
        <v>0</v>
      </c>
      <c r="R4" s="137">
        <v>0</v>
      </c>
      <c r="S4" s="138">
        <v>0</v>
      </c>
      <c r="T4" s="178" t="s">
        <v>521</v>
      </c>
      <c r="U4" s="137">
        <v>0</v>
      </c>
      <c r="V4" s="137">
        <v>0</v>
      </c>
      <c r="W4" s="138">
        <v>0</v>
      </c>
      <c r="X4" s="178" t="s">
        <v>521</v>
      </c>
      <c r="Y4" s="137">
        <v>0</v>
      </c>
      <c r="Z4" s="137">
        <v>0</v>
      </c>
      <c r="AA4" s="138">
        <v>0</v>
      </c>
      <c r="AB4" s="178" t="s">
        <v>521</v>
      </c>
      <c r="AC4" s="129"/>
      <c r="AD4" s="129"/>
      <c r="AE4" s="130"/>
    </row>
    <row r="5" spans="1:31">
      <c r="A5" s="36"/>
      <c r="B5" s="166"/>
      <c r="C5" s="35">
        <v>493</v>
      </c>
      <c r="D5" s="9"/>
      <c r="E5" s="9"/>
      <c r="F5" s="132" t="s">
        <v>520</v>
      </c>
      <c r="G5" s="132"/>
      <c r="H5" s="132"/>
      <c r="I5" s="132"/>
      <c r="J5" s="132"/>
      <c r="K5" s="132"/>
      <c r="L5" s="178">
        <v>1</v>
      </c>
      <c r="M5" s="137">
        <v>0</v>
      </c>
      <c r="N5" s="137">
        <v>0</v>
      </c>
      <c r="O5" s="138">
        <v>0</v>
      </c>
      <c r="P5" s="178">
        <v>1</v>
      </c>
      <c r="Q5" s="137">
        <v>0</v>
      </c>
      <c r="R5" s="137">
        <v>0</v>
      </c>
      <c r="S5" s="138">
        <v>0</v>
      </c>
      <c r="T5" s="178">
        <v>1</v>
      </c>
      <c r="U5" s="137">
        <v>0</v>
      </c>
      <c r="V5" s="137">
        <v>0</v>
      </c>
      <c r="W5" s="138">
        <v>0</v>
      </c>
      <c r="X5" s="178">
        <v>1</v>
      </c>
      <c r="Y5" s="137">
        <v>0</v>
      </c>
      <c r="Z5" s="137">
        <v>0</v>
      </c>
      <c r="AA5" s="138">
        <v>0</v>
      </c>
      <c r="AB5" s="178">
        <v>1</v>
      </c>
      <c r="AC5" s="129"/>
      <c r="AD5" s="129"/>
      <c r="AE5" s="130"/>
    </row>
    <row r="6" spans="1:31">
      <c r="A6" s="36"/>
      <c r="B6" s="166"/>
      <c r="C6" s="35">
        <v>403</v>
      </c>
      <c r="D6" s="9"/>
      <c r="E6" s="9"/>
      <c r="F6" s="132" t="s">
        <v>394</v>
      </c>
      <c r="G6" s="352"/>
      <c r="H6" s="132"/>
      <c r="I6" s="132"/>
      <c r="J6" s="132"/>
      <c r="K6" s="132"/>
      <c r="L6" s="178" t="s">
        <v>522</v>
      </c>
      <c r="M6" s="137">
        <v>0</v>
      </c>
      <c r="N6" s="137">
        <v>0</v>
      </c>
      <c r="O6" s="138">
        <v>0</v>
      </c>
      <c r="P6" s="178" t="s">
        <v>522</v>
      </c>
      <c r="Q6" s="137">
        <v>0</v>
      </c>
      <c r="R6" s="137">
        <v>0</v>
      </c>
      <c r="S6" s="138">
        <v>0</v>
      </c>
      <c r="T6" s="178" t="s">
        <v>522</v>
      </c>
      <c r="U6" s="137">
        <v>0</v>
      </c>
      <c r="V6" s="137">
        <v>0</v>
      </c>
      <c r="W6" s="138">
        <v>0</v>
      </c>
      <c r="X6" s="178" t="s">
        <v>522</v>
      </c>
      <c r="Y6" s="137">
        <v>0</v>
      </c>
      <c r="Z6" s="137">
        <v>0</v>
      </c>
      <c r="AA6" s="138">
        <v>0</v>
      </c>
      <c r="AB6" s="178" t="s">
        <v>522</v>
      </c>
      <c r="AC6" s="129"/>
      <c r="AD6" s="129"/>
      <c r="AE6" s="130"/>
    </row>
    <row r="7" spans="1:31" ht="24">
      <c r="A7" s="2" t="s">
        <v>1050</v>
      </c>
      <c r="B7" s="163" t="s">
        <v>524</v>
      </c>
      <c r="C7" s="151" t="s">
        <v>525</v>
      </c>
      <c r="D7" s="152" t="s">
        <v>526</v>
      </c>
      <c r="E7" s="153" t="s">
        <v>402</v>
      </c>
      <c r="F7" s="144" t="s">
        <v>1671</v>
      </c>
      <c r="G7" s="125" t="s">
        <v>1211</v>
      </c>
      <c r="H7" s="164" t="s">
        <v>402</v>
      </c>
      <c r="I7" s="123" t="s">
        <v>402</v>
      </c>
      <c r="J7" s="124">
        <v>0</v>
      </c>
      <c r="K7" s="125" t="s">
        <v>678</v>
      </c>
      <c r="L7" s="165">
        <v>0.04</v>
      </c>
      <c r="M7" s="29">
        <v>1</v>
      </c>
      <c r="N7" s="1">
        <v>1.2849840792941758</v>
      </c>
      <c r="O7" s="139" t="s">
        <v>71</v>
      </c>
      <c r="P7" s="165">
        <v>0.04</v>
      </c>
      <c r="Q7" s="29">
        <v>1</v>
      </c>
      <c r="R7" s="1">
        <v>1.2849840792941758</v>
      </c>
      <c r="S7" s="139" t="s">
        <v>71</v>
      </c>
      <c r="T7" s="165">
        <v>1.02</v>
      </c>
      <c r="U7" s="29">
        <v>1</v>
      </c>
      <c r="V7" s="1">
        <v>1.2849840792941758</v>
      </c>
      <c r="W7" s="139" t="s">
        <v>71</v>
      </c>
      <c r="X7" s="165">
        <v>0.23</v>
      </c>
      <c r="Y7" s="29">
        <v>1</v>
      </c>
      <c r="Z7" s="1">
        <v>1.2849840792941758</v>
      </c>
      <c r="AA7" s="139" t="s">
        <v>71</v>
      </c>
      <c r="AB7" s="165">
        <v>0.23</v>
      </c>
      <c r="AC7" s="29">
        <v>1</v>
      </c>
      <c r="AD7" s="1">
        <v>1.2849840792941758</v>
      </c>
      <c r="AE7" s="31" t="s">
        <v>71</v>
      </c>
    </row>
    <row r="8" spans="1:31" ht="12.75">
      <c r="A8" s="156">
        <v>4804</v>
      </c>
      <c r="B8" s="163" t="s">
        <v>525</v>
      </c>
      <c r="C8" s="151" t="s">
        <v>525</v>
      </c>
      <c r="D8" s="152" t="s">
        <v>526</v>
      </c>
      <c r="E8" s="153" t="s">
        <v>402</v>
      </c>
      <c r="F8" s="144" t="s">
        <v>72</v>
      </c>
      <c r="G8" s="125" t="s">
        <v>521</v>
      </c>
      <c r="H8" s="164" t="s">
        <v>402</v>
      </c>
      <c r="I8" s="123" t="s">
        <v>402</v>
      </c>
      <c r="J8" s="124">
        <v>1</v>
      </c>
      <c r="K8" s="125" t="s">
        <v>522</v>
      </c>
      <c r="L8" s="165">
        <v>2.4</v>
      </c>
      <c r="M8" s="29">
        <v>1</v>
      </c>
      <c r="N8" s="1">
        <v>1.2354522921220721</v>
      </c>
      <c r="O8" s="139" t="s">
        <v>73</v>
      </c>
      <c r="P8" s="165">
        <v>2.4</v>
      </c>
      <c r="Q8" s="29">
        <v>1</v>
      </c>
      <c r="R8" s="1">
        <v>1.2354522921220721</v>
      </c>
      <c r="S8" s="139" t="s">
        <v>73</v>
      </c>
      <c r="T8" s="165">
        <v>2.4</v>
      </c>
      <c r="U8" s="29">
        <v>1</v>
      </c>
      <c r="V8" s="1">
        <v>1.2354522921220721</v>
      </c>
      <c r="W8" s="139" t="s">
        <v>73</v>
      </c>
      <c r="X8" s="165">
        <v>2.4</v>
      </c>
      <c r="Y8" s="29">
        <v>1</v>
      </c>
      <c r="Z8" s="1">
        <v>1.2354522921220721</v>
      </c>
      <c r="AA8" s="139" t="s">
        <v>73</v>
      </c>
      <c r="AB8" s="165">
        <v>2.4</v>
      </c>
      <c r="AC8" s="29">
        <v>1</v>
      </c>
      <c r="AD8" s="1">
        <v>1.2354522921220721</v>
      </c>
      <c r="AE8" s="31" t="s">
        <v>73</v>
      </c>
    </row>
    <row r="9" spans="1:31" ht="12.75">
      <c r="A9" s="156">
        <v>1484</v>
      </c>
      <c r="B9" s="163"/>
      <c r="C9" s="151" t="s">
        <v>525</v>
      </c>
      <c r="D9" s="152" t="s">
        <v>526</v>
      </c>
      <c r="E9" s="153" t="s">
        <v>402</v>
      </c>
      <c r="F9" s="144" t="s">
        <v>74</v>
      </c>
      <c r="G9" s="125" t="s">
        <v>393</v>
      </c>
      <c r="H9" s="164" t="s">
        <v>402</v>
      </c>
      <c r="I9" s="123" t="s">
        <v>402</v>
      </c>
      <c r="J9" s="124">
        <v>1</v>
      </c>
      <c r="K9" s="125" t="s">
        <v>522</v>
      </c>
      <c r="L9" s="165">
        <v>1</v>
      </c>
      <c r="M9" s="29">
        <v>1</v>
      </c>
      <c r="N9" s="1">
        <v>2.0865051432908035</v>
      </c>
      <c r="O9" s="139" t="s">
        <v>75</v>
      </c>
      <c r="P9" s="165">
        <v>1</v>
      </c>
      <c r="Q9" s="29">
        <v>1</v>
      </c>
      <c r="R9" s="1">
        <v>2.0865051432908035</v>
      </c>
      <c r="S9" s="139" t="s">
        <v>75</v>
      </c>
      <c r="T9" s="165">
        <v>1</v>
      </c>
      <c r="U9" s="29">
        <v>1</v>
      </c>
      <c r="V9" s="1">
        <v>2.0865051432908035</v>
      </c>
      <c r="W9" s="139" t="s">
        <v>75</v>
      </c>
      <c r="X9" s="165">
        <v>1</v>
      </c>
      <c r="Y9" s="29">
        <v>1</v>
      </c>
      <c r="Z9" s="1">
        <v>2.0865051432908035</v>
      </c>
      <c r="AA9" s="139" t="s">
        <v>75</v>
      </c>
      <c r="AB9" s="165">
        <v>1</v>
      </c>
      <c r="AC9" s="29">
        <v>1</v>
      </c>
      <c r="AD9" s="1">
        <v>2.0865051432908035</v>
      </c>
      <c r="AE9" s="31" t="s">
        <v>75</v>
      </c>
    </row>
    <row r="10" spans="1:31" ht="12.75">
      <c r="A10" s="156">
        <v>1489</v>
      </c>
      <c r="B10" s="163" t="s">
        <v>525</v>
      </c>
      <c r="C10" s="151" t="s">
        <v>525</v>
      </c>
      <c r="D10" s="152" t="s">
        <v>526</v>
      </c>
      <c r="E10" s="153" t="s">
        <v>402</v>
      </c>
      <c r="F10" s="144" t="s">
        <v>52</v>
      </c>
      <c r="G10" s="125" t="s">
        <v>521</v>
      </c>
      <c r="H10" s="164" t="s">
        <v>402</v>
      </c>
      <c r="I10" s="123" t="s">
        <v>402</v>
      </c>
      <c r="J10" s="124">
        <v>1</v>
      </c>
      <c r="K10" s="125" t="s">
        <v>396</v>
      </c>
      <c r="L10" s="165">
        <v>0</v>
      </c>
      <c r="M10" s="29">
        <v>1</v>
      </c>
      <c r="N10" s="1">
        <v>1.2284225230179247</v>
      </c>
      <c r="O10" s="139" t="s">
        <v>76</v>
      </c>
      <c r="P10" s="165">
        <v>19.867549668874172</v>
      </c>
      <c r="Q10" s="29">
        <v>1</v>
      </c>
      <c r="R10" s="1">
        <v>1.2284225230179247</v>
      </c>
      <c r="S10" s="139" t="s">
        <v>76</v>
      </c>
      <c r="T10" s="165">
        <v>0</v>
      </c>
      <c r="U10" s="29">
        <v>1</v>
      </c>
      <c r="V10" s="1">
        <v>1.2284225230179247</v>
      </c>
      <c r="W10" s="139" t="s">
        <v>76</v>
      </c>
      <c r="X10" s="165">
        <v>0</v>
      </c>
      <c r="Y10" s="29">
        <v>1</v>
      </c>
      <c r="Z10" s="1">
        <v>1.2284225230179247</v>
      </c>
      <c r="AA10" s="139" t="s">
        <v>76</v>
      </c>
      <c r="AB10" s="165">
        <v>0</v>
      </c>
      <c r="AC10" s="29">
        <v>1</v>
      </c>
      <c r="AD10" s="1">
        <v>1.2284225230179247</v>
      </c>
      <c r="AE10" s="31" t="s">
        <v>76</v>
      </c>
    </row>
    <row r="11" spans="1:31" ht="12.75">
      <c r="A11" s="156">
        <v>1490</v>
      </c>
      <c r="B11" s="163" t="s">
        <v>525</v>
      </c>
      <c r="C11" s="151" t="s">
        <v>525</v>
      </c>
      <c r="D11" s="152" t="s">
        <v>526</v>
      </c>
      <c r="E11" s="153" t="s">
        <v>402</v>
      </c>
      <c r="F11" s="144" t="s">
        <v>53</v>
      </c>
      <c r="G11" s="125" t="s">
        <v>521</v>
      </c>
      <c r="H11" s="164" t="s">
        <v>402</v>
      </c>
      <c r="I11" s="123" t="s">
        <v>402</v>
      </c>
      <c r="J11" s="124">
        <v>1</v>
      </c>
      <c r="K11" s="125" t="s">
        <v>396</v>
      </c>
      <c r="L11" s="165">
        <v>19.867549668874172</v>
      </c>
      <c r="M11" s="29">
        <v>1</v>
      </c>
      <c r="N11" s="1">
        <v>1.2284225230179247</v>
      </c>
      <c r="O11" s="139" t="s">
        <v>76</v>
      </c>
      <c r="P11" s="165">
        <v>0</v>
      </c>
      <c r="Q11" s="29">
        <v>1</v>
      </c>
      <c r="R11" s="1">
        <v>1.2284225230179247</v>
      </c>
      <c r="S11" s="139" t="s">
        <v>76</v>
      </c>
      <c r="T11" s="165">
        <v>0</v>
      </c>
      <c r="U11" s="29">
        <v>1</v>
      </c>
      <c r="V11" s="1">
        <v>1.2284225230179247</v>
      </c>
      <c r="W11" s="139" t="s">
        <v>76</v>
      </c>
      <c r="X11" s="165">
        <v>0</v>
      </c>
      <c r="Y11" s="29">
        <v>1</v>
      </c>
      <c r="Z11" s="1">
        <v>1.2284225230179247</v>
      </c>
      <c r="AA11" s="139" t="s">
        <v>76</v>
      </c>
      <c r="AB11" s="165">
        <v>0</v>
      </c>
      <c r="AC11" s="29">
        <v>1</v>
      </c>
      <c r="AD11" s="1">
        <v>1.2284225230179247</v>
      </c>
      <c r="AE11" s="31" t="s">
        <v>76</v>
      </c>
    </row>
    <row r="12" spans="1:31" ht="12.75">
      <c r="A12" s="156">
        <v>1491</v>
      </c>
      <c r="B12" s="163" t="s">
        <v>525</v>
      </c>
      <c r="C12" s="151" t="s">
        <v>525</v>
      </c>
      <c r="D12" s="152" t="s">
        <v>526</v>
      </c>
      <c r="E12" s="153" t="s">
        <v>402</v>
      </c>
      <c r="F12" s="144" t="s">
        <v>663</v>
      </c>
      <c r="G12" s="125" t="s">
        <v>521</v>
      </c>
      <c r="H12" s="164" t="s">
        <v>402</v>
      </c>
      <c r="I12" s="123" t="s">
        <v>402</v>
      </c>
      <c r="J12" s="124">
        <v>1</v>
      </c>
      <c r="K12" s="125" t="s">
        <v>396</v>
      </c>
      <c r="L12" s="165">
        <v>0</v>
      </c>
      <c r="M12" s="29">
        <v>1</v>
      </c>
      <c r="N12" s="1">
        <v>1.2284225230179247</v>
      </c>
      <c r="O12" s="139" t="s">
        <v>76</v>
      </c>
      <c r="P12" s="165">
        <v>0</v>
      </c>
      <c r="Q12" s="29">
        <v>1</v>
      </c>
      <c r="R12" s="1">
        <v>1.2284225230179247</v>
      </c>
      <c r="S12" s="139" t="s">
        <v>76</v>
      </c>
      <c r="T12" s="165">
        <v>19.867549668874172</v>
      </c>
      <c r="U12" s="29">
        <v>1</v>
      </c>
      <c r="V12" s="1">
        <v>1.2284225230179247</v>
      </c>
      <c r="W12" s="139" t="s">
        <v>76</v>
      </c>
      <c r="X12" s="165">
        <v>0</v>
      </c>
      <c r="Y12" s="29">
        <v>1</v>
      </c>
      <c r="Z12" s="1">
        <v>1.2284225230179247</v>
      </c>
      <c r="AA12" s="139" t="s">
        <v>76</v>
      </c>
      <c r="AB12" s="165">
        <v>0</v>
      </c>
      <c r="AC12" s="29">
        <v>1</v>
      </c>
      <c r="AD12" s="1">
        <v>1.2284225230179247</v>
      </c>
      <c r="AE12" s="31" t="s">
        <v>76</v>
      </c>
    </row>
    <row r="13" spans="1:31" ht="12.75">
      <c r="A13" s="156">
        <v>1645</v>
      </c>
      <c r="B13" s="163" t="s">
        <v>525</v>
      </c>
      <c r="C13" s="151" t="s">
        <v>525</v>
      </c>
      <c r="D13" s="152" t="s">
        <v>526</v>
      </c>
      <c r="E13" s="153" t="s">
        <v>402</v>
      </c>
      <c r="F13" s="144" t="s">
        <v>664</v>
      </c>
      <c r="G13" s="125" t="s">
        <v>521</v>
      </c>
      <c r="H13" s="164" t="s">
        <v>402</v>
      </c>
      <c r="I13" s="123" t="s">
        <v>402</v>
      </c>
      <c r="J13" s="124">
        <v>1</v>
      </c>
      <c r="K13" s="125" t="s">
        <v>396</v>
      </c>
      <c r="L13" s="165">
        <v>0</v>
      </c>
      <c r="M13" s="29">
        <v>1</v>
      </c>
      <c r="N13" s="1">
        <v>1.2284225230179247</v>
      </c>
      <c r="O13" s="139" t="s">
        <v>76</v>
      </c>
      <c r="P13" s="165">
        <v>0</v>
      </c>
      <c r="Q13" s="29">
        <v>1</v>
      </c>
      <c r="R13" s="1">
        <v>1.2284225230179247</v>
      </c>
      <c r="S13" s="139" t="s">
        <v>76</v>
      </c>
      <c r="T13" s="165">
        <v>0</v>
      </c>
      <c r="U13" s="29">
        <v>1</v>
      </c>
      <c r="V13" s="1">
        <v>1.2284225230179247</v>
      </c>
      <c r="W13" s="139" t="s">
        <v>76</v>
      </c>
      <c r="X13" s="165">
        <v>0</v>
      </c>
      <c r="Y13" s="29">
        <v>1</v>
      </c>
      <c r="Z13" s="1">
        <v>1.2284225230179247</v>
      </c>
      <c r="AA13" s="139" t="s">
        <v>76</v>
      </c>
      <c r="AB13" s="165">
        <v>19.867549668874172</v>
      </c>
      <c r="AC13" s="29">
        <v>1</v>
      </c>
      <c r="AD13" s="1">
        <v>1.2284225230179247</v>
      </c>
      <c r="AE13" s="31" t="s">
        <v>76</v>
      </c>
    </row>
    <row r="14" spans="1:31" ht="12.75">
      <c r="A14" s="156">
        <v>1646</v>
      </c>
      <c r="B14" s="163" t="s">
        <v>525</v>
      </c>
      <c r="C14" s="151" t="s">
        <v>525</v>
      </c>
      <c r="D14" s="152" t="s">
        <v>526</v>
      </c>
      <c r="E14" s="153" t="s">
        <v>402</v>
      </c>
      <c r="F14" s="144" t="s">
        <v>665</v>
      </c>
      <c r="G14" s="125" t="s">
        <v>521</v>
      </c>
      <c r="H14" s="164" t="s">
        <v>402</v>
      </c>
      <c r="I14" s="123" t="s">
        <v>402</v>
      </c>
      <c r="J14" s="124">
        <v>1</v>
      </c>
      <c r="K14" s="125" t="s">
        <v>396</v>
      </c>
      <c r="L14" s="165">
        <v>0</v>
      </c>
      <c r="M14" s="29">
        <v>1</v>
      </c>
      <c r="N14" s="1">
        <v>1.2284225230179247</v>
      </c>
      <c r="O14" s="139" t="s">
        <v>76</v>
      </c>
      <c r="P14" s="165">
        <v>0</v>
      </c>
      <c r="Q14" s="29">
        <v>1</v>
      </c>
      <c r="R14" s="1">
        <v>1.2284225230179247</v>
      </c>
      <c r="S14" s="139" t="s">
        <v>76</v>
      </c>
      <c r="T14" s="165">
        <v>0</v>
      </c>
      <c r="U14" s="29">
        <v>1</v>
      </c>
      <c r="V14" s="1">
        <v>1.2284225230179247</v>
      </c>
      <c r="W14" s="139" t="s">
        <v>76</v>
      </c>
      <c r="X14" s="165">
        <v>19.867549668874172</v>
      </c>
      <c r="Y14" s="29">
        <v>1</v>
      </c>
      <c r="Z14" s="1">
        <v>1.2284225230179247</v>
      </c>
      <c r="AA14" s="139" t="s">
        <v>76</v>
      </c>
      <c r="AB14" s="165">
        <v>0</v>
      </c>
      <c r="AC14" s="29">
        <v>1</v>
      </c>
      <c r="AD14" s="1">
        <v>1.2284225230179247</v>
      </c>
      <c r="AE14" s="31" t="s">
        <v>76</v>
      </c>
    </row>
    <row r="15" spans="1:31" ht="24">
      <c r="A15" s="38" t="s">
        <v>783</v>
      </c>
      <c r="B15" s="163" t="s">
        <v>525</v>
      </c>
      <c r="C15" s="151" t="s">
        <v>525</v>
      </c>
      <c r="D15" s="152" t="s">
        <v>526</v>
      </c>
      <c r="E15" s="153" t="s">
        <v>402</v>
      </c>
      <c r="F15" s="144" t="s">
        <v>1327</v>
      </c>
      <c r="G15" s="125" t="s">
        <v>521</v>
      </c>
      <c r="H15" s="164" t="s">
        <v>402</v>
      </c>
      <c r="I15" s="123" t="s">
        <v>402</v>
      </c>
      <c r="J15" s="124">
        <v>1</v>
      </c>
      <c r="K15" s="125" t="s">
        <v>396</v>
      </c>
      <c r="L15" s="165">
        <v>20.463576158940398</v>
      </c>
      <c r="M15" s="29">
        <v>1</v>
      </c>
      <c r="N15" s="1">
        <v>1.3582005896413567</v>
      </c>
      <c r="O15" s="139" t="s">
        <v>78</v>
      </c>
      <c r="P15" s="165">
        <v>0</v>
      </c>
      <c r="Q15" s="29">
        <v>1</v>
      </c>
      <c r="R15" s="1">
        <v>1.3582005896413567</v>
      </c>
      <c r="S15" s="139" t="s">
        <v>78</v>
      </c>
      <c r="T15" s="165">
        <v>0</v>
      </c>
      <c r="U15" s="29">
        <v>1</v>
      </c>
      <c r="V15" s="1">
        <v>1.3582005896413567</v>
      </c>
      <c r="W15" s="139" t="s">
        <v>78</v>
      </c>
      <c r="X15" s="165">
        <v>20.463576158940398</v>
      </c>
      <c r="Y15" s="29">
        <v>1</v>
      </c>
      <c r="Z15" s="1">
        <v>1.3582005896413567</v>
      </c>
      <c r="AA15" s="139" t="s">
        <v>78</v>
      </c>
      <c r="AB15" s="165">
        <v>0</v>
      </c>
      <c r="AC15" s="29">
        <v>1</v>
      </c>
      <c r="AD15" s="1">
        <v>1.3582005896413567</v>
      </c>
      <c r="AE15" s="31" t="s">
        <v>78</v>
      </c>
    </row>
    <row r="16" spans="1:31" ht="24">
      <c r="A16" s="38" t="s">
        <v>785</v>
      </c>
      <c r="B16" s="163" t="s">
        <v>525</v>
      </c>
      <c r="C16" s="151" t="s">
        <v>525</v>
      </c>
      <c r="D16" s="152" t="s">
        <v>526</v>
      </c>
      <c r="E16" s="153" t="s">
        <v>402</v>
      </c>
      <c r="F16" s="144" t="s">
        <v>1329</v>
      </c>
      <c r="G16" s="125" t="s">
        <v>521</v>
      </c>
      <c r="H16" s="164" t="s">
        <v>402</v>
      </c>
      <c r="I16" s="123" t="s">
        <v>402</v>
      </c>
      <c r="J16" s="124">
        <v>1</v>
      </c>
      <c r="K16" s="125" t="s">
        <v>396</v>
      </c>
      <c r="L16" s="165">
        <v>0</v>
      </c>
      <c r="M16" s="29">
        <v>1</v>
      </c>
      <c r="N16" s="1">
        <v>1.3582005896413567</v>
      </c>
      <c r="O16" s="139" t="s">
        <v>78</v>
      </c>
      <c r="P16" s="165">
        <v>20.463576158940398</v>
      </c>
      <c r="Q16" s="29">
        <v>1</v>
      </c>
      <c r="R16" s="1">
        <v>1.3582005896413567</v>
      </c>
      <c r="S16" s="139" t="s">
        <v>78</v>
      </c>
      <c r="T16" s="165">
        <v>20.463576158940398</v>
      </c>
      <c r="U16" s="29">
        <v>1</v>
      </c>
      <c r="V16" s="1">
        <v>1.3582005896413567</v>
      </c>
      <c r="W16" s="139" t="s">
        <v>78</v>
      </c>
      <c r="X16" s="165">
        <v>0</v>
      </c>
      <c r="Y16" s="29">
        <v>1</v>
      </c>
      <c r="Z16" s="1">
        <v>1.3582005896413567</v>
      </c>
      <c r="AA16" s="139" t="s">
        <v>78</v>
      </c>
      <c r="AB16" s="165">
        <v>20.463576158940398</v>
      </c>
      <c r="AC16" s="29">
        <v>1</v>
      </c>
      <c r="AD16" s="1">
        <v>1.3582005896413567</v>
      </c>
      <c r="AE16" s="31" t="s">
        <v>78</v>
      </c>
    </row>
    <row r="17" spans="1:31" ht="12.75">
      <c r="A17" s="157">
        <v>1802</v>
      </c>
      <c r="B17" s="163" t="s">
        <v>525</v>
      </c>
      <c r="C17" s="151" t="s">
        <v>525</v>
      </c>
      <c r="D17" s="152" t="s">
        <v>526</v>
      </c>
      <c r="E17" s="153" t="s">
        <v>402</v>
      </c>
      <c r="F17" s="144" t="s">
        <v>80</v>
      </c>
      <c r="G17" s="125" t="s">
        <v>393</v>
      </c>
      <c r="H17" s="164" t="s">
        <v>402</v>
      </c>
      <c r="I17" s="123" t="s">
        <v>402</v>
      </c>
      <c r="J17" s="124">
        <v>0</v>
      </c>
      <c r="K17" s="125" t="s">
        <v>81</v>
      </c>
      <c r="L17" s="165">
        <v>0</v>
      </c>
      <c r="M17" s="29">
        <v>1</v>
      </c>
      <c r="N17" s="1">
        <v>2.0865051432908035</v>
      </c>
      <c r="O17" s="139" t="s">
        <v>82</v>
      </c>
      <c r="P17" s="165">
        <v>0</v>
      </c>
      <c r="Q17" s="29">
        <v>1</v>
      </c>
      <c r="R17" s="1">
        <v>2.0865051432908035</v>
      </c>
      <c r="S17" s="139" t="s">
        <v>82</v>
      </c>
      <c r="T17" s="165">
        <v>80</v>
      </c>
      <c r="U17" s="29">
        <v>1</v>
      </c>
      <c r="V17" s="1">
        <v>2.0865051432908035</v>
      </c>
      <c r="W17" s="139" t="s">
        <v>82</v>
      </c>
      <c r="X17" s="165">
        <v>0</v>
      </c>
      <c r="Y17" s="29">
        <v>1</v>
      </c>
      <c r="Z17" s="1">
        <v>2.0865051432908035</v>
      </c>
      <c r="AA17" s="139" t="s">
        <v>82</v>
      </c>
      <c r="AB17" s="165">
        <v>0</v>
      </c>
      <c r="AC17" s="29">
        <v>1</v>
      </c>
      <c r="AD17" s="1">
        <v>2.0865051432908035</v>
      </c>
      <c r="AE17" s="31" t="s">
        <v>82</v>
      </c>
    </row>
    <row r="18" spans="1:31" ht="24">
      <c r="A18" s="157">
        <v>2988</v>
      </c>
      <c r="B18" s="163" t="s">
        <v>525</v>
      </c>
      <c r="C18" s="151" t="s">
        <v>525</v>
      </c>
      <c r="D18" s="152" t="s">
        <v>526</v>
      </c>
      <c r="E18" s="153" t="s">
        <v>402</v>
      </c>
      <c r="F18" s="144" t="s">
        <v>63</v>
      </c>
      <c r="G18" s="125" t="s">
        <v>393</v>
      </c>
      <c r="H18" s="164" t="s">
        <v>402</v>
      </c>
      <c r="I18" s="123" t="s">
        <v>402</v>
      </c>
      <c r="J18" s="124">
        <v>0</v>
      </c>
      <c r="K18" s="125" t="s">
        <v>397</v>
      </c>
      <c r="L18" s="165">
        <v>47.793797152151406</v>
      </c>
      <c r="M18" s="29">
        <v>1</v>
      </c>
      <c r="N18" s="1">
        <v>2.0865051432908035</v>
      </c>
      <c r="O18" s="139" t="s">
        <v>83</v>
      </c>
      <c r="P18" s="165">
        <v>52.142307085926248</v>
      </c>
      <c r="Q18" s="29">
        <v>1</v>
      </c>
      <c r="R18" s="1">
        <v>2.0865051432908035</v>
      </c>
      <c r="S18" s="139" t="s">
        <v>83</v>
      </c>
      <c r="T18" s="165">
        <v>52.142307085926248</v>
      </c>
      <c r="U18" s="29">
        <v>1</v>
      </c>
      <c r="V18" s="1">
        <v>2.0865051432908035</v>
      </c>
      <c r="W18" s="139" t="s">
        <v>83</v>
      </c>
      <c r="X18" s="165">
        <v>47.793797152151406</v>
      </c>
      <c r="Y18" s="29">
        <v>1</v>
      </c>
      <c r="Z18" s="1">
        <v>2.0865051432908035</v>
      </c>
      <c r="AA18" s="139" t="s">
        <v>83</v>
      </c>
      <c r="AB18" s="165">
        <v>52.142307085926248</v>
      </c>
      <c r="AC18" s="29">
        <v>1</v>
      </c>
      <c r="AD18" s="1">
        <v>2.0865051432908035</v>
      </c>
      <c r="AE18" s="31" t="s">
        <v>83</v>
      </c>
    </row>
    <row r="19" spans="1:31" ht="24">
      <c r="A19" s="157">
        <v>2987</v>
      </c>
      <c r="B19" s="163" t="s">
        <v>525</v>
      </c>
      <c r="C19" s="151" t="s">
        <v>525</v>
      </c>
      <c r="D19" s="152" t="s">
        <v>526</v>
      </c>
      <c r="E19" s="153" t="s">
        <v>402</v>
      </c>
      <c r="F19" s="144" t="s">
        <v>59</v>
      </c>
      <c r="G19" s="125" t="s">
        <v>521</v>
      </c>
      <c r="H19" s="164" t="s">
        <v>402</v>
      </c>
      <c r="I19" s="123" t="s">
        <v>402</v>
      </c>
      <c r="J19" s="124">
        <v>0</v>
      </c>
      <c r="K19" s="125" t="s">
        <v>397</v>
      </c>
      <c r="L19" s="165">
        <v>200.46298576075702</v>
      </c>
      <c r="M19" s="29">
        <v>1</v>
      </c>
      <c r="N19" s="1">
        <v>2.0865051432908035</v>
      </c>
      <c r="O19" s="139" t="s">
        <v>84</v>
      </c>
      <c r="P19" s="165">
        <v>222.2055354296312</v>
      </c>
      <c r="Q19" s="29">
        <v>1</v>
      </c>
      <c r="R19" s="1">
        <v>2.0865051432908035</v>
      </c>
      <c r="S19" s="139" t="s">
        <v>84</v>
      </c>
      <c r="T19" s="165">
        <v>222.2055354296312</v>
      </c>
      <c r="U19" s="29">
        <v>1</v>
      </c>
      <c r="V19" s="1">
        <v>2.0865051432908035</v>
      </c>
      <c r="W19" s="139" t="s">
        <v>84</v>
      </c>
      <c r="X19" s="165">
        <v>200.46298576075702</v>
      </c>
      <c r="Y19" s="29">
        <v>1</v>
      </c>
      <c r="Z19" s="1">
        <v>2.0865051432908035</v>
      </c>
      <c r="AA19" s="139" t="s">
        <v>84</v>
      </c>
      <c r="AB19" s="165">
        <v>222.2055354296312</v>
      </c>
      <c r="AC19" s="29">
        <v>1</v>
      </c>
      <c r="AD19" s="1">
        <v>2.0865051432908035</v>
      </c>
      <c r="AE19" s="31" t="s">
        <v>84</v>
      </c>
    </row>
    <row r="20" spans="1:31" ht="12.75">
      <c r="A20" s="214">
        <v>490</v>
      </c>
      <c r="B20" s="296" t="s">
        <v>692</v>
      </c>
      <c r="C20" s="151" t="s">
        <v>525</v>
      </c>
      <c r="D20" s="152" t="s">
        <v>402</v>
      </c>
      <c r="E20" s="153" t="s">
        <v>527</v>
      </c>
      <c r="F20" s="144" t="s">
        <v>324</v>
      </c>
      <c r="G20" s="125" t="s">
        <v>402</v>
      </c>
      <c r="H20" s="164" t="s">
        <v>325</v>
      </c>
      <c r="I20" s="123" t="s">
        <v>685</v>
      </c>
      <c r="J20" s="124" t="s">
        <v>402</v>
      </c>
      <c r="K20" s="125" t="s">
        <v>677</v>
      </c>
      <c r="L20" s="165">
        <v>0.14400000000000002</v>
      </c>
      <c r="M20" s="29">
        <v>1</v>
      </c>
      <c r="N20" s="1">
        <v>1.2849840792941758</v>
      </c>
      <c r="O20" s="139" t="s">
        <v>88</v>
      </c>
      <c r="P20" s="165">
        <v>0.14400000000000002</v>
      </c>
      <c r="Q20" s="29">
        <v>1</v>
      </c>
      <c r="R20" s="1">
        <v>1.2849840792941758</v>
      </c>
      <c r="S20" s="139" t="s">
        <v>88</v>
      </c>
      <c r="T20" s="165">
        <v>3.6720000000000002</v>
      </c>
      <c r="U20" s="29">
        <v>1</v>
      </c>
      <c r="V20" s="1">
        <v>1.2849840792941758</v>
      </c>
      <c r="W20" s="139" t="s">
        <v>88</v>
      </c>
      <c r="X20" s="165">
        <v>0.82800000000000007</v>
      </c>
      <c r="Y20" s="29">
        <v>1</v>
      </c>
      <c r="Z20" s="1">
        <v>1.2849840792941758</v>
      </c>
      <c r="AA20" s="139" t="s">
        <v>88</v>
      </c>
      <c r="AB20" s="165">
        <v>0.82800000000000007</v>
      </c>
      <c r="AC20" s="29">
        <v>1</v>
      </c>
      <c r="AD20" s="1">
        <v>1.2849840792941758</v>
      </c>
      <c r="AE20" s="31" t="s">
        <v>88</v>
      </c>
    </row>
    <row r="21" spans="1:31" ht="24">
      <c r="A21" s="640" t="s">
        <v>1010</v>
      </c>
      <c r="B21" s="168" t="s">
        <v>523</v>
      </c>
      <c r="C21" s="169"/>
      <c r="D21" s="11" t="s">
        <v>402</v>
      </c>
      <c r="E21" s="170">
        <v>0</v>
      </c>
      <c r="F21" s="145" t="s">
        <v>121</v>
      </c>
      <c r="G21" s="16" t="s">
        <v>521</v>
      </c>
      <c r="H21" s="14" t="s">
        <v>402</v>
      </c>
      <c r="I21" s="14" t="s">
        <v>402</v>
      </c>
      <c r="J21" s="15">
        <v>1</v>
      </c>
      <c r="K21" s="16" t="s">
        <v>522</v>
      </c>
      <c r="L21" s="149">
        <v>1</v>
      </c>
      <c r="M21" s="29"/>
      <c r="N21" s="30"/>
      <c r="O21" s="139"/>
      <c r="P21" s="149">
        <v>0</v>
      </c>
      <c r="Q21" s="29"/>
      <c r="R21" s="30"/>
      <c r="S21" s="139"/>
      <c r="T21" s="149">
        <v>0</v>
      </c>
      <c r="U21" s="29"/>
      <c r="V21" s="30"/>
      <c r="W21" s="139"/>
      <c r="X21" s="149">
        <v>0</v>
      </c>
      <c r="Y21" s="29"/>
      <c r="Z21" s="30"/>
      <c r="AA21" s="139"/>
      <c r="AB21" s="149">
        <v>0</v>
      </c>
      <c r="AC21" s="29"/>
      <c r="AD21" s="1"/>
      <c r="AE21" s="31"/>
    </row>
    <row r="22" spans="1:31" ht="24">
      <c r="A22" s="640" t="s">
        <v>1011</v>
      </c>
      <c r="B22" s="168"/>
      <c r="C22" s="169"/>
      <c r="D22" s="11" t="s">
        <v>402</v>
      </c>
      <c r="E22" s="170">
        <v>0</v>
      </c>
      <c r="F22" s="145" t="s">
        <v>122</v>
      </c>
      <c r="G22" s="16" t="s">
        <v>521</v>
      </c>
      <c r="H22" s="14" t="s">
        <v>402</v>
      </c>
      <c r="I22" s="14" t="s">
        <v>402</v>
      </c>
      <c r="J22" s="15">
        <v>1</v>
      </c>
      <c r="K22" s="16" t="s">
        <v>522</v>
      </c>
      <c r="L22" s="149">
        <v>0</v>
      </c>
      <c r="M22" s="40"/>
      <c r="N22" s="192"/>
      <c r="O22" s="202"/>
      <c r="P22" s="149">
        <v>1</v>
      </c>
      <c r="Q22" s="40"/>
      <c r="R22" s="192"/>
      <c r="S22" s="202"/>
      <c r="T22" s="149">
        <v>0</v>
      </c>
      <c r="U22" s="40"/>
      <c r="V22" s="192"/>
      <c r="W22" s="202"/>
      <c r="X22" s="149">
        <v>0</v>
      </c>
      <c r="Y22" s="40"/>
      <c r="Z22" s="192"/>
      <c r="AA22" s="202"/>
      <c r="AB22" s="149">
        <v>0</v>
      </c>
      <c r="AC22" s="40"/>
      <c r="AD22" s="89"/>
      <c r="AE22" s="193"/>
    </row>
    <row r="23" spans="1:31">
      <c r="A23" s="640" t="s">
        <v>1012</v>
      </c>
      <c r="B23" s="168"/>
      <c r="C23" s="169"/>
      <c r="D23" s="11" t="s">
        <v>402</v>
      </c>
      <c r="E23" s="170">
        <v>0</v>
      </c>
      <c r="F23" s="145" t="s">
        <v>125</v>
      </c>
      <c r="G23" s="16" t="s">
        <v>521</v>
      </c>
      <c r="H23" s="14" t="s">
        <v>402</v>
      </c>
      <c r="I23" s="14" t="s">
        <v>402</v>
      </c>
      <c r="J23" s="15">
        <v>1</v>
      </c>
      <c r="K23" s="16" t="s">
        <v>522</v>
      </c>
      <c r="L23" s="149">
        <v>0</v>
      </c>
      <c r="M23" s="40"/>
      <c r="N23" s="192"/>
      <c r="O23" s="202"/>
      <c r="P23" s="149">
        <v>0</v>
      </c>
      <c r="Q23" s="40"/>
      <c r="R23" s="192"/>
      <c r="S23" s="202"/>
      <c r="T23" s="149">
        <v>1</v>
      </c>
      <c r="U23" s="40"/>
      <c r="V23" s="192"/>
      <c r="W23" s="202"/>
      <c r="X23" s="149">
        <v>0</v>
      </c>
      <c r="Y23" s="40"/>
      <c r="Z23" s="192"/>
      <c r="AA23" s="202"/>
      <c r="AB23" s="149">
        <v>0</v>
      </c>
      <c r="AC23" s="40"/>
      <c r="AD23" s="89"/>
      <c r="AE23" s="193"/>
    </row>
    <row r="24" spans="1:31" ht="24">
      <c r="A24" s="640" t="s">
        <v>1013</v>
      </c>
      <c r="B24" s="168"/>
      <c r="C24" s="169"/>
      <c r="D24" s="11" t="s">
        <v>402</v>
      </c>
      <c r="E24" s="170">
        <v>0</v>
      </c>
      <c r="F24" s="145" t="s">
        <v>127</v>
      </c>
      <c r="G24" s="16" t="s">
        <v>521</v>
      </c>
      <c r="H24" s="14" t="s">
        <v>402</v>
      </c>
      <c r="I24" s="14" t="s">
        <v>402</v>
      </c>
      <c r="J24" s="15">
        <v>1</v>
      </c>
      <c r="K24" s="16" t="s">
        <v>522</v>
      </c>
      <c r="L24" s="149">
        <v>0</v>
      </c>
      <c r="M24" s="40"/>
      <c r="N24" s="192"/>
      <c r="O24" s="202"/>
      <c r="P24" s="149">
        <v>0</v>
      </c>
      <c r="Q24" s="40"/>
      <c r="R24" s="192"/>
      <c r="S24" s="202"/>
      <c r="T24" s="149">
        <v>0</v>
      </c>
      <c r="U24" s="40"/>
      <c r="V24" s="192"/>
      <c r="W24" s="202"/>
      <c r="X24" s="149">
        <v>1</v>
      </c>
      <c r="Y24" s="40"/>
      <c r="Z24" s="192"/>
      <c r="AA24" s="202"/>
      <c r="AB24" s="149">
        <v>0</v>
      </c>
      <c r="AC24" s="40"/>
      <c r="AD24" s="89"/>
      <c r="AE24" s="193"/>
    </row>
    <row r="25" spans="1:31" ht="24">
      <c r="A25" s="640" t="s">
        <v>1014</v>
      </c>
      <c r="B25" s="168"/>
      <c r="C25" s="169"/>
      <c r="D25" s="11" t="s">
        <v>402</v>
      </c>
      <c r="E25" s="170">
        <v>0</v>
      </c>
      <c r="F25" s="145" t="s">
        <v>128</v>
      </c>
      <c r="G25" s="16" t="s">
        <v>521</v>
      </c>
      <c r="H25" s="14" t="s">
        <v>402</v>
      </c>
      <c r="I25" s="14" t="s">
        <v>402</v>
      </c>
      <c r="J25" s="15">
        <v>1</v>
      </c>
      <c r="K25" s="16" t="s">
        <v>522</v>
      </c>
      <c r="L25" s="149">
        <v>0</v>
      </c>
      <c r="M25" s="40"/>
      <c r="N25" s="192"/>
      <c r="O25" s="202"/>
      <c r="P25" s="149">
        <v>0</v>
      </c>
      <c r="Q25" s="40"/>
      <c r="R25" s="192"/>
      <c r="S25" s="202"/>
      <c r="T25" s="149">
        <v>0</v>
      </c>
      <c r="U25" s="40"/>
      <c r="V25" s="192"/>
      <c r="W25" s="202"/>
      <c r="X25" s="149">
        <v>0</v>
      </c>
      <c r="Y25" s="40"/>
      <c r="Z25" s="192"/>
      <c r="AA25" s="202"/>
      <c r="AB25" s="149">
        <v>1</v>
      </c>
      <c r="AC25" s="40"/>
      <c r="AD25" s="89"/>
      <c r="AE25" s="193"/>
    </row>
    <row r="29" spans="1:31">
      <c r="F29" s="7"/>
    </row>
    <row r="30" spans="1:31">
      <c r="F30" s="7"/>
    </row>
    <row r="31" spans="1:31">
      <c r="F31" s="7"/>
    </row>
    <row r="32" spans="1:31">
      <c r="F32" s="7"/>
    </row>
    <row r="33" spans="6:6">
      <c r="F33" s="7"/>
    </row>
  </sheetData>
  <pageMargins left="0.78740157499999996" right="0.78740157499999996" top="0.984251969" bottom="0.984251969" header="0.4921259845" footer="0.4921259845"/>
  <pageSetup paperSize="9" scale="8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workbookViewId="0">
      <selection activeCell="D36" sqref="D36"/>
    </sheetView>
  </sheetViews>
  <sheetFormatPr defaultRowHeight="12"/>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7">
    <pageSetUpPr fitToPage="1"/>
  </sheetPr>
  <dimension ref="A1:AE33"/>
  <sheetViews>
    <sheetView zoomScale="75" workbookViewId="0">
      <pane xSplit="11" ySplit="6" topLeftCell="L7" activePane="bottomRight" state="frozen"/>
      <selection activeCell="J46" sqref="J46"/>
      <selection pane="topRight" activeCell="J46" sqref="J46"/>
      <selection pane="bottomLeft" activeCell="J46" sqref="J46"/>
      <selection pane="bottomRight" activeCell="J46" sqref="J46"/>
    </sheetView>
  </sheetViews>
  <sheetFormatPr defaultColWidth="11.42578125" defaultRowHeight="12" outlineLevelCol="1"/>
  <cols>
    <col min="1" max="1" width="8.42578125" style="7" customWidth="1" outlineLevel="1"/>
    <col min="2" max="2" width="12.85546875" style="158" customWidth="1"/>
    <col min="3" max="3" width="3.7109375" style="159" hidden="1" customWidth="1" outlineLevel="1"/>
    <col min="4" max="4" width="3.140625" style="7" hidden="1" customWidth="1" outlineLevel="1"/>
    <col min="5" max="5" width="2.7109375" style="7" hidden="1" customWidth="1" outlineLevel="1"/>
    <col min="6" max="6" width="39.140625" style="8" customWidth="1" collapsed="1"/>
    <col min="7" max="7" width="5" style="7" customWidth="1"/>
    <col min="8" max="8" width="5.7109375" style="7" hidden="1" customWidth="1" outlineLevel="1"/>
    <col min="9" max="9" width="10.28515625" style="7" hidden="1" customWidth="1" outlineLevel="1"/>
    <col min="10" max="10" width="4.140625" style="7" bestFit="1" customWidth="1" collapsed="1"/>
    <col min="11" max="11" width="5.140625" style="7" customWidth="1"/>
    <col min="12" max="12" width="11.28515625" style="7" customWidth="1"/>
    <col min="13" max="13" width="2" style="141" hidden="1" customWidth="1" outlineLevel="1"/>
    <col min="14" max="14" width="4.28515625" style="140" hidden="1" customWidth="1" outlineLevel="1"/>
    <col min="15" max="15" width="37.85546875" style="140" hidden="1" customWidth="1" outlineLevel="1"/>
    <col min="16" max="16" width="11.28515625" style="7" customWidth="1" collapsed="1"/>
    <col min="17" max="17" width="2" style="141" hidden="1" customWidth="1" outlineLevel="1"/>
    <col min="18" max="18" width="4.28515625" style="140" hidden="1" customWidth="1" outlineLevel="1"/>
    <col min="19" max="19" width="37.85546875" style="140" hidden="1" customWidth="1" outlineLevel="1"/>
    <col min="20" max="20" width="11.28515625" style="7" customWidth="1" collapsed="1"/>
    <col min="21" max="21" width="2" style="141" hidden="1" customWidth="1" outlineLevel="1"/>
    <col min="22" max="22" width="4.28515625" style="140" hidden="1" customWidth="1" outlineLevel="1"/>
    <col min="23" max="23" width="37.85546875" style="140" hidden="1" customWidth="1" outlineLevel="1"/>
    <col min="24" max="24" width="11.28515625" style="7" customWidth="1" collapsed="1"/>
    <col min="25" max="25" width="2" style="141" hidden="1" customWidth="1" outlineLevel="1"/>
    <col min="26" max="26" width="4.28515625" style="140" hidden="1" customWidth="1" outlineLevel="1"/>
    <col min="27" max="27" width="37.85546875" style="140" hidden="1" customWidth="1" outlineLevel="1"/>
    <col min="28" max="28" width="11.28515625" style="7" customWidth="1" collapsed="1"/>
    <col min="29" max="29" width="2" style="118" customWidth="1" outlineLevel="1"/>
    <col min="30" max="30" width="5.140625" style="32" customWidth="1" outlineLevel="1"/>
    <col min="31" max="31" width="39.140625" style="33" customWidth="1" outlineLevel="1"/>
    <col min="32" max="16384" width="11.42578125" style="7"/>
  </cols>
  <sheetData>
    <row r="1" spans="1:31">
      <c r="A1" s="36"/>
      <c r="B1" s="34"/>
      <c r="C1" s="35"/>
      <c r="D1" s="36"/>
      <c r="E1" s="36"/>
      <c r="F1" s="37" t="s">
        <v>510</v>
      </c>
      <c r="G1" s="36"/>
      <c r="H1" s="36"/>
      <c r="I1" s="36"/>
      <c r="J1" s="36"/>
      <c r="K1" s="36"/>
      <c r="L1" s="189" t="s">
        <v>1020</v>
      </c>
      <c r="M1" s="21"/>
      <c r="N1" s="22"/>
      <c r="O1" s="22"/>
      <c r="P1" s="189" t="s">
        <v>1021</v>
      </c>
      <c r="Q1" s="21"/>
      <c r="R1" s="22"/>
      <c r="S1" s="22"/>
      <c r="T1" s="189" t="s">
        <v>1022</v>
      </c>
      <c r="U1" s="21"/>
      <c r="V1" s="22"/>
      <c r="W1" s="22"/>
      <c r="X1" s="189" t="s">
        <v>1023</v>
      </c>
      <c r="Y1" s="21"/>
      <c r="Z1" s="22"/>
      <c r="AA1" s="22"/>
      <c r="AB1" s="189" t="s">
        <v>1024</v>
      </c>
      <c r="AC1" s="21"/>
      <c r="AD1" s="22"/>
      <c r="AE1" s="22"/>
    </row>
    <row r="2" spans="1:31">
      <c r="A2" s="36"/>
      <c r="B2" s="147"/>
      <c r="C2" s="35" t="s">
        <v>511</v>
      </c>
      <c r="D2" s="147">
        <v>3503</v>
      </c>
      <c r="E2" s="147">
        <v>3504</v>
      </c>
      <c r="F2" s="147">
        <v>3702</v>
      </c>
      <c r="G2" s="147">
        <v>3703</v>
      </c>
      <c r="H2" s="147">
        <v>3506</v>
      </c>
      <c r="I2" s="147">
        <v>3507</v>
      </c>
      <c r="J2" s="147">
        <v>3508</v>
      </c>
      <c r="K2" s="147">
        <v>3706</v>
      </c>
      <c r="L2" s="147">
        <v>3707</v>
      </c>
      <c r="M2" s="133">
        <v>3708</v>
      </c>
      <c r="N2" s="133">
        <v>3709</v>
      </c>
      <c r="O2" s="134">
        <v>3792</v>
      </c>
      <c r="P2" s="147">
        <v>3707</v>
      </c>
      <c r="Q2" s="133">
        <v>3708</v>
      </c>
      <c r="R2" s="133">
        <v>3709</v>
      </c>
      <c r="S2" s="134">
        <v>3792</v>
      </c>
      <c r="T2" s="147">
        <v>3707</v>
      </c>
      <c r="U2" s="133">
        <v>3708</v>
      </c>
      <c r="V2" s="133">
        <v>3709</v>
      </c>
      <c r="W2" s="134">
        <v>3792</v>
      </c>
      <c r="X2" s="147">
        <v>3707</v>
      </c>
      <c r="Y2" s="133">
        <v>3708</v>
      </c>
      <c r="Z2" s="133">
        <v>3709</v>
      </c>
      <c r="AA2" s="134">
        <v>3792</v>
      </c>
      <c r="AB2" s="147">
        <v>3707</v>
      </c>
      <c r="AC2" s="23">
        <v>3708</v>
      </c>
      <c r="AD2" s="23">
        <v>3709</v>
      </c>
      <c r="AE2" s="24">
        <v>3792</v>
      </c>
    </row>
    <row r="3" spans="1:31" ht="104.25" customHeight="1">
      <c r="A3" s="36" t="s">
        <v>398</v>
      </c>
      <c r="B3" s="166"/>
      <c r="C3" s="35">
        <v>401</v>
      </c>
      <c r="D3" s="167" t="s">
        <v>514</v>
      </c>
      <c r="E3" s="167" t="s">
        <v>515</v>
      </c>
      <c r="F3" s="132" t="s">
        <v>516</v>
      </c>
      <c r="G3" s="41" t="s">
        <v>517</v>
      </c>
      <c r="H3" s="41" t="s">
        <v>518</v>
      </c>
      <c r="I3" s="41" t="s">
        <v>519</v>
      </c>
      <c r="J3" s="41" t="s">
        <v>520</v>
      </c>
      <c r="K3" s="41" t="s">
        <v>394</v>
      </c>
      <c r="L3" s="178" t="s">
        <v>121</v>
      </c>
      <c r="M3" s="135" t="s">
        <v>265</v>
      </c>
      <c r="N3" s="135" t="s">
        <v>266</v>
      </c>
      <c r="O3" s="136" t="s">
        <v>548</v>
      </c>
      <c r="P3" s="178" t="s">
        <v>122</v>
      </c>
      <c r="Q3" s="135" t="s">
        <v>265</v>
      </c>
      <c r="R3" s="135" t="s">
        <v>266</v>
      </c>
      <c r="S3" s="136" t="s">
        <v>548</v>
      </c>
      <c r="T3" s="178" t="s">
        <v>125</v>
      </c>
      <c r="U3" s="135" t="s">
        <v>265</v>
      </c>
      <c r="V3" s="135" t="s">
        <v>266</v>
      </c>
      <c r="W3" s="136" t="s">
        <v>548</v>
      </c>
      <c r="X3" s="178" t="s">
        <v>127</v>
      </c>
      <c r="Y3" s="135" t="s">
        <v>265</v>
      </c>
      <c r="Z3" s="135" t="s">
        <v>266</v>
      </c>
      <c r="AA3" s="136" t="s">
        <v>548</v>
      </c>
      <c r="AB3" s="178" t="s">
        <v>128</v>
      </c>
      <c r="AC3" s="25" t="s">
        <v>265</v>
      </c>
      <c r="AD3" s="25" t="s">
        <v>266</v>
      </c>
      <c r="AE3" s="128" t="s">
        <v>548</v>
      </c>
    </row>
    <row r="4" spans="1:31" ht="13.5" customHeight="1">
      <c r="A4" s="36"/>
      <c r="B4" s="166"/>
      <c r="C4" s="35">
        <v>662</v>
      </c>
      <c r="D4" s="9"/>
      <c r="E4" s="9"/>
      <c r="F4" s="132" t="s">
        <v>517</v>
      </c>
      <c r="G4" s="132"/>
      <c r="H4" s="132"/>
      <c r="I4" s="132"/>
      <c r="J4" s="132"/>
      <c r="K4" s="132"/>
      <c r="L4" s="178" t="s">
        <v>465</v>
      </c>
      <c r="M4" s="137">
        <v>0</v>
      </c>
      <c r="N4" s="137">
        <v>0</v>
      </c>
      <c r="O4" s="138">
        <v>0</v>
      </c>
      <c r="P4" s="178" t="s">
        <v>465</v>
      </c>
      <c r="Q4" s="137">
        <v>0</v>
      </c>
      <c r="R4" s="137">
        <v>0</v>
      </c>
      <c r="S4" s="138">
        <v>0</v>
      </c>
      <c r="T4" s="178" t="s">
        <v>465</v>
      </c>
      <c r="U4" s="137">
        <v>0</v>
      </c>
      <c r="V4" s="137">
        <v>0</v>
      </c>
      <c r="W4" s="138">
        <v>0</v>
      </c>
      <c r="X4" s="178" t="s">
        <v>465</v>
      </c>
      <c r="Y4" s="137">
        <v>0</v>
      </c>
      <c r="Z4" s="137">
        <v>0</v>
      </c>
      <c r="AA4" s="138">
        <v>0</v>
      </c>
      <c r="AB4" s="178" t="s">
        <v>465</v>
      </c>
      <c r="AC4" s="129"/>
      <c r="AD4" s="129"/>
      <c r="AE4" s="130"/>
    </row>
    <row r="5" spans="1:31">
      <c r="A5" s="36"/>
      <c r="B5" s="166"/>
      <c r="C5" s="35">
        <v>493</v>
      </c>
      <c r="D5" s="9"/>
      <c r="E5" s="9"/>
      <c r="F5" s="132" t="s">
        <v>520</v>
      </c>
      <c r="G5" s="132"/>
      <c r="H5" s="132"/>
      <c r="I5" s="132"/>
      <c r="J5" s="132"/>
      <c r="K5" s="132"/>
      <c r="L5" s="178">
        <v>1</v>
      </c>
      <c r="M5" s="137">
        <v>0</v>
      </c>
      <c r="N5" s="137">
        <v>0</v>
      </c>
      <c r="O5" s="138">
        <v>0</v>
      </c>
      <c r="P5" s="178">
        <v>1</v>
      </c>
      <c r="Q5" s="137">
        <v>0</v>
      </c>
      <c r="R5" s="137">
        <v>0</v>
      </c>
      <c r="S5" s="138">
        <v>0</v>
      </c>
      <c r="T5" s="178">
        <v>1</v>
      </c>
      <c r="U5" s="137">
        <v>0</v>
      </c>
      <c r="V5" s="137">
        <v>0</v>
      </c>
      <c r="W5" s="138">
        <v>0</v>
      </c>
      <c r="X5" s="178">
        <v>1</v>
      </c>
      <c r="Y5" s="137">
        <v>0</v>
      </c>
      <c r="Z5" s="137">
        <v>0</v>
      </c>
      <c r="AA5" s="138">
        <v>0</v>
      </c>
      <c r="AB5" s="178">
        <v>1</v>
      </c>
      <c r="AC5" s="129"/>
      <c r="AD5" s="129"/>
      <c r="AE5" s="130"/>
    </row>
    <row r="6" spans="1:31">
      <c r="A6" s="36"/>
      <c r="B6" s="166"/>
      <c r="C6" s="35">
        <v>403</v>
      </c>
      <c r="D6" s="9"/>
      <c r="E6" s="9"/>
      <c r="F6" s="132" t="s">
        <v>394</v>
      </c>
      <c r="G6" s="352"/>
      <c r="H6" s="132"/>
      <c r="I6" s="132"/>
      <c r="J6" s="132"/>
      <c r="K6" s="132"/>
      <c r="L6" s="178" t="s">
        <v>522</v>
      </c>
      <c r="M6" s="137">
        <v>0</v>
      </c>
      <c r="N6" s="137">
        <v>0</v>
      </c>
      <c r="O6" s="138">
        <v>0</v>
      </c>
      <c r="P6" s="178" t="s">
        <v>522</v>
      </c>
      <c r="Q6" s="137">
        <v>0</v>
      </c>
      <c r="R6" s="137">
        <v>0</v>
      </c>
      <c r="S6" s="138">
        <v>0</v>
      </c>
      <c r="T6" s="178" t="s">
        <v>522</v>
      </c>
      <c r="U6" s="137">
        <v>0</v>
      </c>
      <c r="V6" s="137">
        <v>0</v>
      </c>
      <c r="W6" s="138">
        <v>0</v>
      </c>
      <c r="X6" s="178" t="s">
        <v>522</v>
      </c>
      <c r="Y6" s="137">
        <v>0</v>
      </c>
      <c r="Z6" s="137">
        <v>0</v>
      </c>
      <c r="AA6" s="138">
        <v>0</v>
      </c>
      <c r="AB6" s="178" t="s">
        <v>522</v>
      </c>
      <c r="AC6" s="129"/>
      <c r="AD6" s="129"/>
      <c r="AE6" s="130"/>
    </row>
    <row r="7" spans="1:31" ht="24">
      <c r="A7" s="2" t="s">
        <v>1051</v>
      </c>
      <c r="B7" s="163" t="s">
        <v>524</v>
      </c>
      <c r="C7" s="151" t="s">
        <v>525</v>
      </c>
      <c r="D7" s="152" t="s">
        <v>526</v>
      </c>
      <c r="E7" s="153" t="s">
        <v>402</v>
      </c>
      <c r="F7" s="144" t="s">
        <v>70</v>
      </c>
      <c r="G7" s="125" t="s">
        <v>465</v>
      </c>
      <c r="H7" s="164" t="s">
        <v>402</v>
      </c>
      <c r="I7" s="123" t="s">
        <v>402</v>
      </c>
      <c r="J7" s="124">
        <v>0</v>
      </c>
      <c r="K7" s="125" t="s">
        <v>678</v>
      </c>
      <c r="L7" s="165">
        <v>0.04</v>
      </c>
      <c r="M7" s="29">
        <v>1</v>
      </c>
      <c r="N7" s="1">
        <v>1.2849840792941758</v>
      </c>
      <c r="O7" s="139" t="s">
        <v>71</v>
      </c>
      <c r="P7" s="165">
        <v>0.04</v>
      </c>
      <c r="Q7" s="29">
        <v>1</v>
      </c>
      <c r="R7" s="1">
        <v>1.2849840792941758</v>
      </c>
      <c r="S7" s="139" t="s">
        <v>71</v>
      </c>
      <c r="T7" s="165">
        <v>1.02</v>
      </c>
      <c r="U7" s="29">
        <v>1</v>
      </c>
      <c r="V7" s="1">
        <v>1.2849840792941758</v>
      </c>
      <c r="W7" s="139" t="s">
        <v>71</v>
      </c>
      <c r="X7" s="165">
        <v>0.23</v>
      </c>
      <c r="Y7" s="29">
        <v>1</v>
      </c>
      <c r="Z7" s="1">
        <v>1.2849840792941758</v>
      </c>
      <c r="AA7" s="139" t="s">
        <v>71</v>
      </c>
      <c r="AB7" s="165">
        <v>0.23</v>
      </c>
      <c r="AC7" s="29">
        <v>1</v>
      </c>
      <c r="AD7" s="1">
        <v>1.2849840792941758</v>
      </c>
      <c r="AE7" s="31" t="s">
        <v>71</v>
      </c>
    </row>
    <row r="8" spans="1:31" ht="12.75">
      <c r="A8" s="156">
        <v>4804</v>
      </c>
      <c r="B8" s="163" t="s">
        <v>525</v>
      </c>
      <c r="C8" s="151" t="s">
        <v>525</v>
      </c>
      <c r="D8" s="152" t="s">
        <v>526</v>
      </c>
      <c r="E8" s="153" t="s">
        <v>402</v>
      </c>
      <c r="F8" s="144" t="s">
        <v>72</v>
      </c>
      <c r="G8" s="125" t="s">
        <v>521</v>
      </c>
      <c r="H8" s="164" t="s">
        <v>402</v>
      </c>
      <c r="I8" s="123" t="s">
        <v>402</v>
      </c>
      <c r="J8" s="124">
        <v>1</v>
      </c>
      <c r="K8" s="125" t="s">
        <v>522</v>
      </c>
      <c r="L8" s="165">
        <v>2.4</v>
      </c>
      <c r="M8" s="29">
        <v>1</v>
      </c>
      <c r="N8" s="1">
        <v>1.2354522921220721</v>
      </c>
      <c r="O8" s="139" t="s">
        <v>73</v>
      </c>
      <c r="P8" s="165">
        <v>2.4</v>
      </c>
      <c r="Q8" s="29">
        <v>1</v>
      </c>
      <c r="R8" s="1">
        <v>1.2354522921220721</v>
      </c>
      <c r="S8" s="139" t="s">
        <v>73</v>
      </c>
      <c r="T8" s="165">
        <v>2.4</v>
      </c>
      <c r="U8" s="29">
        <v>1</v>
      </c>
      <c r="V8" s="1">
        <v>1.2354522921220721</v>
      </c>
      <c r="W8" s="139" t="s">
        <v>73</v>
      </c>
      <c r="X8" s="165">
        <v>2.4</v>
      </c>
      <c r="Y8" s="29">
        <v>1</v>
      </c>
      <c r="Z8" s="1">
        <v>1.2354522921220721</v>
      </c>
      <c r="AA8" s="139" t="s">
        <v>73</v>
      </c>
      <c r="AB8" s="165">
        <v>2.4</v>
      </c>
      <c r="AC8" s="29">
        <v>1</v>
      </c>
      <c r="AD8" s="1">
        <v>1.2354522921220721</v>
      </c>
      <c r="AE8" s="31" t="s">
        <v>73</v>
      </c>
    </row>
    <row r="9" spans="1:31" ht="12.75">
      <c r="A9" s="156">
        <v>1484</v>
      </c>
      <c r="B9" s="163"/>
      <c r="C9" s="151" t="s">
        <v>525</v>
      </c>
      <c r="D9" s="152" t="s">
        <v>526</v>
      </c>
      <c r="E9" s="153" t="s">
        <v>402</v>
      </c>
      <c r="F9" s="144" t="s">
        <v>74</v>
      </c>
      <c r="G9" s="125" t="s">
        <v>393</v>
      </c>
      <c r="H9" s="164" t="s">
        <v>402</v>
      </c>
      <c r="I9" s="123" t="s">
        <v>402</v>
      </c>
      <c r="J9" s="124">
        <v>1</v>
      </c>
      <c r="K9" s="125" t="s">
        <v>522</v>
      </c>
      <c r="L9" s="165">
        <v>1</v>
      </c>
      <c r="M9" s="29">
        <v>1</v>
      </c>
      <c r="N9" s="1">
        <v>2.0865051432908035</v>
      </c>
      <c r="O9" s="139" t="s">
        <v>75</v>
      </c>
      <c r="P9" s="165">
        <v>1</v>
      </c>
      <c r="Q9" s="29">
        <v>1</v>
      </c>
      <c r="R9" s="1">
        <v>2.0865051432908035</v>
      </c>
      <c r="S9" s="139" t="s">
        <v>75</v>
      </c>
      <c r="T9" s="165">
        <v>1</v>
      </c>
      <c r="U9" s="29">
        <v>1</v>
      </c>
      <c r="V9" s="1">
        <v>2.0865051432908035</v>
      </c>
      <c r="W9" s="139" t="s">
        <v>75</v>
      </c>
      <c r="X9" s="165">
        <v>1</v>
      </c>
      <c r="Y9" s="29">
        <v>1</v>
      </c>
      <c r="Z9" s="1">
        <v>2.0865051432908035</v>
      </c>
      <c r="AA9" s="139" t="s">
        <v>75</v>
      </c>
      <c r="AB9" s="165">
        <v>1</v>
      </c>
      <c r="AC9" s="29">
        <v>1</v>
      </c>
      <c r="AD9" s="1">
        <v>2.0865051432908035</v>
      </c>
      <c r="AE9" s="31" t="s">
        <v>75</v>
      </c>
    </row>
    <row r="10" spans="1:31" ht="12.75">
      <c r="A10" s="156">
        <v>1489</v>
      </c>
      <c r="B10" s="163" t="s">
        <v>525</v>
      </c>
      <c r="C10" s="151" t="s">
        <v>525</v>
      </c>
      <c r="D10" s="152" t="s">
        <v>526</v>
      </c>
      <c r="E10" s="153" t="s">
        <v>402</v>
      </c>
      <c r="F10" s="144" t="s">
        <v>52</v>
      </c>
      <c r="G10" s="125" t="s">
        <v>521</v>
      </c>
      <c r="H10" s="164" t="s">
        <v>402</v>
      </c>
      <c r="I10" s="123" t="s">
        <v>402</v>
      </c>
      <c r="J10" s="124">
        <v>1</v>
      </c>
      <c r="K10" s="125" t="s">
        <v>396</v>
      </c>
      <c r="L10" s="165">
        <v>0</v>
      </c>
      <c r="M10" s="29">
        <v>1</v>
      </c>
      <c r="N10" s="1">
        <v>1.2284225230179247</v>
      </c>
      <c r="O10" s="139" t="s">
        <v>76</v>
      </c>
      <c r="P10" s="165">
        <v>19.867549668874172</v>
      </c>
      <c r="Q10" s="29">
        <v>1</v>
      </c>
      <c r="R10" s="1">
        <v>1.2284225230179247</v>
      </c>
      <c r="S10" s="139" t="s">
        <v>76</v>
      </c>
      <c r="T10" s="165">
        <v>0</v>
      </c>
      <c r="U10" s="29">
        <v>1</v>
      </c>
      <c r="V10" s="1">
        <v>1.2284225230179247</v>
      </c>
      <c r="W10" s="139" t="s">
        <v>76</v>
      </c>
      <c r="X10" s="165">
        <v>0</v>
      </c>
      <c r="Y10" s="29">
        <v>1</v>
      </c>
      <c r="Z10" s="1">
        <v>1.2284225230179247</v>
      </c>
      <c r="AA10" s="139" t="s">
        <v>76</v>
      </c>
      <c r="AB10" s="165">
        <v>0</v>
      </c>
      <c r="AC10" s="29">
        <v>1</v>
      </c>
      <c r="AD10" s="1">
        <v>1.2284225230179247</v>
      </c>
      <c r="AE10" s="31" t="s">
        <v>76</v>
      </c>
    </row>
    <row r="11" spans="1:31" ht="12.75">
      <c r="A11" s="156">
        <v>1490</v>
      </c>
      <c r="B11" s="163" t="s">
        <v>525</v>
      </c>
      <c r="C11" s="151" t="s">
        <v>525</v>
      </c>
      <c r="D11" s="152" t="s">
        <v>526</v>
      </c>
      <c r="E11" s="153" t="s">
        <v>402</v>
      </c>
      <c r="F11" s="144" t="s">
        <v>53</v>
      </c>
      <c r="G11" s="125" t="s">
        <v>521</v>
      </c>
      <c r="H11" s="164" t="s">
        <v>402</v>
      </c>
      <c r="I11" s="123" t="s">
        <v>402</v>
      </c>
      <c r="J11" s="124">
        <v>1</v>
      </c>
      <c r="K11" s="125" t="s">
        <v>396</v>
      </c>
      <c r="L11" s="165">
        <v>19.867549668874172</v>
      </c>
      <c r="M11" s="29">
        <v>1</v>
      </c>
      <c r="N11" s="1">
        <v>1.2284225230179247</v>
      </c>
      <c r="O11" s="139" t="s">
        <v>76</v>
      </c>
      <c r="P11" s="165">
        <v>0</v>
      </c>
      <c r="Q11" s="29">
        <v>1</v>
      </c>
      <c r="R11" s="1">
        <v>1.2284225230179247</v>
      </c>
      <c r="S11" s="139" t="s">
        <v>76</v>
      </c>
      <c r="T11" s="165">
        <v>0</v>
      </c>
      <c r="U11" s="29">
        <v>1</v>
      </c>
      <c r="V11" s="1">
        <v>1.2284225230179247</v>
      </c>
      <c r="W11" s="139" t="s">
        <v>76</v>
      </c>
      <c r="X11" s="165">
        <v>0</v>
      </c>
      <c r="Y11" s="29">
        <v>1</v>
      </c>
      <c r="Z11" s="1">
        <v>1.2284225230179247</v>
      </c>
      <c r="AA11" s="139" t="s">
        <v>76</v>
      </c>
      <c r="AB11" s="165">
        <v>0</v>
      </c>
      <c r="AC11" s="29">
        <v>1</v>
      </c>
      <c r="AD11" s="1">
        <v>1.2284225230179247</v>
      </c>
      <c r="AE11" s="31" t="s">
        <v>76</v>
      </c>
    </row>
    <row r="12" spans="1:31" ht="12.75">
      <c r="A12" s="156">
        <v>1491</v>
      </c>
      <c r="B12" s="163" t="s">
        <v>525</v>
      </c>
      <c r="C12" s="151" t="s">
        <v>525</v>
      </c>
      <c r="D12" s="152" t="s">
        <v>526</v>
      </c>
      <c r="E12" s="153" t="s">
        <v>402</v>
      </c>
      <c r="F12" s="144" t="s">
        <v>663</v>
      </c>
      <c r="G12" s="125" t="s">
        <v>521</v>
      </c>
      <c r="H12" s="164" t="s">
        <v>402</v>
      </c>
      <c r="I12" s="123" t="s">
        <v>402</v>
      </c>
      <c r="J12" s="124">
        <v>1</v>
      </c>
      <c r="K12" s="125" t="s">
        <v>396</v>
      </c>
      <c r="L12" s="165">
        <v>0</v>
      </c>
      <c r="M12" s="29">
        <v>1</v>
      </c>
      <c r="N12" s="1">
        <v>1.2284225230179247</v>
      </c>
      <c r="O12" s="139" t="s">
        <v>76</v>
      </c>
      <c r="P12" s="165">
        <v>0</v>
      </c>
      <c r="Q12" s="29">
        <v>1</v>
      </c>
      <c r="R12" s="1">
        <v>1.2284225230179247</v>
      </c>
      <c r="S12" s="139" t="s">
        <v>76</v>
      </c>
      <c r="T12" s="165">
        <v>19.867549668874172</v>
      </c>
      <c r="U12" s="29">
        <v>1</v>
      </c>
      <c r="V12" s="1">
        <v>1.2284225230179247</v>
      </c>
      <c r="W12" s="139" t="s">
        <v>76</v>
      </c>
      <c r="X12" s="165">
        <v>0</v>
      </c>
      <c r="Y12" s="29">
        <v>1</v>
      </c>
      <c r="Z12" s="1">
        <v>1.2284225230179247</v>
      </c>
      <c r="AA12" s="139" t="s">
        <v>76</v>
      </c>
      <c r="AB12" s="165">
        <v>0</v>
      </c>
      <c r="AC12" s="29">
        <v>1</v>
      </c>
      <c r="AD12" s="1">
        <v>1.2284225230179247</v>
      </c>
      <c r="AE12" s="31" t="s">
        <v>76</v>
      </c>
    </row>
    <row r="13" spans="1:31" ht="12.75">
      <c r="A13" s="156">
        <v>1645</v>
      </c>
      <c r="B13" s="163" t="s">
        <v>525</v>
      </c>
      <c r="C13" s="151" t="s">
        <v>525</v>
      </c>
      <c r="D13" s="152" t="s">
        <v>526</v>
      </c>
      <c r="E13" s="153" t="s">
        <v>402</v>
      </c>
      <c r="F13" s="144" t="s">
        <v>664</v>
      </c>
      <c r="G13" s="125" t="s">
        <v>521</v>
      </c>
      <c r="H13" s="164" t="s">
        <v>402</v>
      </c>
      <c r="I13" s="123" t="s">
        <v>402</v>
      </c>
      <c r="J13" s="124">
        <v>1</v>
      </c>
      <c r="K13" s="125" t="s">
        <v>396</v>
      </c>
      <c r="L13" s="165">
        <v>0</v>
      </c>
      <c r="M13" s="29">
        <v>1</v>
      </c>
      <c r="N13" s="1">
        <v>1.2284225230179247</v>
      </c>
      <c r="O13" s="139" t="s">
        <v>76</v>
      </c>
      <c r="P13" s="165">
        <v>0</v>
      </c>
      <c r="Q13" s="29">
        <v>1</v>
      </c>
      <c r="R13" s="1">
        <v>1.2284225230179247</v>
      </c>
      <c r="S13" s="139" t="s">
        <v>76</v>
      </c>
      <c r="T13" s="165">
        <v>0</v>
      </c>
      <c r="U13" s="29">
        <v>1</v>
      </c>
      <c r="V13" s="1">
        <v>1.2284225230179247</v>
      </c>
      <c r="W13" s="139" t="s">
        <v>76</v>
      </c>
      <c r="X13" s="165">
        <v>0</v>
      </c>
      <c r="Y13" s="29">
        <v>1</v>
      </c>
      <c r="Z13" s="1">
        <v>1.2284225230179247</v>
      </c>
      <c r="AA13" s="139" t="s">
        <v>76</v>
      </c>
      <c r="AB13" s="165">
        <v>19.867549668874172</v>
      </c>
      <c r="AC13" s="29">
        <v>1</v>
      </c>
      <c r="AD13" s="1">
        <v>1.2284225230179247</v>
      </c>
      <c r="AE13" s="31" t="s">
        <v>76</v>
      </c>
    </row>
    <row r="14" spans="1:31" ht="12.75">
      <c r="A14" s="156">
        <v>1646</v>
      </c>
      <c r="B14" s="163" t="s">
        <v>525</v>
      </c>
      <c r="C14" s="151" t="s">
        <v>525</v>
      </c>
      <c r="D14" s="152" t="s">
        <v>526</v>
      </c>
      <c r="E14" s="153" t="s">
        <v>402</v>
      </c>
      <c r="F14" s="144" t="s">
        <v>665</v>
      </c>
      <c r="G14" s="125" t="s">
        <v>521</v>
      </c>
      <c r="H14" s="164" t="s">
        <v>402</v>
      </c>
      <c r="I14" s="123" t="s">
        <v>402</v>
      </c>
      <c r="J14" s="124">
        <v>1</v>
      </c>
      <c r="K14" s="125" t="s">
        <v>396</v>
      </c>
      <c r="L14" s="165">
        <v>0</v>
      </c>
      <c r="M14" s="29">
        <v>1</v>
      </c>
      <c r="N14" s="1">
        <v>1.2284225230179247</v>
      </c>
      <c r="O14" s="139" t="s">
        <v>76</v>
      </c>
      <c r="P14" s="165">
        <v>0</v>
      </c>
      <c r="Q14" s="29">
        <v>1</v>
      </c>
      <c r="R14" s="1">
        <v>1.2284225230179247</v>
      </c>
      <c r="S14" s="139" t="s">
        <v>76</v>
      </c>
      <c r="T14" s="165">
        <v>0</v>
      </c>
      <c r="U14" s="29">
        <v>1</v>
      </c>
      <c r="V14" s="1">
        <v>1.2284225230179247</v>
      </c>
      <c r="W14" s="139" t="s">
        <v>76</v>
      </c>
      <c r="X14" s="165">
        <v>19.867549668874172</v>
      </c>
      <c r="Y14" s="29">
        <v>1</v>
      </c>
      <c r="Z14" s="1">
        <v>1.2284225230179247</v>
      </c>
      <c r="AA14" s="139" t="s">
        <v>76</v>
      </c>
      <c r="AB14" s="165">
        <v>0</v>
      </c>
      <c r="AC14" s="29">
        <v>1</v>
      </c>
      <c r="AD14" s="1">
        <v>1.2284225230179247</v>
      </c>
      <c r="AE14" s="31" t="s">
        <v>76</v>
      </c>
    </row>
    <row r="15" spans="1:31" ht="24">
      <c r="A15" s="157" t="s">
        <v>1060</v>
      </c>
      <c r="B15" s="163" t="s">
        <v>525</v>
      </c>
      <c r="C15" s="151" t="s">
        <v>525</v>
      </c>
      <c r="D15" s="152" t="s">
        <v>526</v>
      </c>
      <c r="E15" s="153" t="s">
        <v>402</v>
      </c>
      <c r="F15" s="144" t="s">
        <v>1327</v>
      </c>
      <c r="G15" s="125" t="s">
        <v>465</v>
      </c>
      <c r="H15" s="164" t="s">
        <v>402</v>
      </c>
      <c r="I15" s="123" t="s">
        <v>402</v>
      </c>
      <c r="J15" s="124">
        <v>1</v>
      </c>
      <c r="K15" s="125" t="s">
        <v>396</v>
      </c>
      <c r="L15" s="165">
        <v>20.463576158940398</v>
      </c>
      <c r="M15" s="29">
        <v>1</v>
      </c>
      <c r="N15" s="1">
        <v>1.3582005896413567</v>
      </c>
      <c r="O15" s="139" t="s">
        <v>78</v>
      </c>
      <c r="P15" s="165">
        <v>0</v>
      </c>
      <c r="Q15" s="29">
        <v>1</v>
      </c>
      <c r="R15" s="1">
        <v>1.3582005896413567</v>
      </c>
      <c r="S15" s="139" t="s">
        <v>78</v>
      </c>
      <c r="T15" s="165">
        <v>0</v>
      </c>
      <c r="U15" s="29">
        <v>1</v>
      </c>
      <c r="V15" s="1">
        <v>1.3582005896413567</v>
      </c>
      <c r="W15" s="139" t="s">
        <v>78</v>
      </c>
      <c r="X15" s="165">
        <v>20.463576158940398</v>
      </c>
      <c r="Y15" s="29">
        <v>1</v>
      </c>
      <c r="Z15" s="1">
        <v>1.3582005896413567</v>
      </c>
      <c r="AA15" s="139" t="s">
        <v>78</v>
      </c>
      <c r="AB15" s="165">
        <v>0</v>
      </c>
      <c r="AC15" s="29">
        <v>1</v>
      </c>
      <c r="AD15" s="1">
        <v>1.3582005896413567</v>
      </c>
      <c r="AE15" s="31" t="s">
        <v>78</v>
      </c>
    </row>
    <row r="16" spans="1:31" ht="24">
      <c r="A16" s="157" t="s">
        <v>1062</v>
      </c>
      <c r="B16" s="163" t="s">
        <v>525</v>
      </c>
      <c r="C16" s="151" t="s">
        <v>525</v>
      </c>
      <c r="D16" s="152" t="s">
        <v>526</v>
      </c>
      <c r="E16" s="153" t="s">
        <v>402</v>
      </c>
      <c r="F16" s="144" t="s">
        <v>1329</v>
      </c>
      <c r="G16" s="125" t="s">
        <v>465</v>
      </c>
      <c r="H16" s="164" t="s">
        <v>402</v>
      </c>
      <c r="I16" s="123" t="s">
        <v>402</v>
      </c>
      <c r="J16" s="124">
        <v>1</v>
      </c>
      <c r="K16" s="125" t="s">
        <v>396</v>
      </c>
      <c r="L16" s="165">
        <v>0</v>
      </c>
      <c r="M16" s="29">
        <v>1</v>
      </c>
      <c r="N16" s="1">
        <v>1.3582005896413567</v>
      </c>
      <c r="O16" s="139" t="s">
        <v>78</v>
      </c>
      <c r="P16" s="165">
        <v>20.463576158940398</v>
      </c>
      <c r="Q16" s="29">
        <v>1</v>
      </c>
      <c r="R16" s="1">
        <v>1.3582005896413567</v>
      </c>
      <c r="S16" s="139" t="s">
        <v>78</v>
      </c>
      <c r="T16" s="165">
        <v>20.463576158940398</v>
      </c>
      <c r="U16" s="29">
        <v>1</v>
      </c>
      <c r="V16" s="1">
        <v>1.3582005896413567</v>
      </c>
      <c r="W16" s="139" t="s">
        <v>78</v>
      </c>
      <c r="X16" s="165">
        <v>0</v>
      </c>
      <c r="Y16" s="29">
        <v>1</v>
      </c>
      <c r="Z16" s="1">
        <v>1.3582005896413567</v>
      </c>
      <c r="AA16" s="139" t="s">
        <v>78</v>
      </c>
      <c r="AB16" s="165">
        <v>20.463576158940398</v>
      </c>
      <c r="AC16" s="29">
        <v>1</v>
      </c>
      <c r="AD16" s="1">
        <v>1.3582005896413567</v>
      </c>
      <c r="AE16" s="31" t="s">
        <v>78</v>
      </c>
    </row>
    <row r="17" spans="1:31" ht="12.75">
      <c r="A17" s="157">
        <v>1802</v>
      </c>
      <c r="B17" s="163" t="s">
        <v>525</v>
      </c>
      <c r="C17" s="151" t="s">
        <v>525</v>
      </c>
      <c r="D17" s="152" t="s">
        <v>526</v>
      </c>
      <c r="E17" s="153" t="s">
        <v>402</v>
      </c>
      <c r="F17" s="144" t="s">
        <v>80</v>
      </c>
      <c r="G17" s="125" t="s">
        <v>393</v>
      </c>
      <c r="H17" s="164" t="s">
        <v>402</v>
      </c>
      <c r="I17" s="123" t="s">
        <v>402</v>
      </c>
      <c r="J17" s="124">
        <v>0</v>
      </c>
      <c r="K17" s="125" t="s">
        <v>81</v>
      </c>
      <c r="L17" s="165">
        <v>0</v>
      </c>
      <c r="M17" s="29">
        <v>1</v>
      </c>
      <c r="N17" s="1">
        <v>2.0865051432908035</v>
      </c>
      <c r="O17" s="139" t="s">
        <v>82</v>
      </c>
      <c r="P17" s="165">
        <v>0</v>
      </c>
      <c r="Q17" s="29">
        <v>1</v>
      </c>
      <c r="R17" s="1">
        <v>2.0865051432908035</v>
      </c>
      <c r="S17" s="139" t="s">
        <v>82</v>
      </c>
      <c r="T17" s="165">
        <v>80</v>
      </c>
      <c r="U17" s="29">
        <v>1</v>
      </c>
      <c r="V17" s="1">
        <v>2.0865051432908035</v>
      </c>
      <c r="W17" s="139" t="s">
        <v>82</v>
      </c>
      <c r="X17" s="165">
        <v>0</v>
      </c>
      <c r="Y17" s="29">
        <v>1</v>
      </c>
      <c r="Z17" s="1">
        <v>2.0865051432908035</v>
      </c>
      <c r="AA17" s="139" t="s">
        <v>82</v>
      </c>
      <c r="AB17" s="165">
        <v>0</v>
      </c>
      <c r="AC17" s="29">
        <v>1</v>
      </c>
      <c r="AD17" s="1">
        <v>2.0865051432908035</v>
      </c>
      <c r="AE17" s="31" t="s">
        <v>82</v>
      </c>
    </row>
    <row r="18" spans="1:31" ht="24">
      <c r="A18" s="157">
        <v>2988</v>
      </c>
      <c r="B18" s="163" t="s">
        <v>525</v>
      </c>
      <c r="C18" s="151" t="s">
        <v>525</v>
      </c>
      <c r="D18" s="152" t="s">
        <v>526</v>
      </c>
      <c r="E18" s="153" t="s">
        <v>402</v>
      </c>
      <c r="F18" s="144" t="s">
        <v>63</v>
      </c>
      <c r="G18" s="125" t="s">
        <v>393</v>
      </c>
      <c r="H18" s="164" t="s">
        <v>402</v>
      </c>
      <c r="I18" s="123" t="s">
        <v>402</v>
      </c>
      <c r="J18" s="124">
        <v>0</v>
      </c>
      <c r="K18" s="125" t="s">
        <v>397</v>
      </c>
      <c r="L18" s="165">
        <v>47.793797152151406</v>
      </c>
      <c r="M18" s="29">
        <v>1</v>
      </c>
      <c r="N18" s="1">
        <v>2.0865051432908035</v>
      </c>
      <c r="O18" s="139" t="s">
        <v>83</v>
      </c>
      <c r="P18" s="165">
        <v>52.142307085926248</v>
      </c>
      <c r="Q18" s="29">
        <v>1</v>
      </c>
      <c r="R18" s="1">
        <v>2.0865051432908035</v>
      </c>
      <c r="S18" s="139" t="s">
        <v>83</v>
      </c>
      <c r="T18" s="165">
        <v>52.142307085926248</v>
      </c>
      <c r="U18" s="29">
        <v>1</v>
      </c>
      <c r="V18" s="1">
        <v>2.0865051432908035</v>
      </c>
      <c r="W18" s="139" t="s">
        <v>83</v>
      </c>
      <c r="X18" s="165">
        <v>47.793797152151406</v>
      </c>
      <c r="Y18" s="29">
        <v>1</v>
      </c>
      <c r="Z18" s="1">
        <v>2.0865051432908035</v>
      </c>
      <c r="AA18" s="139" t="s">
        <v>83</v>
      </c>
      <c r="AB18" s="165">
        <v>52.142307085926248</v>
      </c>
      <c r="AC18" s="29">
        <v>1</v>
      </c>
      <c r="AD18" s="1">
        <v>2.0865051432908035</v>
      </c>
      <c r="AE18" s="31" t="s">
        <v>83</v>
      </c>
    </row>
    <row r="19" spans="1:31" ht="24">
      <c r="A19" s="157">
        <v>2987</v>
      </c>
      <c r="B19" s="163" t="s">
        <v>525</v>
      </c>
      <c r="C19" s="151" t="s">
        <v>525</v>
      </c>
      <c r="D19" s="152" t="s">
        <v>526</v>
      </c>
      <c r="E19" s="153" t="s">
        <v>402</v>
      </c>
      <c r="F19" s="144" t="s">
        <v>59</v>
      </c>
      <c r="G19" s="125" t="s">
        <v>521</v>
      </c>
      <c r="H19" s="164" t="s">
        <v>402</v>
      </c>
      <c r="I19" s="123" t="s">
        <v>402</v>
      </c>
      <c r="J19" s="124">
        <v>0</v>
      </c>
      <c r="K19" s="125" t="s">
        <v>397</v>
      </c>
      <c r="L19" s="165">
        <v>200.46298576075702</v>
      </c>
      <c r="M19" s="29">
        <v>1</v>
      </c>
      <c r="N19" s="1">
        <v>2.0865051432908035</v>
      </c>
      <c r="O19" s="139" t="s">
        <v>84</v>
      </c>
      <c r="P19" s="165">
        <v>222.2055354296312</v>
      </c>
      <c r="Q19" s="29">
        <v>1</v>
      </c>
      <c r="R19" s="1">
        <v>2.0865051432908035</v>
      </c>
      <c r="S19" s="139" t="s">
        <v>84</v>
      </c>
      <c r="T19" s="165">
        <v>222.2055354296312</v>
      </c>
      <c r="U19" s="29">
        <v>1</v>
      </c>
      <c r="V19" s="1">
        <v>2.0865051432908035</v>
      </c>
      <c r="W19" s="139" t="s">
        <v>84</v>
      </c>
      <c r="X19" s="165">
        <v>200.46298576075702</v>
      </c>
      <c r="Y19" s="29">
        <v>1</v>
      </c>
      <c r="Z19" s="1">
        <v>2.0865051432908035</v>
      </c>
      <c r="AA19" s="139" t="s">
        <v>84</v>
      </c>
      <c r="AB19" s="165">
        <v>222.2055354296312</v>
      </c>
      <c r="AC19" s="29">
        <v>1</v>
      </c>
      <c r="AD19" s="1">
        <v>2.0865051432908035</v>
      </c>
      <c r="AE19" s="31" t="s">
        <v>84</v>
      </c>
    </row>
    <row r="20" spans="1:31" ht="12.75">
      <c r="A20" s="214">
        <v>490</v>
      </c>
      <c r="B20" s="296" t="s">
        <v>692</v>
      </c>
      <c r="C20" s="151" t="s">
        <v>525</v>
      </c>
      <c r="D20" s="152" t="s">
        <v>402</v>
      </c>
      <c r="E20" s="153" t="s">
        <v>527</v>
      </c>
      <c r="F20" s="144" t="s">
        <v>324</v>
      </c>
      <c r="G20" s="125" t="s">
        <v>402</v>
      </c>
      <c r="H20" s="164" t="s">
        <v>325</v>
      </c>
      <c r="I20" s="123" t="s">
        <v>685</v>
      </c>
      <c r="J20" s="124" t="s">
        <v>402</v>
      </c>
      <c r="K20" s="125" t="s">
        <v>677</v>
      </c>
      <c r="L20" s="165">
        <v>0.14400000000000002</v>
      </c>
      <c r="M20" s="29">
        <v>1</v>
      </c>
      <c r="N20" s="1">
        <v>1.2849840792941758</v>
      </c>
      <c r="O20" s="139" t="s">
        <v>88</v>
      </c>
      <c r="P20" s="165">
        <v>0.14400000000000002</v>
      </c>
      <c r="Q20" s="29">
        <v>1</v>
      </c>
      <c r="R20" s="1">
        <v>1.2849840792941758</v>
      </c>
      <c r="S20" s="139" t="s">
        <v>88</v>
      </c>
      <c r="T20" s="165">
        <v>3.6720000000000002</v>
      </c>
      <c r="U20" s="29">
        <v>1</v>
      </c>
      <c r="V20" s="1">
        <v>1.2849840792941758</v>
      </c>
      <c r="W20" s="139" t="s">
        <v>88</v>
      </c>
      <c r="X20" s="165">
        <v>0.82800000000000007</v>
      </c>
      <c r="Y20" s="29">
        <v>1</v>
      </c>
      <c r="Z20" s="1">
        <v>1.2849840792941758</v>
      </c>
      <c r="AA20" s="139" t="s">
        <v>88</v>
      </c>
      <c r="AB20" s="165">
        <v>0.82800000000000007</v>
      </c>
      <c r="AC20" s="29">
        <v>1</v>
      </c>
      <c r="AD20" s="1">
        <v>1.2849840792941758</v>
      </c>
      <c r="AE20" s="31" t="s">
        <v>88</v>
      </c>
    </row>
    <row r="21" spans="1:31" ht="24">
      <c r="A21" s="640" t="s">
        <v>1020</v>
      </c>
      <c r="B21" s="168" t="s">
        <v>523</v>
      </c>
      <c r="C21" s="169"/>
      <c r="D21" s="11" t="s">
        <v>402</v>
      </c>
      <c r="E21" s="170">
        <v>0</v>
      </c>
      <c r="F21" s="145" t="s">
        <v>121</v>
      </c>
      <c r="G21" s="16" t="s">
        <v>465</v>
      </c>
      <c r="H21" s="14" t="s">
        <v>402</v>
      </c>
      <c r="I21" s="14" t="s">
        <v>402</v>
      </c>
      <c r="J21" s="15">
        <v>1</v>
      </c>
      <c r="K21" s="16" t="s">
        <v>522</v>
      </c>
      <c r="L21" s="149">
        <v>1</v>
      </c>
      <c r="M21" s="29"/>
      <c r="N21" s="30"/>
      <c r="O21" s="139"/>
      <c r="P21" s="149">
        <v>0</v>
      </c>
      <c r="Q21" s="29"/>
      <c r="R21" s="30"/>
      <c r="S21" s="139"/>
      <c r="T21" s="149">
        <v>0</v>
      </c>
      <c r="U21" s="29"/>
      <c r="V21" s="30"/>
      <c r="W21" s="139"/>
      <c r="X21" s="149">
        <v>0</v>
      </c>
      <c r="Y21" s="29"/>
      <c r="Z21" s="30"/>
      <c r="AA21" s="139"/>
      <c r="AB21" s="149">
        <v>0</v>
      </c>
      <c r="AC21" s="29"/>
      <c r="AD21" s="1"/>
      <c r="AE21" s="31"/>
    </row>
    <row r="22" spans="1:31" ht="24">
      <c r="A22" s="640" t="s">
        <v>1021</v>
      </c>
      <c r="B22" s="168"/>
      <c r="C22" s="169"/>
      <c r="D22" s="11" t="s">
        <v>402</v>
      </c>
      <c r="E22" s="170">
        <v>0</v>
      </c>
      <c r="F22" s="145" t="s">
        <v>122</v>
      </c>
      <c r="G22" s="16" t="s">
        <v>465</v>
      </c>
      <c r="H22" s="14" t="s">
        <v>402</v>
      </c>
      <c r="I22" s="14" t="s">
        <v>402</v>
      </c>
      <c r="J22" s="15">
        <v>1</v>
      </c>
      <c r="K22" s="16" t="s">
        <v>522</v>
      </c>
      <c r="L22" s="149">
        <v>0</v>
      </c>
      <c r="M22" s="40"/>
      <c r="N22" s="192"/>
      <c r="O22" s="202"/>
      <c r="P22" s="149">
        <v>1</v>
      </c>
      <c r="Q22" s="40"/>
      <c r="R22" s="192"/>
      <c r="S22" s="202"/>
      <c r="T22" s="149">
        <v>0</v>
      </c>
      <c r="U22" s="40"/>
      <c r="V22" s="192"/>
      <c r="W22" s="202"/>
      <c r="X22" s="149">
        <v>0</v>
      </c>
      <c r="Y22" s="40"/>
      <c r="Z22" s="192"/>
      <c r="AA22" s="202"/>
      <c r="AB22" s="149">
        <v>0</v>
      </c>
      <c r="AC22" s="40"/>
      <c r="AD22" s="89"/>
      <c r="AE22" s="193"/>
    </row>
    <row r="23" spans="1:31">
      <c r="A23" s="640" t="s">
        <v>1022</v>
      </c>
      <c r="B23" s="168"/>
      <c r="C23" s="169"/>
      <c r="D23" s="11" t="s">
        <v>402</v>
      </c>
      <c r="E23" s="170">
        <v>0</v>
      </c>
      <c r="F23" s="145" t="s">
        <v>125</v>
      </c>
      <c r="G23" s="16" t="s">
        <v>465</v>
      </c>
      <c r="H23" s="14" t="s">
        <v>402</v>
      </c>
      <c r="I23" s="14" t="s">
        <v>402</v>
      </c>
      <c r="J23" s="15">
        <v>1</v>
      </c>
      <c r="K23" s="16" t="s">
        <v>522</v>
      </c>
      <c r="L23" s="149">
        <v>0</v>
      </c>
      <c r="M23" s="40"/>
      <c r="N23" s="192"/>
      <c r="O23" s="202"/>
      <c r="P23" s="149">
        <v>0</v>
      </c>
      <c r="Q23" s="40"/>
      <c r="R23" s="192"/>
      <c r="S23" s="202"/>
      <c r="T23" s="149">
        <v>1</v>
      </c>
      <c r="U23" s="40"/>
      <c r="V23" s="192"/>
      <c r="W23" s="202"/>
      <c r="X23" s="149">
        <v>0</v>
      </c>
      <c r="Y23" s="40"/>
      <c r="Z23" s="192"/>
      <c r="AA23" s="202"/>
      <c r="AB23" s="149">
        <v>0</v>
      </c>
      <c r="AC23" s="40"/>
      <c r="AD23" s="89"/>
      <c r="AE23" s="193"/>
    </row>
    <row r="24" spans="1:31" ht="24">
      <c r="A24" s="640" t="s">
        <v>1023</v>
      </c>
      <c r="B24" s="168"/>
      <c r="C24" s="169"/>
      <c r="D24" s="11" t="s">
        <v>402</v>
      </c>
      <c r="E24" s="170">
        <v>0</v>
      </c>
      <c r="F24" s="145" t="s">
        <v>127</v>
      </c>
      <c r="G24" s="16" t="s">
        <v>465</v>
      </c>
      <c r="H24" s="14" t="s">
        <v>402</v>
      </c>
      <c r="I24" s="14" t="s">
        <v>402</v>
      </c>
      <c r="J24" s="15">
        <v>1</v>
      </c>
      <c r="K24" s="16" t="s">
        <v>522</v>
      </c>
      <c r="L24" s="149">
        <v>0</v>
      </c>
      <c r="M24" s="40"/>
      <c r="N24" s="192"/>
      <c r="O24" s="202"/>
      <c r="P24" s="149">
        <v>0</v>
      </c>
      <c r="Q24" s="40"/>
      <c r="R24" s="192"/>
      <c r="S24" s="202"/>
      <c r="T24" s="149">
        <v>0</v>
      </c>
      <c r="U24" s="40"/>
      <c r="V24" s="192"/>
      <c r="W24" s="202"/>
      <c r="X24" s="149">
        <v>1</v>
      </c>
      <c r="Y24" s="40"/>
      <c r="Z24" s="192"/>
      <c r="AA24" s="202"/>
      <c r="AB24" s="149">
        <v>0</v>
      </c>
      <c r="AC24" s="40"/>
      <c r="AD24" s="89"/>
      <c r="AE24" s="193"/>
    </row>
    <row r="25" spans="1:31" ht="24">
      <c r="A25" s="640" t="s">
        <v>1024</v>
      </c>
      <c r="B25" s="168"/>
      <c r="C25" s="169"/>
      <c r="D25" s="11" t="s">
        <v>402</v>
      </c>
      <c r="E25" s="170">
        <v>0</v>
      </c>
      <c r="F25" s="145" t="s">
        <v>128</v>
      </c>
      <c r="G25" s="16" t="s">
        <v>465</v>
      </c>
      <c r="H25" s="14" t="s">
        <v>402</v>
      </c>
      <c r="I25" s="14" t="s">
        <v>402</v>
      </c>
      <c r="J25" s="15">
        <v>1</v>
      </c>
      <c r="K25" s="16" t="s">
        <v>522</v>
      </c>
      <c r="L25" s="149">
        <v>0</v>
      </c>
      <c r="M25" s="40"/>
      <c r="N25" s="192"/>
      <c r="O25" s="202"/>
      <c r="P25" s="149">
        <v>0</v>
      </c>
      <c r="Q25" s="40"/>
      <c r="R25" s="192"/>
      <c r="S25" s="202"/>
      <c r="T25" s="149">
        <v>0</v>
      </c>
      <c r="U25" s="40"/>
      <c r="V25" s="192"/>
      <c r="W25" s="202"/>
      <c r="X25" s="149">
        <v>0</v>
      </c>
      <c r="Y25" s="40"/>
      <c r="Z25" s="192"/>
      <c r="AA25" s="202"/>
      <c r="AB25" s="149">
        <v>1</v>
      </c>
      <c r="AC25" s="40"/>
      <c r="AD25" s="89"/>
      <c r="AE25" s="193"/>
    </row>
    <row r="29" spans="1:31">
      <c r="F29" s="7"/>
    </row>
    <row r="30" spans="1:31">
      <c r="F30" s="7"/>
    </row>
    <row r="31" spans="1:31">
      <c r="F31" s="7"/>
    </row>
    <row r="32" spans="1:31">
      <c r="F32" s="7"/>
    </row>
    <row r="33" spans="6:6">
      <c r="F33" s="7"/>
    </row>
  </sheetData>
  <pageMargins left="0.78740157499999996" right="0.78740157499999996" top="0.984251969" bottom="0.984251969" header="0.4921259845" footer="0.4921259845"/>
  <pageSetup paperSize="9" scale="8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8">
    <pageSetUpPr fitToPage="1"/>
  </sheetPr>
  <dimension ref="A1:AE30"/>
  <sheetViews>
    <sheetView zoomScale="75" workbookViewId="0">
      <pane xSplit="11" ySplit="6" topLeftCell="L7" activePane="bottomRight" state="frozen"/>
      <selection activeCell="J46" sqref="J46"/>
      <selection pane="topRight" activeCell="J46" sqref="J46"/>
      <selection pane="bottomLeft" activeCell="J46" sqref="J46"/>
      <selection pane="bottomRight" activeCell="J46" sqref="J46"/>
    </sheetView>
  </sheetViews>
  <sheetFormatPr defaultColWidth="11.42578125" defaultRowHeight="12" outlineLevelCol="1"/>
  <cols>
    <col min="1" max="1" width="8.42578125" style="7" customWidth="1" outlineLevel="1"/>
    <col min="2" max="2" width="12.85546875" style="158" customWidth="1"/>
    <col min="3" max="3" width="3.7109375" style="159" hidden="1" customWidth="1" outlineLevel="1"/>
    <col min="4" max="4" width="3.140625" style="7" hidden="1" customWidth="1" outlineLevel="1"/>
    <col min="5" max="5" width="2.7109375" style="7" hidden="1" customWidth="1" outlineLevel="1"/>
    <col min="6" max="6" width="39.140625" style="8" customWidth="1" collapsed="1"/>
    <col min="7" max="7" width="5" style="7" customWidth="1"/>
    <col min="8" max="8" width="5.7109375" style="7" hidden="1" customWidth="1" outlineLevel="1"/>
    <col min="9" max="9" width="10.28515625" style="7" hidden="1" customWidth="1" outlineLevel="1"/>
    <col min="10" max="10" width="4.140625" style="7" bestFit="1" customWidth="1" collapsed="1"/>
    <col min="11" max="11" width="5.140625" style="7" customWidth="1"/>
    <col min="12" max="12" width="11.28515625" style="7" customWidth="1"/>
    <col min="13" max="13" width="2" style="141" hidden="1" customWidth="1" outlineLevel="1"/>
    <col min="14" max="14" width="4.28515625" style="140" hidden="1" customWidth="1" outlineLevel="1"/>
    <col min="15" max="15" width="37.85546875" style="140" hidden="1" customWidth="1" outlineLevel="1"/>
    <col min="16" max="16" width="11.28515625" style="7" customWidth="1" collapsed="1"/>
    <col min="17" max="17" width="2" style="141" hidden="1" customWidth="1" outlineLevel="1"/>
    <col min="18" max="18" width="4.28515625" style="140" hidden="1" customWidth="1" outlineLevel="1"/>
    <col min="19" max="19" width="37.85546875" style="140" hidden="1" customWidth="1" outlineLevel="1"/>
    <col min="20" max="20" width="11.28515625" style="7" customWidth="1" collapsed="1"/>
    <col min="21" max="21" width="2" style="141" hidden="1" customWidth="1" outlineLevel="1"/>
    <col min="22" max="22" width="4.28515625" style="140" hidden="1" customWidth="1" outlineLevel="1"/>
    <col min="23" max="23" width="37.85546875" style="140" hidden="1" customWidth="1" outlineLevel="1"/>
    <col min="24" max="24" width="11.28515625" style="7" customWidth="1" collapsed="1"/>
    <col min="25" max="25" width="2" style="141" hidden="1" customWidth="1" outlineLevel="1"/>
    <col min="26" max="26" width="4.28515625" style="140" hidden="1" customWidth="1" outlineLevel="1"/>
    <col min="27" max="27" width="37.85546875" style="140" hidden="1" customWidth="1" outlineLevel="1"/>
    <col min="28" max="28" width="11.28515625" style="7" customWidth="1" collapsed="1"/>
    <col min="29" max="29" width="2" style="118" customWidth="1" outlineLevel="1"/>
    <col min="30" max="30" width="5.140625" style="32" customWidth="1" outlineLevel="1"/>
    <col min="31" max="31" width="39.140625" style="33" customWidth="1" outlineLevel="1"/>
    <col min="32" max="16384" width="11.42578125" style="7"/>
  </cols>
  <sheetData>
    <row r="1" spans="1:31">
      <c r="A1" s="36"/>
      <c r="B1" s="34"/>
      <c r="C1" s="35"/>
      <c r="D1" s="36"/>
      <c r="E1" s="36"/>
      <c r="F1" s="37" t="s">
        <v>510</v>
      </c>
      <c r="G1" s="36"/>
      <c r="H1" s="36"/>
      <c r="I1" s="36"/>
      <c r="J1" s="36"/>
      <c r="K1" s="36"/>
      <c r="L1" s="189" t="s">
        <v>1025</v>
      </c>
      <c r="M1" s="21"/>
      <c r="N1" s="22"/>
      <c r="O1" s="22"/>
      <c r="P1" s="189" t="s">
        <v>1026</v>
      </c>
      <c r="Q1" s="21"/>
      <c r="R1" s="22"/>
      <c r="S1" s="22"/>
      <c r="T1" s="189" t="s">
        <v>1027</v>
      </c>
      <c r="U1" s="21"/>
      <c r="V1" s="22"/>
      <c r="W1" s="22"/>
      <c r="X1" s="189" t="s">
        <v>1028</v>
      </c>
      <c r="Y1" s="21"/>
      <c r="Z1" s="22"/>
      <c r="AA1" s="22"/>
      <c r="AB1" s="189" t="s">
        <v>1029</v>
      </c>
      <c r="AC1" s="21"/>
      <c r="AD1" s="22"/>
      <c r="AE1" s="22"/>
    </row>
    <row r="2" spans="1:31">
      <c r="A2" s="36"/>
      <c r="B2" s="147"/>
      <c r="C2" s="35" t="s">
        <v>511</v>
      </c>
      <c r="D2" s="147">
        <v>3503</v>
      </c>
      <c r="E2" s="147">
        <v>3504</v>
      </c>
      <c r="F2" s="147">
        <v>3702</v>
      </c>
      <c r="G2" s="147">
        <v>3703</v>
      </c>
      <c r="H2" s="147">
        <v>3506</v>
      </c>
      <c r="I2" s="147">
        <v>3507</v>
      </c>
      <c r="J2" s="147">
        <v>3508</v>
      </c>
      <c r="K2" s="147">
        <v>3706</v>
      </c>
      <c r="L2" s="147">
        <v>3707</v>
      </c>
      <c r="M2" s="133">
        <v>3708</v>
      </c>
      <c r="N2" s="133">
        <v>3709</v>
      </c>
      <c r="O2" s="134">
        <v>3792</v>
      </c>
      <c r="P2" s="147">
        <v>3707</v>
      </c>
      <c r="Q2" s="133">
        <v>3708</v>
      </c>
      <c r="R2" s="133">
        <v>3709</v>
      </c>
      <c r="S2" s="134">
        <v>3792</v>
      </c>
      <c r="T2" s="147">
        <v>3707</v>
      </c>
      <c r="U2" s="133">
        <v>3708</v>
      </c>
      <c r="V2" s="133">
        <v>3709</v>
      </c>
      <c r="W2" s="134">
        <v>3792</v>
      </c>
      <c r="X2" s="147">
        <v>3707</v>
      </c>
      <c r="Y2" s="133">
        <v>3708</v>
      </c>
      <c r="Z2" s="133">
        <v>3709</v>
      </c>
      <c r="AA2" s="134">
        <v>3792</v>
      </c>
      <c r="AB2" s="147">
        <v>3707</v>
      </c>
      <c r="AC2" s="23">
        <v>3708</v>
      </c>
      <c r="AD2" s="23">
        <v>3709</v>
      </c>
      <c r="AE2" s="24">
        <v>3792</v>
      </c>
    </row>
    <row r="3" spans="1:31" ht="104.25" customHeight="1">
      <c r="A3" s="36" t="s">
        <v>398</v>
      </c>
      <c r="B3" s="166"/>
      <c r="C3" s="35">
        <v>401</v>
      </c>
      <c r="D3" s="167" t="s">
        <v>514</v>
      </c>
      <c r="E3" s="167" t="s">
        <v>515</v>
      </c>
      <c r="F3" s="132" t="s">
        <v>516</v>
      </c>
      <c r="G3" s="41" t="s">
        <v>517</v>
      </c>
      <c r="H3" s="41" t="s">
        <v>518</v>
      </c>
      <c r="I3" s="41" t="s">
        <v>519</v>
      </c>
      <c r="J3" s="41" t="s">
        <v>520</v>
      </c>
      <c r="K3" s="41" t="s">
        <v>394</v>
      </c>
      <c r="L3" s="178" t="s">
        <v>121</v>
      </c>
      <c r="M3" s="135" t="s">
        <v>265</v>
      </c>
      <c r="N3" s="135" t="s">
        <v>266</v>
      </c>
      <c r="O3" s="136" t="s">
        <v>548</v>
      </c>
      <c r="P3" s="178" t="s">
        <v>122</v>
      </c>
      <c r="Q3" s="135" t="s">
        <v>265</v>
      </c>
      <c r="R3" s="135" t="s">
        <v>266</v>
      </c>
      <c r="S3" s="136" t="s">
        <v>548</v>
      </c>
      <c r="T3" s="178" t="s">
        <v>125</v>
      </c>
      <c r="U3" s="135" t="s">
        <v>265</v>
      </c>
      <c r="V3" s="135" t="s">
        <v>266</v>
      </c>
      <c r="W3" s="136" t="s">
        <v>548</v>
      </c>
      <c r="X3" s="178" t="s">
        <v>127</v>
      </c>
      <c r="Y3" s="135" t="s">
        <v>265</v>
      </c>
      <c r="Z3" s="135" t="s">
        <v>266</v>
      </c>
      <c r="AA3" s="136" t="s">
        <v>548</v>
      </c>
      <c r="AB3" s="178" t="s">
        <v>128</v>
      </c>
      <c r="AC3" s="25" t="s">
        <v>265</v>
      </c>
      <c r="AD3" s="25" t="s">
        <v>266</v>
      </c>
      <c r="AE3" s="128" t="s">
        <v>548</v>
      </c>
    </row>
    <row r="4" spans="1:31" ht="13.5" customHeight="1">
      <c r="A4" s="36"/>
      <c r="B4" s="166"/>
      <c r="C4" s="35">
        <v>662</v>
      </c>
      <c r="D4" s="9"/>
      <c r="E4" s="9"/>
      <c r="F4" s="132" t="s">
        <v>517</v>
      </c>
      <c r="G4" s="132"/>
      <c r="H4" s="132"/>
      <c r="I4" s="132"/>
      <c r="J4" s="132"/>
      <c r="K4" s="132"/>
      <c r="L4" s="178" t="s">
        <v>956</v>
      </c>
      <c r="M4" s="137">
        <v>0</v>
      </c>
      <c r="N4" s="137">
        <v>0</v>
      </c>
      <c r="O4" s="138">
        <v>0</v>
      </c>
      <c r="P4" s="178" t="s">
        <v>956</v>
      </c>
      <c r="Q4" s="137">
        <v>0</v>
      </c>
      <c r="R4" s="137">
        <v>0</v>
      </c>
      <c r="S4" s="138">
        <v>0</v>
      </c>
      <c r="T4" s="178" t="s">
        <v>956</v>
      </c>
      <c r="U4" s="137">
        <v>0</v>
      </c>
      <c r="V4" s="137">
        <v>0</v>
      </c>
      <c r="W4" s="138">
        <v>0</v>
      </c>
      <c r="X4" s="178" t="s">
        <v>956</v>
      </c>
      <c r="Y4" s="137">
        <v>0</v>
      </c>
      <c r="Z4" s="137">
        <v>0</v>
      </c>
      <c r="AA4" s="138">
        <v>0</v>
      </c>
      <c r="AB4" s="178" t="s">
        <v>956</v>
      </c>
      <c r="AC4" s="129"/>
      <c r="AD4" s="129"/>
      <c r="AE4" s="130"/>
    </row>
    <row r="5" spans="1:31">
      <c r="A5" s="36"/>
      <c r="B5" s="166"/>
      <c r="C5" s="35">
        <v>493</v>
      </c>
      <c r="D5" s="9"/>
      <c r="E5" s="9"/>
      <c r="F5" s="132" t="s">
        <v>520</v>
      </c>
      <c r="G5" s="132"/>
      <c r="H5" s="132"/>
      <c r="I5" s="132"/>
      <c r="J5" s="132"/>
      <c r="K5" s="132"/>
      <c r="L5" s="178">
        <v>1</v>
      </c>
      <c r="M5" s="137">
        <v>0</v>
      </c>
      <c r="N5" s="137">
        <v>0</v>
      </c>
      <c r="O5" s="138">
        <v>0</v>
      </c>
      <c r="P5" s="178">
        <v>1</v>
      </c>
      <c r="Q5" s="137">
        <v>0</v>
      </c>
      <c r="R5" s="137">
        <v>0</v>
      </c>
      <c r="S5" s="138">
        <v>0</v>
      </c>
      <c r="T5" s="178">
        <v>1</v>
      </c>
      <c r="U5" s="137">
        <v>0</v>
      </c>
      <c r="V5" s="137">
        <v>0</v>
      </c>
      <c r="W5" s="138">
        <v>0</v>
      </c>
      <c r="X5" s="178">
        <v>1</v>
      </c>
      <c r="Y5" s="137">
        <v>0</v>
      </c>
      <c r="Z5" s="137">
        <v>0</v>
      </c>
      <c r="AA5" s="138">
        <v>0</v>
      </c>
      <c r="AB5" s="178">
        <v>1</v>
      </c>
      <c r="AC5" s="129"/>
      <c r="AD5" s="129"/>
      <c r="AE5" s="130"/>
    </row>
    <row r="6" spans="1:31">
      <c r="A6" s="36"/>
      <c r="B6" s="166"/>
      <c r="C6" s="35">
        <v>403</v>
      </c>
      <c r="D6" s="9"/>
      <c r="E6" s="9"/>
      <c r="F6" s="132" t="s">
        <v>394</v>
      </c>
      <c r="G6" s="352"/>
      <c r="H6" s="132"/>
      <c r="I6" s="132"/>
      <c r="J6" s="132"/>
      <c r="K6" s="132"/>
      <c r="L6" s="178" t="s">
        <v>522</v>
      </c>
      <c r="M6" s="137">
        <v>0</v>
      </c>
      <c r="N6" s="137">
        <v>0</v>
      </c>
      <c r="O6" s="138">
        <v>0</v>
      </c>
      <c r="P6" s="178" t="s">
        <v>522</v>
      </c>
      <c r="Q6" s="137">
        <v>0</v>
      </c>
      <c r="R6" s="137">
        <v>0</v>
      </c>
      <c r="S6" s="138">
        <v>0</v>
      </c>
      <c r="T6" s="178" t="s">
        <v>522</v>
      </c>
      <c r="U6" s="137">
        <v>0</v>
      </c>
      <c r="V6" s="137">
        <v>0</v>
      </c>
      <c r="W6" s="138">
        <v>0</v>
      </c>
      <c r="X6" s="178" t="s">
        <v>522</v>
      </c>
      <c r="Y6" s="137">
        <v>0</v>
      </c>
      <c r="Z6" s="137">
        <v>0</v>
      </c>
      <c r="AA6" s="138">
        <v>0</v>
      </c>
      <c r="AB6" s="178" t="s">
        <v>522</v>
      </c>
      <c r="AC6" s="129"/>
      <c r="AD6" s="129"/>
      <c r="AE6" s="130"/>
    </row>
    <row r="7" spans="1:31" ht="24">
      <c r="A7" s="2" t="s">
        <v>1052</v>
      </c>
      <c r="B7" s="163" t="s">
        <v>524</v>
      </c>
      <c r="C7" s="151" t="s">
        <v>525</v>
      </c>
      <c r="D7" s="152" t="s">
        <v>526</v>
      </c>
      <c r="E7" s="153" t="s">
        <v>402</v>
      </c>
      <c r="F7" s="144" t="s">
        <v>70</v>
      </c>
      <c r="G7" s="125" t="s">
        <v>496</v>
      </c>
      <c r="H7" s="164" t="s">
        <v>402</v>
      </c>
      <c r="I7" s="123" t="s">
        <v>402</v>
      </c>
      <c r="J7" s="124">
        <v>0</v>
      </c>
      <c r="K7" s="125" t="s">
        <v>678</v>
      </c>
      <c r="L7" s="165">
        <v>0.04</v>
      </c>
      <c r="M7" s="29">
        <v>1</v>
      </c>
      <c r="N7" s="1">
        <v>1.2849840792941758</v>
      </c>
      <c r="O7" s="139" t="s">
        <v>71</v>
      </c>
      <c r="P7" s="165">
        <v>0.04</v>
      </c>
      <c r="Q7" s="29">
        <v>1</v>
      </c>
      <c r="R7" s="1">
        <v>1.2849840792941758</v>
      </c>
      <c r="S7" s="139" t="s">
        <v>71</v>
      </c>
      <c r="T7" s="165">
        <v>1.02</v>
      </c>
      <c r="U7" s="29">
        <v>1</v>
      </c>
      <c r="V7" s="1">
        <v>1.2849840792941758</v>
      </c>
      <c r="W7" s="139" t="s">
        <v>71</v>
      </c>
      <c r="X7" s="165">
        <v>0.23</v>
      </c>
      <c r="Y7" s="29">
        <v>1</v>
      </c>
      <c r="Z7" s="1">
        <v>1.2849840792941758</v>
      </c>
      <c r="AA7" s="139" t="s">
        <v>71</v>
      </c>
      <c r="AB7" s="165">
        <v>0.23</v>
      </c>
      <c r="AC7" s="29">
        <v>1</v>
      </c>
      <c r="AD7" s="1">
        <v>1.2849840792941758</v>
      </c>
      <c r="AE7" s="31" t="s">
        <v>71</v>
      </c>
    </row>
    <row r="8" spans="1:31" ht="12.75">
      <c r="A8" s="156">
        <v>4804</v>
      </c>
      <c r="B8" s="163" t="s">
        <v>525</v>
      </c>
      <c r="C8" s="151" t="s">
        <v>525</v>
      </c>
      <c r="D8" s="152" t="s">
        <v>526</v>
      </c>
      <c r="E8" s="153" t="s">
        <v>402</v>
      </c>
      <c r="F8" s="144" t="s">
        <v>72</v>
      </c>
      <c r="G8" s="125" t="s">
        <v>521</v>
      </c>
      <c r="H8" s="164" t="s">
        <v>402</v>
      </c>
      <c r="I8" s="123" t="s">
        <v>402</v>
      </c>
      <c r="J8" s="124">
        <v>1</v>
      </c>
      <c r="K8" s="125" t="s">
        <v>522</v>
      </c>
      <c r="L8" s="165">
        <v>2.4</v>
      </c>
      <c r="M8" s="29">
        <v>1</v>
      </c>
      <c r="N8" s="1">
        <v>1.2354522921220721</v>
      </c>
      <c r="O8" s="139" t="s">
        <v>73</v>
      </c>
      <c r="P8" s="165">
        <v>2.4</v>
      </c>
      <c r="Q8" s="29">
        <v>1</v>
      </c>
      <c r="R8" s="1">
        <v>1.2354522921220721</v>
      </c>
      <c r="S8" s="139" t="s">
        <v>73</v>
      </c>
      <c r="T8" s="165">
        <v>2.4</v>
      </c>
      <c r="U8" s="29">
        <v>1</v>
      </c>
      <c r="V8" s="1">
        <v>1.2354522921220721</v>
      </c>
      <c r="W8" s="139" t="s">
        <v>73</v>
      </c>
      <c r="X8" s="165">
        <v>2.4</v>
      </c>
      <c r="Y8" s="29">
        <v>1</v>
      </c>
      <c r="Z8" s="1">
        <v>1.2354522921220721</v>
      </c>
      <c r="AA8" s="139" t="s">
        <v>73</v>
      </c>
      <c r="AB8" s="165">
        <v>2.4</v>
      </c>
      <c r="AC8" s="29">
        <v>1</v>
      </c>
      <c r="AD8" s="1">
        <v>1.2354522921220721</v>
      </c>
      <c r="AE8" s="31" t="s">
        <v>73</v>
      </c>
    </row>
    <row r="9" spans="1:31" ht="12.75">
      <c r="A9" s="156">
        <v>1484</v>
      </c>
      <c r="B9" s="163"/>
      <c r="C9" s="151" t="s">
        <v>525</v>
      </c>
      <c r="D9" s="152" t="s">
        <v>526</v>
      </c>
      <c r="E9" s="153" t="s">
        <v>402</v>
      </c>
      <c r="F9" s="144" t="s">
        <v>74</v>
      </c>
      <c r="G9" s="125" t="s">
        <v>393</v>
      </c>
      <c r="H9" s="164" t="s">
        <v>402</v>
      </c>
      <c r="I9" s="123" t="s">
        <v>402</v>
      </c>
      <c r="J9" s="124">
        <v>1</v>
      </c>
      <c r="K9" s="125" t="s">
        <v>522</v>
      </c>
      <c r="L9" s="165">
        <v>1</v>
      </c>
      <c r="M9" s="29">
        <v>1</v>
      </c>
      <c r="N9" s="1">
        <v>2.0865051432908035</v>
      </c>
      <c r="O9" s="139" t="s">
        <v>75</v>
      </c>
      <c r="P9" s="165">
        <v>1</v>
      </c>
      <c r="Q9" s="29">
        <v>1</v>
      </c>
      <c r="R9" s="1">
        <v>2.0865051432908035</v>
      </c>
      <c r="S9" s="139" t="s">
        <v>75</v>
      </c>
      <c r="T9" s="165">
        <v>1</v>
      </c>
      <c r="U9" s="29">
        <v>1</v>
      </c>
      <c r="V9" s="1">
        <v>2.0865051432908035</v>
      </c>
      <c r="W9" s="139" t="s">
        <v>75</v>
      </c>
      <c r="X9" s="165">
        <v>1</v>
      </c>
      <c r="Y9" s="29">
        <v>1</v>
      </c>
      <c r="Z9" s="1">
        <v>2.0865051432908035</v>
      </c>
      <c r="AA9" s="139" t="s">
        <v>75</v>
      </c>
      <c r="AB9" s="165">
        <v>1</v>
      </c>
      <c r="AC9" s="29">
        <v>1</v>
      </c>
      <c r="AD9" s="1">
        <v>2.0865051432908035</v>
      </c>
      <c r="AE9" s="31" t="s">
        <v>75</v>
      </c>
    </row>
    <row r="10" spans="1:31" ht="12.75">
      <c r="A10" s="156">
        <v>1489</v>
      </c>
      <c r="B10" s="163" t="s">
        <v>525</v>
      </c>
      <c r="C10" s="151" t="s">
        <v>525</v>
      </c>
      <c r="D10" s="152" t="s">
        <v>526</v>
      </c>
      <c r="E10" s="153" t="s">
        <v>402</v>
      </c>
      <c r="F10" s="144" t="s">
        <v>52</v>
      </c>
      <c r="G10" s="125" t="s">
        <v>521</v>
      </c>
      <c r="H10" s="164" t="s">
        <v>402</v>
      </c>
      <c r="I10" s="123" t="s">
        <v>402</v>
      </c>
      <c r="J10" s="124">
        <v>1</v>
      </c>
      <c r="K10" s="125" t="s">
        <v>396</v>
      </c>
      <c r="L10" s="165">
        <v>0</v>
      </c>
      <c r="M10" s="29">
        <v>1</v>
      </c>
      <c r="N10" s="1">
        <v>1.2284225230179247</v>
      </c>
      <c r="O10" s="139" t="s">
        <v>76</v>
      </c>
      <c r="P10" s="165">
        <v>19.867549668874172</v>
      </c>
      <c r="Q10" s="29">
        <v>1</v>
      </c>
      <c r="R10" s="1">
        <v>1.2284225230179247</v>
      </c>
      <c r="S10" s="139" t="s">
        <v>76</v>
      </c>
      <c r="T10" s="165">
        <v>0</v>
      </c>
      <c r="U10" s="29">
        <v>1</v>
      </c>
      <c r="V10" s="1">
        <v>1.2284225230179247</v>
      </c>
      <c r="W10" s="139" t="s">
        <v>76</v>
      </c>
      <c r="X10" s="165">
        <v>0</v>
      </c>
      <c r="Y10" s="29">
        <v>1</v>
      </c>
      <c r="Z10" s="1">
        <v>1.2284225230179247</v>
      </c>
      <c r="AA10" s="139" t="s">
        <v>76</v>
      </c>
      <c r="AB10" s="165">
        <v>0</v>
      </c>
      <c r="AC10" s="29">
        <v>1</v>
      </c>
      <c r="AD10" s="1">
        <v>1.2284225230179247</v>
      </c>
      <c r="AE10" s="31" t="s">
        <v>76</v>
      </c>
    </row>
    <row r="11" spans="1:31" ht="12.75">
      <c r="A11" s="156">
        <v>1490</v>
      </c>
      <c r="B11" s="163" t="s">
        <v>525</v>
      </c>
      <c r="C11" s="151" t="s">
        <v>525</v>
      </c>
      <c r="D11" s="152" t="s">
        <v>526</v>
      </c>
      <c r="E11" s="153" t="s">
        <v>402</v>
      </c>
      <c r="F11" s="144" t="s">
        <v>53</v>
      </c>
      <c r="G11" s="125" t="s">
        <v>521</v>
      </c>
      <c r="H11" s="164" t="s">
        <v>402</v>
      </c>
      <c r="I11" s="123" t="s">
        <v>402</v>
      </c>
      <c r="J11" s="124">
        <v>1</v>
      </c>
      <c r="K11" s="125" t="s">
        <v>396</v>
      </c>
      <c r="L11" s="165">
        <v>19.867549668874172</v>
      </c>
      <c r="M11" s="29">
        <v>1</v>
      </c>
      <c r="N11" s="1">
        <v>1.2284225230179247</v>
      </c>
      <c r="O11" s="139" t="s">
        <v>76</v>
      </c>
      <c r="P11" s="165">
        <v>0</v>
      </c>
      <c r="Q11" s="29">
        <v>1</v>
      </c>
      <c r="R11" s="1">
        <v>1.2284225230179247</v>
      </c>
      <c r="S11" s="139" t="s">
        <v>76</v>
      </c>
      <c r="T11" s="165">
        <v>0</v>
      </c>
      <c r="U11" s="29">
        <v>1</v>
      </c>
      <c r="V11" s="1">
        <v>1.2284225230179247</v>
      </c>
      <c r="W11" s="139" t="s">
        <v>76</v>
      </c>
      <c r="X11" s="165">
        <v>0</v>
      </c>
      <c r="Y11" s="29">
        <v>1</v>
      </c>
      <c r="Z11" s="1">
        <v>1.2284225230179247</v>
      </c>
      <c r="AA11" s="139" t="s">
        <v>76</v>
      </c>
      <c r="AB11" s="165">
        <v>0</v>
      </c>
      <c r="AC11" s="29">
        <v>1</v>
      </c>
      <c r="AD11" s="1">
        <v>1.2284225230179247</v>
      </c>
      <c r="AE11" s="31" t="s">
        <v>76</v>
      </c>
    </row>
    <row r="12" spans="1:31" ht="12.75">
      <c r="A12" s="156">
        <v>1491</v>
      </c>
      <c r="B12" s="163" t="s">
        <v>525</v>
      </c>
      <c r="C12" s="151" t="s">
        <v>525</v>
      </c>
      <c r="D12" s="152" t="s">
        <v>526</v>
      </c>
      <c r="E12" s="153" t="s">
        <v>402</v>
      </c>
      <c r="F12" s="144" t="s">
        <v>663</v>
      </c>
      <c r="G12" s="125" t="s">
        <v>521</v>
      </c>
      <c r="H12" s="164" t="s">
        <v>402</v>
      </c>
      <c r="I12" s="123" t="s">
        <v>402</v>
      </c>
      <c r="J12" s="124">
        <v>1</v>
      </c>
      <c r="K12" s="125" t="s">
        <v>396</v>
      </c>
      <c r="L12" s="165">
        <v>0</v>
      </c>
      <c r="M12" s="29">
        <v>1</v>
      </c>
      <c r="N12" s="1">
        <v>1.2284225230179247</v>
      </c>
      <c r="O12" s="139" t="s">
        <v>76</v>
      </c>
      <c r="P12" s="165">
        <v>0</v>
      </c>
      <c r="Q12" s="29">
        <v>1</v>
      </c>
      <c r="R12" s="1">
        <v>1.2284225230179247</v>
      </c>
      <c r="S12" s="139" t="s">
        <v>76</v>
      </c>
      <c r="T12" s="165">
        <v>19.867549668874172</v>
      </c>
      <c r="U12" s="29">
        <v>1</v>
      </c>
      <c r="V12" s="1">
        <v>1.2284225230179247</v>
      </c>
      <c r="W12" s="139" t="s">
        <v>76</v>
      </c>
      <c r="X12" s="165">
        <v>0</v>
      </c>
      <c r="Y12" s="29">
        <v>1</v>
      </c>
      <c r="Z12" s="1">
        <v>1.2284225230179247</v>
      </c>
      <c r="AA12" s="139" t="s">
        <v>76</v>
      </c>
      <c r="AB12" s="165">
        <v>0</v>
      </c>
      <c r="AC12" s="29">
        <v>1</v>
      </c>
      <c r="AD12" s="1">
        <v>1.2284225230179247</v>
      </c>
      <c r="AE12" s="31" t="s">
        <v>76</v>
      </c>
    </row>
    <row r="13" spans="1:31" ht="12.75">
      <c r="A13" s="156">
        <v>1645</v>
      </c>
      <c r="B13" s="163" t="s">
        <v>525</v>
      </c>
      <c r="C13" s="151" t="s">
        <v>525</v>
      </c>
      <c r="D13" s="152" t="s">
        <v>526</v>
      </c>
      <c r="E13" s="153" t="s">
        <v>402</v>
      </c>
      <c r="F13" s="144" t="s">
        <v>664</v>
      </c>
      <c r="G13" s="125" t="s">
        <v>521</v>
      </c>
      <c r="H13" s="164" t="s">
        <v>402</v>
      </c>
      <c r="I13" s="123" t="s">
        <v>402</v>
      </c>
      <c r="J13" s="124">
        <v>1</v>
      </c>
      <c r="K13" s="125" t="s">
        <v>396</v>
      </c>
      <c r="L13" s="165">
        <v>0</v>
      </c>
      <c r="M13" s="29">
        <v>1</v>
      </c>
      <c r="N13" s="1">
        <v>1.2284225230179247</v>
      </c>
      <c r="O13" s="139" t="s">
        <v>76</v>
      </c>
      <c r="P13" s="165">
        <v>0</v>
      </c>
      <c r="Q13" s="29">
        <v>1</v>
      </c>
      <c r="R13" s="1">
        <v>1.2284225230179247</v>
      </c>
      <c r="S13" s="139" t="s">
        <v>76</v>
      </c>
      <c r="T13" s="165">
        <v>0</v>
      </c>
      <c r="U13" s="29">
        <v>1</v>
      </c>
      <c r="V13" s="1">
        <v>1.2284225230179247</v>
      </c>
      <c r="W13" s="139" t="s">
        <v>76</v>
      </c>
      <c r="X13" s="165">
        <v>0</v>
      </c>
      <c r="Y13" s="29">
        <v>1</v>
      </c>
      <c r="Z13" s="1">
        <v>1.2284225230179247</v>
      </c>
      <c r="AA13" s="139" t="s">
        <v>76</v>
      </c>
      <c r="AB13" s="165">
        <v>19.867549668874172</v>
      </c>
      <c r="AC13" s="29">
        <v>1</v>
      </c>
      <c r="AD13" s="1">
        <v>1.2284225230179247</v>
      </c>
      <c r="AE13" s="31" t="s">
        <v>76</v>
      </c>
    </row>
    <row r="14" spans="1:31" ht="12.75">
      <c r="A14" s="156">
        <v>1646</v>
      </c>
      <c r="B14" s="163" t="s">
        <v>525</v>
      </c>
      <c r="C14" s="151" t="s">
        <v>525</v>
      </c>
      <c r="D14" s="152" t="s">
        <v>526</v>
      </c>
      <c r="E14" s="153" t="s">
        <v>402</v>
      </c>
      <c r="F14" s="144" t="s">
        <v>665</v>
      </c>
      <c r="G14" s="125" t="s">
        <v>521</v>
      </c>
      <c r="H14" s="164" t="s">
        <v>402</v>
      </c>
      <c r="I14" s="123" t="s">
        <v>402</v>
      </c>
      <c r="J14" s="124">
        <v>1</v>
      </c>
      <c r="K14" s="125" t="s">
        <v>396</v>
      </c>
      <c r="L14" s="165">
        <v>0</v>
      </c>
      <c r="M14" s="29">
        <v>1</v>
      </c>
      <c r="N14" s="1">
        <v>1.2284225230179247</v>
      </c>
      <c r="O14" s="139" t="s">
        <v>76</v>
      </c>
      <c r="P14" s="165">
        <v>0</v>
      </c>
      <c r="Q14" s="29">
        <v>1</v>
      </c>
      <c r="R14" s="1">
        <v>1.2284225230179247</v>
      </c>
      <c r="S14" s="139" t="s">
        <v>76</v>
      </c>
      <c r="T14" s="165">
        <v>0</v>
      </c>
      <c r="U14" s="29">
        <v>1</v>
      </c>
      <c r="V14" s="1">
        <v>1.2284225230179247</v>
      </c>
      <c r="W14" s="139" t="s">
        <v>76</v>
      </c>
      <c r="X14" s="165">
        <v>19.867549668874172</v>
      </c>
      <c r="Y14" s="29">
        <v>1</v>
      </c>
      <c r="Z14" s="1">
        <v>1.2284225230179247</v>
      </c>
      <c r="AA14" s="139" t="s">
        <v>76</v>
      </c>
      <c r="AB14" s="165">
        <v>0</v>
      </c>
      <c r="AC14" s="29">
        <v>1</v>
      </c>
      <c r="AD14" s="1">
        <v>1.2284225230179247</v>
      </c>
      <c r="AE14" s="31" t="s">
        <v>76</v>
      </c>
    </row>
    <row r="15" spans="1:31" ht="24">
      <c r="A15" s="157" t="s">
        <v>896</v>
      </c>
      <c r="B15" s="163" t="s">
        <v>525</v>
      </c>
      <c r="C15" s="151" t="s">
        <v>525</v>
      </c>
      <c r="D15" s="152" t="s">
        <v>526</v>
      </c>
      <c r="E15" s="153" t="s">
        <v>402</v>
      </c>
      <c r="F15" s="144" t="s">
        <v>1295</v>
      </c>
      <c r="G15" s="125" t="s">
        <v>956</v>
      </c>
      <c r="H15" s="164" t="s">
        <v>402</v>
      </c>
      <c r="I15" s="123" t="s">
        <v>402</v>
      </c>
      <c r="J15" s="124">
        <v>1</v>
      </c>
      <c r="K15" s="125" t="s">
        <v>396</v>
      </c>
      <c r="L15" s="165">
        <v>20.463576158940398</v>
      </c>
      <c r="M15" s="29">
        <v>1</v>
      </c>
      <c r="N15" s="1">
        <v>1.3582005896413567</v>
      </c>
      <c r="O15" s="139" t="s">
        <v>78</v>
      </c>
      <c r="P15" s="165">
        <v>0</v>
      </c>
      <c r="Q15" s="29">
        <v>1</v>
      </c>
      <c r="R15" s="1">
        <v>1.3582005896413567</v>
      </c>
      <c r="S15" s="139" t="s">
        <v>78</v>
      </c>
      <c r="T15" s="165">
        <v>0</v>
      </c>
      <c r="U15" s="29">
        <v>1</v>
      </c>
      <c r="V15" s="1">
        <v>1.3582005896413567</v>
      </c>
      <c r="W15" s="139" t="s">
        <v>78</v>
      </c>
      <c r="X15" s="165">
        <v>20.463576158940398</v>
      </c>
      <c r="Y15" s="29">
        <v>1</v>
      </c>
      <c r="Z15" s="1">
        <v>1.3582005896413567</v>
      </c>
      <c r="AA15" s="139" t="s">
        <v>78</v>
      </c>
      <c r="AB15" s="165">
        <v>0</v>
      </c>
      <c r="AC15" s="29">
        <v>1</v>
      </c>
      <c r="AD15" s="1">
        <v>1.3582005896413567</v>
      </c>
      <c r="AE15" s="31" t="s">
        <v>78</v>
      </c>
    </row>
    <row r="16" spans="1:31" ht="24">
      <c r="A16" s="157" t="s">
        <v>894</v>
      </c>
      <c r="B16" s="163" t="s">
        <v>525</v>
      </c>
      <c r="C16" s="151" t="s">
        <v>525</v>
      </c>
      <c r="D16" s="152" t="s">
        <v>526</v>
      </c>
      <c r="E16" s="153" t="s">
        <v>402</v>
      </c>
      <c r="F16" s="144" t="s">
        <v>1294</v>
      </c>
      <c r="G16" s="125" t="s">
        <v>956</v>
      </c>
      <c r="H16" s="164" t="s">
        <v>402</v>
      </c>
      <c r="I16" s="123" t="s">
        <v>402</v>
      </c>
      <c r="J16" s="124">
        <v>1</v>
      </c>
      <c r="K16" s="125" t="s">
        <v>396</v>
      </c>
      <c r="L16" s="165">
        <v>0</v>
      </c>
      <c r="M16" s="29">
        <v>1</v>
      </c>
      <c r="N16" s="1">
        <v>1.3582005896413567</v>
      </c>
      <c r="O16" s="139" t="s">
        <v>78</v>
      </c>
      <c r="P16" s="165">
        <v>20.463576158940398</v>
      </c>
      <c r="Q16" s="29">
        <v>1</v>
      </c>
      <c r="R16" s="1">
        <v>1.3582005896413567</v>
      </c>
      <c r="S16" s="139" t="s">
        <v>78</v>
      </c>
      <c r="T16" s="165">
        <v>20.463576158940398</v>
      </c>
      <c r="U16" s="29">
        <v>1</v>
      </c>
      <c r="V16" s="1">
        <v>1.3582005896413567</v>
      </c>
      <c r="W16" s="139" t="s">
        <v>78</v>
      </c>
      <c r="X16" s="165">
        <v>0</v>
      </c>
      <c r="Y16" s="29">
        <v>1</v>
      </c>
      <c r="Z16" s="1">
        <v>1.3582005896413567</v>
      </c>
      <c r="AA16" s="139" t="s">
        <v>78</v>
      </c>
      <c r="AB16" s="165">
        <v>20.463576158940398</v>
      </c>
      <c r="AC16" s="29">
        <v>1</v>
      </c>
      <c r="AD16" s="1">
        <v>1.3582005896413567</v>
      </c>
      <c r="AE16" s="31" t="s">
        <v>78</v>
      </c>
    </row>
    <row r="17" spans="1:31" ht="12.75">
      <c r="A17" s="157">
        <v>1802</v>
      </c>
      <c r="B17" s="163" t="s">
        <v>525</v>
      </c>
      <c r="C17" s="151" t="s">
        <v>525</v>
      </c>
      <c r="D17" s="152" t="s">
        <v>526</v>
      </c>
      <c r="E17" s="153" t="s">
        <v>402</v>
      </c>
      <c r="F17" s="144" t="s">
        <v>80</v>
      </c>
      <c r="G17" s="125" t="s">
        <v>393</v>
      </c>
      <c r="H17" s="164" t="s">
        <v>402</v>
      </c>
      <c r="I17" s="123" t="s">
        <v>402</v>
      </c>
      <c r="J17" s="124">
        <v>0</v>
      </c>
      <c r="K17" s="125" t="s">
        <v>81</v>
      </c>
      <c r="L17" s="165">
        <v>0</v>
      </c>
      <c r="M17" s="29">
        <v>1</v>
      </c>
      <c r="N17" s="1">
        <v>2.0865051432908035</v>
      </c>
      <c r="O17" s="139" t="s">
        <v>82</v>
      </c>
      <c r="P17" s="165">
        <v>0</v>
      </c>
      <c r="Q17" s="29">
        <v>1</v>
      </c>
      <c r="R17" s="1">
        <v>2.0865051432908035</v>
      </c>
      <c r="S17" s="139" t="s">
        <v>82</v>
      </c>
      <c r="T17" s="165">
        <v>80</v>
      </c>
      <c r="U17" s="29">
        <v>1</v>
      </c>
      <c r="V17" s="1">
        <v>2.0865051432908035</v>
      </c>
      <c r="W17" s="139" t="s">
        <v>82</v>
      </c>
      <c r="X17" s="165">
        <v>0</v>
      </c>
      <c r="Y17" s="29">
        <v>1</v>
      </c>
      <c r="Z17" s="1">
        <v>2.0865051432908035</v>
      </c>
      <c r="AA17" s="139" t="s">
        <v>82</v>
      </c>
      <c r="AB17" s="165">
        <v>0</v>
      </c>
      <c r="AC17" s="29">
        <v>1</v>
      </c>
      <c r="AD17" s="1">
        <v>2.0865051432908035</v>
      </c>
      <c r="AE17" s="31" t="s">
        <v>82</v>
      </c>
    </row>
    <row r="18" spans="1:31" ht="24">
      <c r="A18" s="157">
        <v>2988</v>
      </c>
      <c r="B18" s="163" t="s">
        <v>525</v>
      </c>
      <c r="C18" s="151" t="s">
        <v>525</v>
      </c>
      <c r="D18" s="152" t="s">
        <v>526</v>
      </c>
      <c r="E18" s="153" t="s">
        <v>402</v>
      </c>
      <c r="F18" s="144" t="s">
        <v>63</v>
      </c>
      <c r="G18" s="125" t="s">
        <v>393</v>
      </c>
      <c r="H18" s="164" t="s">
        <v>402</v>
      </c>
      <c r="I18" s="123" t="s">
        <v>402</v>
      </c>
      <c r="J18" s="124">
        <v>0</v>
      </c>
      <c r="K18" s="125" t="s">
        <v>397</v>
      </c>
      <c r="L18" s="165">
        <v>47.793797152151406</v>
      </c>
      <c r="M18" s="29">
        <v>1</v>
      </c>
      <c r="N18" s="1">
        <v>2.0865051432908035</v>
      </c>
      <c r="O18" s="139" t="s">
        <v>83</v>
      </c>
      <c r="P18" s="165">
        <v>52.142307085926248</v>
      </c>
      <c r="Q18" s="29">
        <v>1</v>
      </c>
      <c r="R18" s="1">
        <v>2.0865051432908035</v>
      </c>
      <c r="S18" s="139" t="s">
        <v>83</v>
      </c>
      <c r="T18" s="165">
        <v>52.142307085926248</v>
      </c>
      <c r="U18" s="29">
        <v>1</v>
      </c>
      <c r="V18" s="1">
        <v>2.0865051432908035</v>
      </c>
      <c r="W18" s="139" t="s">
        <v>83</v>
      </c>
      <c r="X18" s="165">
        <v>47.793797152151406</v>
      </c>
      <c r="Y18" s="29">
        <v>1</v>
      </c>
      <c r="Z18" s="1">
        <v>2.0865051432908035</v>
      </c>
      <c r="AA18" s="139" t="s">
        <v>83</v>
      </c>
      <c r="AB18" s="165">
        <v>52.142307085926248</v>
      </c>
      <c r="AC18" s="29">
        <v>1</v>
      </c>
      <c r="AD18" s="1">
        <v>2.0865051432908035</v>
      </c>
      <c r="AE18" s="31" t="s">
        <v>83</v>
      </c>
    </row>
    <row r="19" spans="1:31" ht="24">
      <c r="A19" s="157">
        <v>2987</v>
      </c>
      <c r="B19" s="163" t="s">
        <v>525</v>
      </c>
      <c r="C19" s="151" t="s">
        <v>525</v>
      </c>
      <c r="D19" s="152" t="s">
        <v>526</v>
      </c>
      <c r="E19" s="153" t="s">
        <v>402</v>
      </c>
      <c r="F19" s="144" t="s">
        <v>59</v>
      </c>
      <c r="G19" s="125" t="s">
        <v>521</v>
      </c>
      <c r="H19" s="164" t="s">
        <v>402</v>
      </c>
      <c r="I19" s="123" t="s">
        <v>402</v>
      </c>
      <c r="J19" s="124">
        <v>0</v>
      </c>
      <c r="K19" s="125" t="s">
        <v>397</v>
      </c>
      <c r="L19" s="165">
        <v>200.46298576075702</v>
      </c>
      <c r="M19" s="29">
        <v>1</v>
      </c>
      <c r="N19" s="1">
        <v>2.0865051432908035</v>
      </c>
      <c r="O19" s="139" t="s">
        <v>84</v>
      </c>
      <c r="P19" s="165">
        <v>222.2055354296312</v>
      </c>
      <c r="Q19" s="29">
        <v>1</v>
      </c>
      <c r="R19" s="1">
        <v>2.0865051432908035</v>
      </c>
      <c r="S19" s="139" t="s">
        <v>84</v>
      </c>
      <c r="T19" s="165">
        <v>222.2055354296312</v>
      </c>
      <c r="U19" s="29">
        <v>1</v>
      </c>
      <c r="V19" s="1">
        <v>2.0865051432908035</v>
      </c>
      <c r="W19" s="139" t="s">
        <v>84</v>
      </c>
      <c r="X19" s="165">
        <v>200.46298576075702</v>
      </c>
      <c r="Y19" s="29">
        <v>1</v>
      </c>
      <c r="Z19" s="1">
        <v>2.0865051432908035</v>
      </c>
      <c r="AA19" s="139" t="s">
        <v>84</v>
      </c>
      <c r="AB19" s="165">
        <v>222.2055354296312</v>
      </c>
      <c r="AC19" s="29">
        <v>1</v>
      </c>
      <c r="AD19" s="1">
        <v>2.0865051432908035</v>
      </c>
      <c r="AE19" s="31" t="s">
        <v>84</v>
      </c>
    </row>
    <row r="20" spans="1:31" ht="12.75">
      <c r="A20" s="214">
        <v>490</v>
      </c>
      <c r="B20" s="296" t="s">
        <v>692</v>
      </c>
      <c r="C20" s="151" t="s">
        <v>525</v>
      </c>
      <c r="D20" s="152" t="s">
        <v>402</v>
      </c>
      <c r="E20" s="153" t="s">
        <v>527</v>
      </c>
      <c r="F20" s="144" t="s">
        <v>324</v>
      </c>
      <c r="G20" s="125" t="s">
        <v>402</v>
      </c>
      <c r="H20" s="164" t="s">
        <v>325</v>
      </c>
      <c r="I20" s="123" t="s">
        <v>685</v>
      </c>
      <c r="J20" s="124" t="s">
        <v>402</v>
      </c>
      <c r="K20" s="125" t="s">
        <v>677</v>
      </c>
      <c r="L20" s="165">
        <v>0.14400000000000002</v>
      </c>
      <c r="M20" s="29">
        <v>1</v>
      </c>
      <c r="N20" s="1">
        <v>1.2849840792941758</v>
      </c>
      <c r="O20" s="139" t="s">
        <v>88</v>
      </c>
      <c r="P20" s="165">
        <v>0.14400000000000002</v>
      </c>
      <c r="Q20" s="29">
        <v>1</v>
      </c>
      <c r="R20" s="1">
        <v>1.2849840792941758</v>
      </c>
      <c r="S20" s="139" t="s">
        <v>88</v>
      </c>
      <c r="T20" s="165">
        <v>3.6720000000000002</v>
      </c>
      <c r="U20" s="29">
        <v>1</v>
      </c>
      <c r="V20" s="1">
        <v>1.2849840792941758</v>
      </c>
      <c r="W20" s="139" t="s">
        <v>88</v>
      </c>
      <c r="X20" s="165">
        <v>0.82800000000000007</v>
      </c>
      <c r="Y20" s="29">
        <v>1</v>
      </c>
      <c r="Z20" s="1">
        <v>1.2849840792941758</v>
      </c>
      <c r="AA20" s="139" t="s">
        <v>88</v>
      </c>
      <c r="AB20" s="165">
        <v>0.82800000000000007</v>
      </c>
      <c r="AC20" s="29">
        <v>1</v>
      </c>
      <c r="AD20" s="1">
        <v>1.2849840792941758</v>
      </c>
      <c r="AE20" s="31" t="s">
        <v>88</v>
      </c>
    </row>
    <row r="21" spans="1:31" ht="24">
      <c r="A21" s="640" t="s">
        <v>1025</v>
      </c>
      <c r="B21" s="168" t="s">
        <v>523</v>
      </c>
      <c r="C21" s="169"/>
      <c r="D21" s="11" t="s">
        <v>402</v>
      </c>
      <c r="E21" s="170">
        <v>0</v>
      </c>
      <c r="F21" s="145" t="s">
        <v>121</v>
      </c>
      <c r="G21" s="16" t="s">
        <v>956</v>
      </c>
      <c r="H21" s="14" t="s">
        <v>402</v>
      </c>
      <c r="I21" s="14" t="s">
        <v>402</v>
      </c>
      <c r="J21" s="15">
        <v>1</v>
      </c>
      <c r="K21" s="16" t="s">
        <v>522</v>
      </c>
      <c r="L21" s="149">
        <v>1</v>
      </c>
      <c r="M21" s="29"/>
      <c r="N21" s="30"/>
      <c r="O21" s="139"/>
      <c r="P21" s="149">
        <v>0</v>
      </c>
      <c r="Q21" s="29"/>
      <c r="R21" s="30"/>
      <c r="S21" s="139"/>
      <c r="T21" s="149">
        <v>0</v>
      </c>
      <c r="U21" s="29"/>
      <c r="V21" s="30"/>
      <c r="W21" s="139"/>
      <c r="X21" s="149">
        <v>0</v>
      </c>
      <c r="Y21" s="29"/>
      <c r="Z21" s="30"/>
      <c r="AA21" s="139"/>
      <c r="AB21" s="149">
        <v>0</v>
      </c>
      <c r="AC21" s="29"/>
      <c r="AD21" s="1"/>
      <c r="AE21" s="31"/>
    </row>
    <row r="22" spans="1:31" ht="24">
      <c r="A22" s="640" t="s">
        <v>1026</v>
      </c>
      <c r="B22" s="168"/>
      <c r="C22" s="169"/>
      <c r="D22" s="11" t="s">
        <v>402</v>
      </c>
      <c r="E22" s="170">
        <v>0</v>
      </c>
      <c r="F22" s="145" t="s">
        <v>122</v>
      </c>
      <c r="G22" s="16" t="s">
        <v>956</v>
      </c>
      <c r="H22" s="14" t="s">
        <v>402</v>
      </c>
      <c r="I22" s="14" t="s">
        <v>402</v>
      </c>
      <c r="J22" s="15">
        <v>1</v>
      </c>
      <c r="K22" s="16" t="s">
        <v>522</v>
      </c>
      <c r="L22" s="149">
        <v>0</v>
      </c>
      <c r="M22" s="40"/>
      <c r="N22" s="192"/>
      <c r="O22" s="202"/>
      <c r="P22" s="149">
        <v>1</v>
      </c>
      <c r="Q22" s="40"/>
      <c r="R22" s="192"/>
      <c r="S22" s="202"/>
      <c r="T22" s="149">
        <v>0</v>
      </c>
      <c r="U22" s="40"/>
      <c r="V22" s="192"/>
      <c r="W22" s="202"/>
      <c r="X22" s="149">
        <v>0</v>
      </c>
      <c r="Y22" s="40"/>
      <c r="Z22" s="192"/>
      <c r="AA22" s="202"/>
      <c r="AB22" s="149">
        <v>0</v>
      </c>
      <c r="AC22" s="40"/>
      <c r="AD22" s="89"/>
      <c r="AE22" s="193"/>
    </row>
    <row r="23" spans="1:31">
      <c r="A23" s="640" t="s">
        <v>1027</v>
      </c>
      <c r="B23" s="168"/>
      <c r="C23" s="169"/>
      <c r="D23" s="11" t="s">
        <v>402</v>
      </c>
      <c r="E23" s="170">
        <v>0</v>
      </c>
      <c r="F23" s="145" t="s">
        <v>125</v>
      </c>
      <c r="G23" s="16" t="s">
        <v>956</v>
      </c>
      <c r="H23" s="14" t="s">
        <v>402</v>
      </c>
      <c r="I23" s="14" t="s">
        <v>402</v>
      </c>
      <c r="J23" s="15">
        <v>1</v>
      </c>
      <c r="K23" s="16" t="s">
        <v>522</v>
      </c>
      <c r="L23" s="149">
        <v>0</v>
      </c>
      <c r="M23" s="40"/>
      <c r="N23" s="192"/>
      <c r="O23" s="202"/>
      <c r="P23" s="149">
        <v>0</v>
      </c>
      <c r="Q23" s="40"/>
      <c r="R23" s="192"/>
      <c r="S23" s="202"/>
      <c r="T23" s="149">
        <v>1</v>
      </c>
      <c r="U23" s="40"/>
      <c r="V23" s="192"/>
      <c r="W23" s="202"/>
      <c r="X23" s="149">
        <v>0</v>
      </c>
      <c r="Y23" s="40"/>
      <c r="Z23" s="192"/>
      <c r="AA23" s="202"/>
      <c r="AB23" s="149">
        <v>0</v>
      </c>
      <c r="AC23" s="40"/>
      <c r="AD23" s="89"/>
      <c r="AE23" s="193"/>
    </row>
    <row r="24" spans="1:31" ht="24">
      <c r="A24" s="640" t="s">
        <v>1028</v>
      </c>
      <c r="B24" s="168"/>
      <c r="C24" s="169"/>
      <c r="D24" s="11" t="s">
        <v>402</v>
      </c>
      <c r="E24" s="170">
        <v>0</v>
      </c>
      <c r="F24" s="145" t="s">
        <v>127</v>
      </c>
      <c r="G24" s="16" t="s">
        <v>956</v>
      </c>
      <c r="H24" s="14" t="s">
        <v>402</v>
      </c>
      <c r="I24" s="14" t="s">
        <v>402</v>
      </c>
      <c r="J24" s="15">
        <v>1</v>
      </c>
      <c r="K24" s="16" t="s">
        <v>522</v>
      </c>
      <c r="L24" s="149">
        <v>0</v>
      </c>
      <c r="M24" s="40"/>
      <c r="N24" s="192"/>
      <c r="O24" s="202"/>
      <c r="P24" s="149">
        <v>0</v>
      </c>
      <c r="Q24" s="40"/>
      <c r="R24" s="192"/>
      <c r="S24" s="202"/>
      <c r="T24" s="149">
        <v>0</v>
      </c>
      <c r="U24" s="40"/>
      <c r="V24" s="192"/>
      <c r="W24" s="202"/>
      <c r="X24" s="149">
        <v>1</v>
      </c>
      <c r="Y24" s="40"/>
      <c r="Z24" s="192"/>
      <c r="AA24" s="202"/>
      <c r="AB24" s="149">
        <v>0</v>
      </c>
      <c r="AC24" s="40"/>
      <c r="AD24" s="89"/>
      <c r="AE24" s="193"/>
    </row>
    <row r="25" spans="1:31" ht="24">
      <c r="A25" s="640" t="s">
        <v>1029</v>
      </c>
      <c r="B25" s="168"/>
      <c r="C25" s="169"/>
      <c r="D25" s="11" t="s">
        <v>402</v>
      </c>
      <c r="E25" s="170">
        <v>0</v>
      </c>
      <c r="F25" s="145" t="s">
        <v>128</v>
      </c>
      <c r="G25" s="16" t="s">
        <v>956</v>
      </c>
      <c r="H25" s="14" t="s">
        <v>402</v>
      </c>
      <c r="I25" s="14" t="s">
        <v>402</v>
      </c>
      <c r="J25" s="15">
        <v>1</v>
      </c>
      <c r="K25" s="16" t="s">
        <v>522</v>
      </c>
      <c r="L25" s="149">
        <v>0</v>
      </c>
      <c r="M25" s="40"/>
      <c r="N25" s="192"/>
      <c r="O25" s="202"/>
      <c r="P25" s="149">
        <v>0</v>
      </c>
      <c r="Q25" s="40"/>
      <c r="R25" s="192"/>
      <c r="S25" s="202"/>
      <c r="T25" s="149">
        <v>0</v>
      </c>
      <c r="U25" s="40"/>
      <c r="V25" s="192"/>
      <c r="W25" s="202"/>
      <c r="X25" s="149">
        <v>0</v>
      </c>
      <c r="Y25" s="40"/>
      <c r="Z25" s="192"/>
      <c r="AA25" s="202"/>
      <c r="AB25" s="149">
        <v>1</v>
      </c>
      <c r="AC25" s="40"/>
      <c r="AD25" s="89"/>
      <c r="AE25" s="193"/>
    </row>
    <row r="26" spans="1:31">
      <c r="F26" s="7"/>
    </row>
    <row r="27" spans="1:31">
      <c r="F27" s="7"/>
    </row>
    <row r="28" spans="1:31">
      <c r="F28" s="7"/>
    </row>
    <row r="29" spans="1:31">
      <c r="F29" s="7"/>
    </row>
    <row r="30" spans="1:31">
      <c r="F30" s="7"/>
    </row>
  </sheetData>
  <pageMargins left="0.78740157499999996" right="0.78740157499999996" top="0.984251969" bottom="0.984251969" header="0.4921259845" footer="0.4921259845"/>
  <pageSetup paperSize="9" scale="8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9">
    <pageSetUpPr fitToPage="1"/>
  </sheetPr>
  <dimension ref="A1:AE32"/>
  <sheetViews>
    <sheetView zoomScale="75" workbookViewId="0">
      <pane xSplit="11" ySplit="6" topLeftCell="AB7" activePane="bottomRight" state="frozen"/>
      <selection activeCell="J46" sqref="J46"/>
      <selection pane="topRight" activeCell="J46" sqref="J46"/>
      <selection pane="bottomLeft" activeCell="J46" sqref="J46"/>
      <selection pane="bottomRight" activeCell="J46" sqref="J46"/>
    </sheetView>
  </sheetViews>
  <sheetFormatPr defaultColWidth="11.42578125" defaultRowHeight="12" outlineLevelCol="1"/>
  <cols>
    <col min="1" max="1" width="8.42578125" style="7" customWidth="1" outlineLevel="1"/>
    <col min="2" max="2" width="12.85546875" style="158" customWidth="1"/>
    <col min="3" max="3" width="3.7109375" style="159" hidden="1" customWidth="1" outlineLevel="1"/>
    <col min="4" max="4" width="3.140625" style="7" hidden="1" customWidth="1" outlineLevel="1"/>
    <col min="5" max="5" width="2.7109375" style="7" hidden="1" customWidth="1" outlineLevel="1"/>
    <col min="6" max="6" width="39.140625" style="8" customWidth="1" collapsed="1"/>
    <col min="7" max="7" width="5" style="7" customWidth="1"/>
    <col min="8" max="8" width="5.7109375" style="7" hidden="1" customWidth="1" outlineLevel="1"/>
    <col min="9" max="9" width="10.28515625" style="7" hidden="1" customWidth="1" outlineLevel="1"/>
    <col min="10" max="10" width="4.140625" style="7" bestFit="1" customWidth="1" collapsed="1"/>
    <col min="11" max="11" width="5.140625" style="7" customWidth="1"/>
    <col min="12" max="12" width="11.28515625" style="7" customWidth="1"/>
    <col min="13" max="13" width="2" style="141" hidden="1" customWidth="1" outlineLevel="1"/>
    <col min="14" max="14" width="4.28515625" style="140" hidden="1" customWidth="1" outlineLevel="1"/>
    <col min="15" max="15" width="37.85546875" style="140" hidden="1" customWidth="1" outlineLevel="1"/>
    <col min="16" max="16" width="11.28515625" style="7" customWidth="1" collapsed="1"/>
    <col min="17" max="17" width="2" style="141" hidden="1" customWidth="1" outlineLevel="1"/>
    <col min="18" max="18" width="4.28515625" style="140" hidden="1" customWidth="1" outlineLevel="1"/>
    <col min="19" max="19" width="37.85546875" style="140" hidden="1" customWidth="1" outlineLevel="1"/>
    <col min="20" max="20" width="11.28515625" style="7" customWidth="1" collapsed="1"/>
    <col min="21" max="21" width="2" style="141" hidden="1" customWidth="1" outlineLevel="1"/>
    <col min="22" max="22" width="4.28515625" style="140" hidden="1" customWidth="1" outlineLevel="1"/>
    <col min="23" max="23" width="37.85546875" style="140" hidden="1" customWidth="1" outlineLevel="1"/>
    <col min="24" max="24" width="11.28515625" style="7" customWidth="1" collapsed="1"/>
    <col min="25" max="25" width="2" style="141" hidden="1" customWidth="1" outlineLevel="1"/>
    <col min="26" max="26" width="4.28515625" style="140" hidden="1" customWidth="1" outlineLevel="1"/>
    <col min="27" max="27" width="37.85546875" style="140" hidden="1" customWidth="1" outlineLevel="1"/>
    <col min="28" max="28" width="11.28515625" style="7" customWidth="1" collapsed="1"/>
    <col min="29" max="29" width="2" style="118" customWidth="1" outlineLevel="1"/>
    <col min="30" max="30" width="5.140625" style="32" customWidth="1" outlineLevel="1"/>
    <col min="31" max="31" width="39.140625" style="33" customWidth="1" outlineLevel="1"/>
    <col min="32" max="16384" width="11.42578125" style="7"/>
  </cols>
  <sheetData>
    <row r="1" spans="1:31">
      <c r="A1" s="36"/>
      <c r="B1" s="34"/>
      <c r="C1" s="35"/>
      <c r="D1" s="36"/>
      <c r="E1" s="36"/>
      <c r="F1" s="37" t="s">
        <v>510</v>
      </c>
      <c r="G1" s="36"/>
      <c r="H1" s="36"/>
      <c r="I1" s="36"/>
      <c r="J1" s="36"/>
      <c r="K1" s="36"/>
      <c r="L1" s="189" t="s">
        <v>1030</v>
      </c>
      <c r="M1" s="21"/>
      <c r="N1" s="22"/>
      <c r="O1" s="22"/>
      <c r="P1" s="189" t="s">
        <v>1031</v>
      </c>
      <c r="Q1" s="21"/>
      <c r="R1" s="22"/>
      <c r="S1" s="22"/>
      <c r="T1" s="189" t="s">
        <v>1032</v>
      </c>
      <c r="U1" s="21"/>
      <c r="V1" s="22"/>
      <c r="W1" s="22"/>
      <c r="X1" s="189" t="s">
        <v>1033</v>
      </c>
      <c r="Y1" s="21"/>
      <c r="Z1" s="22"/>
      <c r="AA1" s="22"/>
      <c r="AB1" s="189" t="s">
        <v>1034</v>
      </c>
      <c r="AC1" s="21"/>
      <c r="AD1" s="22"/>
      <c r="AE1" s="22"/>
    </row>
    <row r="2" spans="1:31">
      <c r="A2" s="36"/>
      <c r="B2" s="147"/>
      <c r="C2" s="35" t="s">
        <v>511</v>
      </c>
      <c r="D2" s="147">
        <v>3503</v>
      </c>
      <c r="E2" s="147">
        <v>3504</v>
      </c>
      <c r="F2" s="147">
        <v>3702</v>
      </c>
      <c r="G2" s="147">
        <v>3703</v>
      </c>
      <c r="H2" s="147">
        <v>3506</v>
      </c>
      <c r="I2" s="147">
        <v>3507</v>
      </c>
      <c r="J2" s="147">
        <v>3508</v>
      </c>
      <c r="K2" s="147">
        <v>3706</v>
      </c>
      <c r="L2" s="147">
        <v>3707</v>
      </c>
      <c r="M2" s="133">
        <v>3708</v>
      </c>
      <c r="N2" s="133">
        <v>3709</v>
      </c>
      <c r="O2" s="134">
        <v>3792</v>
      </c>
      <c r="P2" s="147">
        <v>3707</v>
      </c>
      <c r="Q2" s="133">
        <v>3708</v>
      </c>
      <c r="R2" s="133">
        <v>3709</v>
      </c>
      <c r="S2" s="134">
        <v>3792</v>
      </c>
      <c r="T2" s="147">
        <v>3707</v>
      </c>
      <c r="U2" s="133">
        <v>3708</v>
      </c>
      <c r="V2" s="133">
        <v>3709</v>
      </c>
      <c r="W2" s="134">
        <v>3792</v>
      </c>
      <c r="X2" s="147">
        <v>3707</v>
      </c>
      <c r="Y2" s="133">
        <v>3708</v>
      </c>
      <c r="Z2" s="133">
        <v>3709</v>
      </c>
      <c r="AA2" s="134">
        <v>3792</v>
      </c>
      <c r="AB2" s="147">
        <v>3707</v>
      </c>
      <c r="AC2" s="23">
        <v>3708</v>
      </c>
      <c r="AD2" s="23">
        <v>3709</v>
      </c>
      <c r="AE2" s="24">
        <v>3792</v>
      </c>
    </row>
    <row r="3" spans="1:31" ht="104.25" customHeight="1">
      <c r="A3" s="36" t="s">
        <v>398</v>
      </c>
      <c r="B3" s="166"/>
      <c r="C3" s="35">
        <v>401</v>
      </c>
      <c r="D3" s="167" t="s">
        <v>514</v>
      </c>
      <c r="E3" s="167" t="s">
        <v>515</v>
      </c>
      <c r="F3" s="132" t="s">
        <v>516</v>
      </c>
      <c r="G3" s="41" t="s">
        <v>517</v>
      </c>
      <c r="H3" s="41" t="s">
        <v>518</v>
      </c>
      <c r="I3" s="41" t="s">
        <v>519</v>
      </c>
      <c r="J3" s="41" t="s">
        <v>520</v>
      </c>
      <c r="K3" s="41" t="s">
        <v>394</v>
      </c>
      <c r="L3" s="178" t="s">
        <v>121</v>
      </c>
      <c r="M3" s="135" t="s">
        <v>265</v>
      </c>
      <c r="N3" s="135" t="s">
        <v>266</v>
      </c>
      <c r="O3" s="136" t="s">
        <v>548</v>
      </c>
      <c r="P3" s="178" t="s">
        <v>122</v>
      </c>
      <c r="Q3" s="135" t="s">
        <v>265</v>
      </c>
      <c r="R3" s="135" t="s">
        <v>266</v>
      </c>
      <c r="S3" s="136" t="s">
        <v>548</v>
      </c>
      <c r="T3" s="178" t="s">
        <v>125</v>
      </c>
      <c r="U3" s="135" t="s">
        <v>265</v>
      </c>
      <c r="V3" s="135" t="s">
        <v>266</v>
      </c>
      <c r="W3" s="136" t="s">
        <v>548</v>
      </c>
      <c r="X3" s="178" t="s">
        <v>127</v>
      </c>
      <c r="Y3" s="135" t="s">
        <v>265</v>
      </c>
      <c r="Z3" s="135" t="s">
        <v>266</v>
      </c>
      <c r="AA3" s="136" t="s">
        <v>548</v>
      </c>
      <c r="AB3" s="178" t="s">
        <v>128</v>
      </c>
      <c r="AC3" s="25" t="s">
        <v>265</v>
      </c>
      <c r="AD3" s="25" t="s">
        <v>266</v>
      </c>
      <c r="AE3" s="128" t="s">
        <v>548</v>
      </c>
    </row>
    <row r="4" spans="1:31" ht="13.5" customHeight="1">
      <c r="A4" s="36"/>
      <c r="B4" s="166"/>
      <c r="C4" s="35">
        <v>662</v>
      </c>
      <c r="D4" s="9"/>
      <c r="E4" s="9"/>
      <c r="F4" s="132" t="s">
        <v>517</v>
      </c>
      <c r="G4" s="132"/>
      <c r="H4" s="132"/>
      <c r="I4" s="132"/>
      <c r="J4" s="132"/>
      <c r="K4" s="132"/>
      <c r="L4" s="178" t="s">
        <v>1105</v>
      </c>
      <c r="M4" s="137">
        <v>0</v>
      </c>
      <c r="N4" s="137">
        <v>0</v>
      </c>
      <c r="O4" s="138">
        <v>0</v>
      </c>
      <c r="P4" s="178" t="s">
        <v>1105</v>
      </c>
      <c r="Q4" s="137">
        <v>0</v>
      </c>
      <c r="R4" s="137">
        <v>0</v>
      </c>
      <c r="S4" s="138">
        <v>0</v>
      </c>
      <c r="T4" s="178" t="s">
        <v>1105</v>
      </c>
      <c r="U4" s="137">
        <v>0</v>
      </c>
      <c r="V4" s="137">
        <v>0</v>
      </c>
      <c r="W4" s="138">
        <v>0</v>
      </c>
      <c r="X4" s="178" t="s">
        <v>1105</v>
      </c>
      <c r="Y4" s="137">
        <v>0</v>
      </c>
      <c r="Z4" s="137">
        <v>0</v>
      </c>
      <c r="AA4" s="138">
        <v>0</v>
      </c>
      <c r="AB4" s="178" t="s">
        <v>1105</v>
      </c>
      <c r="AC4" s="129"/>
      <c r="AD4" s="129"/>
      <c r="AE4" s="130"/>
    </row>
    <row r="5" spans="1:31">
      <c r="A5" s="36"/>
      <c r="B5" s="166"/>
      <c r="C5" s="35">
        <v>493</v>
      </c>
      <c r="D5" s="9"/>
      <c r="E5" s="9"/>
      <c r="F5" s="132" t="s">
        <v>520</v>
      </c>
      <c r="G5" s="132"/>
      <c r="H5" s="132"/>
      <c r="I5" s="132"/>
      <c r="J5" s="132"/>
      <c r="K5" s="132"/>
      <c r="L5" s="178">
        <v>1</v>
      </c>
      <c r="M5" s="137">
        <v>0</v>
      </c>
      <c r="N5" s="137">
        <v>0</v>
      </c>
      <c r="O5" s="138">
        <v>0</v>
      </c>
      <c r="P5" s="178">
        <v>1</v>
      </c>
      <c r="Q5" s="137">
        <v>0</v>
      </c>
      <c r="R5" s="137">
        <v>0</v>
      </c>
      <c r="S5" s="138">
        <v>0</v>
      </c>
      <c r="T5" s="178">
        <v>1</v>
      </c>
      <c r="U5" s="137">
        <v>0</v>
      </c>
      <c r="V5" s="137">
        <v>0</v>
      </c>
      <c r="W5" s="138">
        <v>0</v>
      </c>
      <c r="X5" s="178">
        <v>1</v>
      </c>
      <c r="Y5" s="137">
        <v>0</v>
      </c>
      <c r="Z5" s="137">
        <v>0</v>
      </c>
      <c r="AA5" s="138">
        <v>0</v>
      </c>
      <c r="AB5" s="178">
        <v>1</v>
      </c>
      <c r="AC5" s="129"/>
      <c r="AD5" s="129"/>
      <c r="AE5" s="130"/>
    </row>
    <row r="6" spans="1:31">
      <c r="A6" s="36"/>
      <c r="B6" s="166"/>
      <c r="C6" s="35">
        <v>403</v>
      </c>
      <c r="D6" s="9"/>
      <c r="E6" s="9"/>
      <c r="F6" s="132" t="s">
        <v>394</v>
      </c>
      <c r="G6" s="352"/>
      <c r="H6" s="132"/>
      <c r="I6" s="132"/>
      <c r="J6" s="132"/>
      <c r="K6" s="132"/>
      <c r="L6" s="178" t="s">
        <v>522</v>
      </c>
      <c r="M6" s="137">
        <v>0</v>
      </c>
      <c r="N6" s="137">
        <v>0</v>
      </c>
      <c r="O6" s="138">
        <v>0</v>
      </c>
      <c r="P6" s="178" t="s">
        <v>522</v>
      </c>
      <c r="Q6" s="137">
        <v>0</v>
      </c>
      <c r="R6" s="137">
        <v>0</v>
      </c>
      <c r="S6" s="138">
        <v>0</v>
      </c>
      <c r="T6" s="178" t="s">
        <v>522</v>
      </c>
      <c r="U6" s="137">
        <v>0</v>
      </c>
      <c r="V6" s="137">
        <v>0</v>
      </c>
      <c r="W6" s="138">
        <v>0</v>
      </c>
      <c r="X6" s="178" t="s">
        <v>522</v>
      </c>
      <c r="Y6" s="137">
        <v>0</v>
      </c>
      <c r="Z6" s="137">
        <v>0</v>
      </c>
      <c r="AA6" s="138">
        <v>0</v>
      </c>
      <c r="AB6" s="178" t="s">
        <v>522</v>
      </c>
      <c r="AC6" s="129"/>
      <c r="AD6" s="129"/>
      <c r="AE6" s="130"/>
    </row>
    <row r="7" spans="1:31" ht="24">
      <c r="A7" s="2" t="s">
        <v>1053</v>
      </c>
      <c r="B7" s="163" t="s">
        <v>524</v>
      </c>
      <c r="C7" s="151" t="s">
        <v>525</v>
      </c>
      <c r="D7" s="152" t="s">
        <v>526</v>
      </c>
      <c r="E7" s="153" t="s">
        <v>402</v>
      </c>
      <c r="F7" s="144" t="s">
        <v>70</v>
      </c>
      <c r="G7" s="125" t="s">
        <v>1105</v>
      </c>
      <c r="H7" s="164" t="s">
        <v>402</v>
      </c>
      <c r="I7" s="123" t="s">
        <v>402</v>
      </c>
      <c r="J7" s="124">
        <v>0</v>
      </c>
      <c r="K7" s="125" t="s">
        <v>678</v>
      </c>
      <c r="L7" s="165">
        <v>0.04</v>
      </c>
      <c r="M7" s="29">
        <v>1</v>
      </c>
      <c r="N7" s="1">
        <v>1.2849840792941758</v>
      </c>
      <c r="O7" s="139" t="s">
        <v>71</v>
      </c>
      <c r="P7" s="165">
        <v>0.04</v>
      </c>
      <c r="Q7" s="29">
        <v>1</v>
      </c>
      <c r="R7" s="1">
        <v>1.2849840792941758</v>
      </c>
      <c r="S7" s="139" t="s">
        <v>71</v>
      </c>
      <c r="T7" s="165">
        <v>1.02</v>
      </c>
      <c r="U7" s="29">
        <v>1</v>
      </c>
      <c r="V7" s="1">
        <v>1.2849840792941758</v>
      </c>
      <c r="W7" s="139" t="s">
        <v>71</v>
      </c>
      <c r="X7" s="165">
        <v>0.23</v>
      </c>
      <c r="Y7" s="29">
        <v>1</v>
      </c>
      <c r="Z7" s="1">
        <v>1.2849840792941758</v>
      </c>
      <c r="AA7" s="139" t="s">
        <v>71</v>
      </c>
      <c r="AB7" s="165">
        <v>0.23</v>
      </c>
      <c r="AC7" s="29">
        <v>1</v>
      </c>
      <c r="AD7" s="1">
        <v>1.2849840792941758</v>
      </c>
      <c r="AE7" s="31" t="s">
        <v>71</v>
      </c>
    </row>
    <row r="8" spans="1:31" ht="12.75">
      <c r="A8" s="156">
        <v>4804</v>
      </c>
      <c r="B8" s="163" t="s">
        <v>525</v>
      </c>
      <c r="C8" s="151" t="s">
        <v>525</v>
      </c>
      <c r="D8" s="152" t="s">
        <v>526</v>
      </c>
      <c r="E8" s="153" t="s">
        <v>402</v>
      </c>
      <c r="F8" s="144" t="s">
        <v>72</v>
      </c>
      <c r="G8" s="125" t="s">
        <v>521</v>
      </c>
      <c r="H8" s="164" t="s">
        <v>402</v>
      </c>
      <c r="I8" s="123" t="s">
        <v>402</v>
      </c>
      <c r="J8" s="124">
        <v>1</v>
      </c>
      <c r="K8" s="125" t="s">
        <v>522</v>
      </c>
      <c r="L8" s="165">
        <v>2.4</v>
      </c>
      <c r="M8" s="29">
        <v>1</v>
      </c>
      <c r="N8" s="1">
        <v>1.2354522921220721</v>
      </c>
      <c r="O8" s="139" t="s">
        <v>73</v>
      </c>
      <c r="P8" s="165">
        <v>2.4</v>
      </c>
      <c r="Q8" s="29">
        <v>1</v>
      </c>
      <c r="R8" s="1">
        <v>1.2354522921220721</v>
      </c>
      <c r="S8" s="139" t="s">
        <v>73</v>
      </c>
      <c r="T8" s="165">
        <v>2.4</v>
      </c>
      <c r="U8" s="29">
        <v>1</v>
      </c>
      <c r="V8" s="1">
        <v>1.2354522921220721</v>
      </c>
      <c r="W8" s="139" t="s">
        <v>73</v>
      </c>
      <c r="X8" s="165">
        <v>2.4</v>
      </c>
      <c r="Y8" s="29">
        <v>1</v>
      </c>
      <c r="Z8" s="1">
        <v>1.2354522921220721</v>
      </c>
      <c r="AA8" s="139" t="s">
        <v>73</v>
      </c>
      <c r="AB8" s="165">
        <v>2.4</v>
      </c>
      <c r="AC8" s="29">
        <v>1</v>
      </c>
      <c r="AD8" s="1">
        <v>1.2354522921220721</v>
      </c>
      <c r="AE8" s="31" t="s">
        <v>73</v>
      </c>
    </row>
    <row r="9" spans="1:31" ht="12.75">
      <c r="A9" s="156">
        <v>1484</v>
      </c>
      <c r="B9" s="163"/>
      <c r="C9" s="151" t="s">
        <v>525</v>
      </c>
      <c r="D9" s="152" t="s">
        <v>526</v>
      </c>
      <c r="E9" s="153" t="s">
        <v>402</v>
      </c>
      <c r="F9" s="144" t="s">
        <v>74</v>
      </c>
      <c r="G9" s="125" t="s">
        <v>393</v>
      </c>
      <c r="H9" s="164" t="s">
        <v>402</v>
      </c>
      <c r="I9" s="123" t="s">
        <v>402</v>
      </c>
      <c r="J9" s="124">
        <v>1</v>
      </c>
      <c r="K9" s="125" t="s">
        <v>522</v>
      </c>
      <c r="L9" s="165">
        <v>1</v>
      </c>
      <c r="M9" s="29">
        <v>1</v>
      </c>
      <c r="N9" s="1">
        <v>2.0865051432908035</v>
      </c>
      <c r="O9" s="139" t="s">
        <v>75</v>
      </c>
      <c r="P9" s="165">
        <v>1</v>
      </c>
      <c r="Q9" s="29">
        <v>1</v>
      </c>
      <c r="R9" s="1">
        <v>2.0865051432908035</v>
      </c>
      <c r="S9" s="139" t="s">
        <v>75</v>
      </c>
      <c r="T9" s="165">
        <v>1</v>
      </c>
      <c r="U9" s="29">
        <v>1</v>
      </c>
      <c r="V9" s="1">
        <v>2.0865051432908035</v>
      </c>
      <c r="W9" s="139" t="s">
        <v>75</v>
      </c>
      <c r="X9" s="165">
        <v>1</v>
      </c>
      <c r="Y9" s="29">
        <v>1</v>
      </c>
      <c r="Z9" s="1">
        <v>2.0865051432908035</v>
      </c>
      <c r="AA9" s="139" t="s">
        <v>75</v>
      </c>
      <c r="AB9" s="165">
        <v>1</v>
      </c>
      <c r="AC9" s="29">
        <v>1</v>
      </c>
      <c r="AD9" s="1">
        <v>2.0865051432908035</v>
      </c>
      <c r="AE9" s="31" t="s">
        <v>75</v>
      </c>
    </row>
    <row r="10" spans="1:31" ht="12.75">
      <c r="A10" s="156">
        <v>1489</v>
      </c>
      <c r="B10" s="163" t="s">
        <v>525</v>
      </c>
      <c r="C10" s="151" t="s">
        <v>525</v>
      </c>
      <c r="D10" s="152" t="s">
        <v>526</v>
      </c>
      <c r="E10" s="153" t="s">
        <v>402</v>
      </c>
      <c r="F10" s="144" t="s">
        <v>52</v>
      </c>
      <c r="G10" s="125" t="s">
        <v>521</v>
      </c>
      <c r="H10" s="164" t="s">
        <v>402</v>
      </c>
      <c r="I10" s="123" t="s">
        <v>402</v>
      </c>
      <c r="J10" s="124">
        <v>1</v>
      </c>
      <c r="K10" s="125" t="s">
        <v>396</v>
      </c>
      <c r="L10" s="165">
        <v>0</v>
      </c>
      <c r="M10" s="29">
        <v>1</v>
      </c>
      <c r="N10" s="1">
        <v>1.2284225230179247</v>
      </c>
      <c r="O10" s="139" t="s">
        <v>76</v>
      </c>
      <c r="P10" s="165">
        <v>19.867549668874172</v>
      </c>
      <c r="Q10" s="29">
        <v>1</v>
      </c>
      <c r="R10" s="1">
        <v>1.2284225230179247</v>
      </c>
      <c r="S10" s="139" t="s">
        <v>76</v>
      </c>
      <c r="T10" s="165">
        <v>0</v>
      </c>
      <c r="U10" s="29">
        <v>1</v>
      </c>
      <c r="V10" s="1">
        <v>1.2284225230179247</v>
      </c>
      <c r="W10" s="139" t="s">
        <v>76</v>
      </c>
      <c r="X10" s="165">
        <v>0</v>
      </c>
      <c r="Y10" s="29">
        <v>1</v>
      </c>
      <c r="Z10" s="1">
        <v>1.2284225230179247</v>
      </c>
      <c r="AA10" s="139" t="s">
        <v>76</v>
      </c>
      <c r="AB10" s="165">
        <v>0</v>
      </c>
      <c r="AC10" s="29">
        <v>1</v>
      </c>
      <c r="AD10" s="1">
        <v>1.2284225230179247</v>
      </c>
      <c r="AE10" s="31" t="s">
        <v>76</v>
      </c>
    </row>
    <row r="11" spans="1:31" ht="12.75">
      <c r="A11" s="156">
        <v>1490</v>
      </c>
      <c r="B11" s="163" t="s">
        <v>525</v>
      </c>
      <c r="C11" s="151" t="s">
        <v>525</v>
      </c>
      <c r="D11" s="152" t="s">
        <v>526</v>
      </c>
      <c r="E11" s="153" t="s">
        <v>402</v>
      </c>
      <c r="F11" s="144" t="s">
        <v>53</v>
      </c>
      <c r="G11" s="125" t="s">
        <v>521</v>
      </c>
      <c r="H11" s="164" t="s">
        <v>402</v>
      </c>
      <c r="I11" s="123" t="s">
        <v>402</v>
      </c>
      <c r="J11" s="124">
        <v>1</v>
      </c>
      <c r="K11" s="125" t="s">
        <v>396</v>
      </c>
      <c r="L11" s="165">
        <v>19.867549668874172</v>
      </c>
      <c r="M11" s="29">
        <v>1</v>
      </c>
      <c r="N11" s="1">
        <v>1.2284225230179247</v>
      </c>
      <c r="O11" s="139" t="s">
        <v>76</v>
      </c>
      <c r="P11" s="165">
        <v>0</v>
      </c>
      <c r="Q11" s="29">
        <v>1</v>
      </c>
      <c r="R11" s="1">
        <v>1.2284225230179247</v>
      </c>
      <c r="S11" s="139" t="s">
        <v>76</v>
      </c>
      <c r="T11" s="165">
        <v>0</v>
      </c>
      <c r="U11" s="29">
        <v>1</v>
      </c>
      <c r="V11" s="1">
        <v>1.2284225230179247</v>
      </c>
      <c r="W11" s="139" t="s">
        <v>76</v>
      </c>
      <c r="X11" s="165">
        <v>0</v>
      </c>
      <c r="Y11" s="29">
        <v>1</v>
      </c>
      <c r="Z11" s="1">
        <v>1.2284225230179247</v>
      </c>
      <c r="AA11" s="139" t="s">
        <v>76</v>
      </c>
      <c r="AB11" s="165">
        <v>0</v>
      </c>
      <c r="AC11" s="29">
        <v>1</v>
      </c>
      <c r="AD11" s="1">
        <v>1.2284225230179247</v>
      </c>
      <c r="AE11" s="31" t="s">
        <v>76</v>
      </c>
    </row>
    <row r="12" spans="1:31" ht="12.75">
      <c r="A12" s="156">
        <v>1491</v>
      </c>
      <c r="B12" s="163" t="s">
        <v>525</v>
      </c>
      <c r="C12" s="151" t="s">
        <v>525</v>
      </c>
      <c r="D12" s="152" t="s">
        <v>526</v>
      </c>
      <c r="E12" s="153" t="s">
        <v>402</v>
      </c>
      <c r="F12" s="144" t="s">
        <v>663</v>
      </c>
      <c r="G12" s="125" t="s">
        <v>521</v>
      </c>
      <c r="H12" s="164" t="s">
        <v>402</v>
      </c>
      <c r="I12" s="123" t="s">
        <v>402</v>
      </c>
      <c r="J12" s="124">
        <v>1</v>
      </c>
      <c r="K12" s="125" t="s">
        <v>396</v>
      </c>
      <c r="L12" s="165">
        <v>0</v>
      </c>
      <c r="M12" s="29">
        <v>1</v>
      </c>
      <c r="N12" s="1">
        <v>1.2284225230179247</v>
      </c>
      <c r="O12" s="139" t="s">
        <v>76</v>
      </c>
      <c r="P12" s="165">
        <v>0</v>
      </c>
      <c r="Q12" s="29">
        <v>1</v>
      </c>
      <c r="R12" s="1">
        <v>1.2284225230179247</v>
      </c>
      <c r="S12" s="139" t="s">
        <v>76</v>
      </c>
      <c r="T12" s="165">
        <v>19.867549668874172</v>
      </c>
      <c r="U12" s="29">
        <v>1</v>
      </c>
      <c r="V12" s="1">
        <v>1.2284225230179247</v>
      </c>
      <c r="W12" s="139" t="s">
        <v>76</v>
      </c>
      <c r="X12" s="165">
        <v>0</v>
      </c>
      <c r="Y12" s="29">
        <v>1</v>
      </c>
      <c r="Z12" s="1">
        <v>1.2284225230179247</v>
      </c>
      <c r="AA12" s="139" t="s">
        <v>76</v>
      </c>
      <c r="AB12" s="165">
        <v>0</v>
      </c>
      <c r="AC12" s="29">
        <v>1</v>
      </c>
      <c r="AD12" s="1">
        <v>1.2284225230179247</v>
      </c>
      <c r="AE12" s="31" t="s">
        <v>76</v>
      </c>
    </row>
    <row r="13" spans="1:31" ht="12.75">
      <c r="A13" s="156">
        <v>1645</v>
      </c>
      <c r="B13" s="163" t="s">
        <v>525</v>
      </c>
      <c r="C13" s="151" t="s">
        <v>525</v>
      </c>
      <c r="D13" s="152" t="s">
        <v>526</v>
      </c>
      <c r="E13" s="153" t="s">
        <v>402</v>
      </c>
      <c r="F13" s="144" t="s">
        <v>664</v>
      </c>
      <c r="G13" s="125" t="s">
        <v>521</v>
      </c>
      <c r="H13" s="164" t="s">
        <v>402</v>
      </c>
      <c r="I13" s="123" t="s">
        <v>402</v>
      </c>
      <c r="J13" s="124">
        <v>1</v>
      </c>
      <c r="K13" s="125" t="s">
        <v>396</v>
      </c>
      <c r="L13" s="165">
        <v>0</v>
      </c>
      <c r="M13" s="29">
        <v>1</v>
      </c>
      <c r="N13" s="1">
        <v>1.2284225230179247</v>
      </c>
      <c r="O13" s="139" t="s">
        <v>76</v>
      </c>
      <c r="P13" s="165">
        <v>0</v>
      </c>
      <c r="Q13" s="29">
        <v>1</v>
      </c>
      <c r="R13" s="1">
        <v>1.2284225230179247</v>
      </c>
      <c r="S13" s="139" t="s">
        <v>76</v>
      </c>
      <c r="T13" s="165">
        <v>0</v>
      </c>
      <c r="U13" s="29">
        <v>1</v>
      </c>
      <c r="V13" s="1">
        <v>1.2284225230179247</v>
      </c>
      <c r="W13" s="139" t="s">
        <v>76</v>
      </c>
      <c r="X13" s="165">
        <v>0</v>
      </c>
      <c r="Y13" s="29">
        <v>1</v>
      </c>
      <c r="Z13" s="1">
        <v>1.2284225230179247</v>
      </c>
      <c r="AA13" s="139" t="s">
        <v>76</v>
      </c>
      <c r="AB13" s="165">
        <v>19.867549668874172</v>
      </c>
      <c r="AC13" s="29">
        <v>1</v>
      </c>
      <c r="AD13" s="1">
        <v>1.2284225230179247</v>
      </c>
      <c r="AE13" s="31" t="s">
        <v>76</v>
      </c>
    </row>
    <row r="14" spans="1:31" ht="12.75">
      <c r="A14" s="156">
        <v>1646</v>
      </c>
      <c r="B14" s="163" t="s">
        <v>525</v>
      </c>
      <c r="C14" s="151" t="s">
        <v>525</v>
      </c>
      <c r="D14" s="152" t="s">
        <v>526</v>
      </c>
      <c r="E14" s="153" t="s">
        <v>402</v>
      </c>
      <c r="F14" s="144" t="s">
        <v>665</v>
      </c>
      <c r="G14" s="125" t="s">
        <v>521</v>
      </c>
      <c r="H14" s="164" t="s">
        <v>402</v>
      </c>
      <c r="I14" s="123" t="s">
        <v>402</v>
      </c>
      <c r="J14" s="124">
        <v>1</v>
      </c>
      <c r="K14" s="125" t="s">
        <v>396</v>
      </c>
      <c r="L14" s="165">
        <v>0</v>
      </c>
      <c r="M14" s="29">
        <v>1</v>
      </c>
      <c r="N14" s="1">
        <v>1.2284225230179247</v>
      </c>
      <c r="O14" s="139" t="s">
        <v>76</v>
      </c>
      <c r="P14" s="165">
        <v>0</v>
      </c>
      <c r="Q14" s="29">
        <v>1</v>
      </c>
      <c r="R14" s="1">
        <v>1.2284225230179247</v>
      </c>
      <c r="S14" s="139" t="s">
        <v>76</v>
      </c>
      <c r="T14" s="165">
        <v>0</v>
      </c>
      <c r="U14" s="29">
        <v>1</v>
      </c>
      <c r="V14" s="1">
        <v>1.2284225230179247</v>
      </c>
      <c r="W14" s="139" t="s">
        <v>76</v>
      </c>
      <c r="X14" s="165">
        <v>19.867549668874172</v>
      </c>
      <c r="Y14" s="29">
        <v>1</v>
      </c>
      <c r="Z14" s="1">
        <v>1.2284225230179247</v>
      </c>
      <c r="AA14" s="139" t="s">
        <v>76</v>
      </c>
      <c r="AB14" s="165">
        <v>0</v>
      </c>
      <c r="AC14" s="29">
        <v>1</v>
      </c>
      <c r="AD14" s="1">
        <v>1.2284225230179247</v>
      </c>
      <c r="AE14" s="31" t="s">
        <v>76</v>
      </c>
    </row>
    <row r="15" spans="1:31" ht="24">
      <c r="A15" s="614" t="s">
        <v>781</v>
      </c>
      <c r="B15" s="163" t="s">
        <v>525</v>
      </c>
      <c r="C15" s="151" t="s">
        <v>525</v>
      </c>
      <c r="D15" s="152" t="s">
        <v>526</v>
      </c>
      <c r="E15" s="153" t="s">
        <v>402</v>
      </c>
      <c r="F15" s="144" t="s">
        <v>1295</v>
      </c>
      <c r="G15" s="125" t="s">
        <v>1105</v>
      </c>
      <c r="H15" s="164" t="s">
        <v>402</v>
      </c>
      <c r="I15" s="123" t="s">
        <v>402</v>
      </c>
      <c r="J15" s="124">
        <v>1</v>
      </c>
      <c r="K15" s="125" t="s">
        <v>396</v>
      </c>
      <c r="L15" s="165">
        <v>20.463576158940398</v>
      </c>
      <c r="M15" s="29">
        <v>1</v>
      </c>
      <c r="N15" s="1">
        <v>1.3582005896413567</v>
      </c>
      <c r="O15" s="139" t="s">
        <v>78</v>
      </c>
      <c r="P15" s="165">
        <v>0</v>
      </c>
      <c r="Q15" s="29">
        <v>1</v>
      </c>
      <c r="R15" s="1">
        <v>1.3582005896413567</v>
      </c>
      <c r="S15" s="139" t="s">
        <v>78</v>
      </c>
      <c r="T15" s="165">
        <v>0</v>
      </c>
      <c r="U15" s="29">
        <v>1</v>
      </c>
      <c r="V15" s="1">
        <v>1.3582005896413567</v>
      </c>
      <c r="W15" s="139" t="s">
        <v>78</v>
      </c>
      <c r="X15" s="165">
        <v>20.463576158940398</v>
      </c>
      <c r="Y15" s="29">
        <v>1</v>
      </c>
      <c r="Z15" s="1">
        <v>1.3582005896413567</v>
      </c>
      <c r="AA15" s="139" t="s">
        <v>78</v>
      </c>
      <c r="AB15" s="165">
        <v>0</v>
      </c>
      <c r="AC15" s="29">
        <v>1</v>
      </c>
      <c r="AD15" s="1">
        <v>1.3582005896413567</v>
      </c>
      <c r="AE15" s="31" t="s">
        <v>78</v>
      </c>
    </row>
    <row r="16" spans="1:31" ht="24">
      <c r="A16" s="614" t="s">
        <v>763</v>
      </c>
      <c r="B16" s="163" t="s">
        <v>525</v>
      </c>
      <c r="C16" s="151" t="s">
        <v>525</v>
      </c>
      <c r="D16" s="152" t="s">
        <v>526</v>
      </c>
      <c r="E16" s="153" t="s">
        <v>402</v>
      </c>
      <c r="F16" s="144" t="s">
        <v>1294</v>
      </c>
      <c r="G16" s="125" t="s">
        <v>1105</v>
      </c>
      <c r="H16" s="164" t="s">
        <v>402</v>
      </c>
      <c r="I16" s="123" t="s">
        <v>402</v>
      </c>
      <c r="J16" s="124">
        <v>1</v>
      </c>
      <c r="K16" s="125" t="s">
        <v>396</v>
      </c>
      <c r="L16" s="165">
        <v>0</v>
      </c>
      <c r="M16" s="29">
        <v>1</v>
      </c>
      <c r="N16" s="1">
        <v>1.3582005896413567</v>
      </c>
      <c r="O16" s="139" t="s">
        <v>78</v>
      </c>
      <c r="P16" s="165">
        <v>20.463576158940398</v>
      </c>
      <c r="Q16" s="29">
        <v>1</v>
      </c>
      <c r="R16" s="1">
        <v>1.3582005896413567</v>
      </c>
      <c r="S16" s="139" t="s">
        <v>78</v>
      </c>
      <c r="T16" s="165">
        <v>20.463576158940398</v>
      </c>
      <c r="U16" s="29">
        <v>1</v>
      </c>
      <c r="V16" s="1">
        <v>1.3582005896413567</v>
      </c>
      <c r="W16" s="139" t="s">
        <v>78</v>
      </c>
      <c r="X16" s="165">
        <v>0</v>
      </c>
      <c r="Y16" s="29">
        <v>1</v>
      </c>
      <c r="Z16" s="1">
        <v>1.3582005896413567</v>
      </c>
      <c r="AA16" s="139" t="s">
        <v>78</v>
      </c>
      <c r="AB16" s="165">
        <v>20.463576158940398</v>
      </c>
      <c r="AC16" s="29">
        <v>1</v>
      </c>
      <c r="AD16" s="1">
        <v>1.3582005896413567</v>
      </c>
      <c r="AE16" s="31" t="s">
        <v>78</v>
      </c>
    </row>
    <row r="17" spans="1:31" ht="12.75">
      <c r="A17" s="157">
        <v>1802</v>
      </c>
      <c r="B17" s="163" t="s">
        <v>525</v>
      </c>
      <c r="C17" s="151" t="s">
        <v>525</v>
      </c>
      <c r="D17" s="152" t="s">
        <v>526</v>
      </c>
      <c r="E17" s="153" t="s">
        <v>402</v>
      </c>
      <c r="F17" s="144" t="s">
        <v>80</v>
      </c>
      <c r="G17" s="125" t="s">
        <v>393</v>
      </c>
      <c r="H17" s="164" t="s">
        <v>402</v>
      </c>
      <c r="I17" s="123" t="s">
        <v>402</v>
      </c>
      <c r="J17" s="124">
        <v>0</v>
      </c>
      <c r="K17" s="125" t="s">
        <v>81</v>
      </c>
      <c r="L17" s="165">
        <v>0</v>
      </c>
      <c r="M17" s="29">
        <v>1</v>
      </c>
      <c r="N17" s="1">
        <v>2.0865051432908035</v>
      </c>
      <c r="O17" s="139" t="s">
        <v>82</v>
      </c>
      <c r="P17" s="165">
        <v>0</v>
      </c>
      <c r="Q17" s="29">
        <v>1</v>
      </c>
      <c r="R17" s="1">
        <v>2.0865051432908035</v>
      </c>
      <c r="S17" s="139" t="s">
        <v>82</v>
      </c>
      <c r="T17" s="165">
        <v>80</v>
      </c>
      <c r="U17" s="29">
        <v>1</v>
      </c>
      <c r="V17" s="1">
        <v>2.0865051432908035</v>
      </c>
      <c r="W17" s="139" t="s">
        <v>82</v>
      </c>
      <c r="X17" s="165">
        <v>0</v>
      </c>
      <c r="Y17" s="29">
        <v>1</v>
      </c>
      <c r="Z17" s="1">
        <v>2.0865051432908035</v>
      </c>
      <c r="AA17" s="139" t="s">
        <v>82</v>
      </c>
      <c r="AB17" s="165">
        <v>0</v>
      </c>
      <c r="AC17" s="29">
        <v>1</v>
      </c>
      <c r="AD17" s="1">
        <v>2.0865051432908035</v>
      </c>
      <c r="AE17" s="31" t="s">
        <v>82</v>
      </c>
    </row>
    <row r="18" spans="1:31" ht="24">
      <c r="A18" s="157">
        <v>2988</v>
      </c>
      <c r="B18" s="163" t="s">
        <v>525</v>
      </c>
      <c r="C18" s="151" t="s">
        <v>525</v>
      </c>
      <c r="D18" s="152" t="s">
        <v>526</v>
      </c>
      <c r="E18" s="153" t="s">
        <v>402</v>
      </c>
      <c r="F18" s="144" t="s">
        <v>63</v>
      </c>
      <c r="G18" s="125" t="s">
        <v>393</v>
      </c>
      <c r="H18" s="164" t="s">
        <v>402</v>
      </c>
      <c r="I18" s="123" t="s">
        <v>402</v>
      </c>
      <c r="J18" s="124">
        <v>0</v>
      </c>
      <c r="K18" s="125" t="s">
        <v>397</v>
      </c>
      <c r="L18" s="165">
        <v>47.793797152151406</v>
      </c>
      <c r="M18" s="29">
        <v>1</v>
      </c>
      <c r="N18" s="1">
        <v>2.0865051432908035</v>
      </c>
      <c r="O18" s="139" t="s">
        <v>83</v>
      </c>
      <c r="P18" s="165">
        <v>52.142307085926248</v>
      </c>
      <c r="Q18" s="29">
        <v>1</v>
      </c>
      <c r="R18" s="1">
        <v>2.0865051432908035</v>
      </c>
      <c r="S18" s="139" t="s">
        <v>83</v>
      </c>
      <c r="T18" s="165">
        <v>52.142307085926248</v>
      </c>
      <c r="U18" s="29">
        <v>1</v>
      </c>
      <c r="V18" s="1">
        <v>2.0865051432908035</v>
      </c>
      <c r="W18" s="139" t="s">
        <v>83</v>
      </c>
      <c r="X18" s="165">
        <v>47.793797152151406</v>
      </c>
      <c r="Y18" s="29">
        <v>1</v>
      </c>
      <c r="Z18" s="1">
        <v>2.0865051432908035</v>
      </c>
      <c r="AA18" s="139" t="s">
        <v>83</v>
      </c>
      <c r="AB18" s="165">
        <v>52.142307085926248</v>
      </c>
      <c r="AC18" s="29">
        <v>1</v>
      </c>
      <c r="AD18" s="1">
        <v>2.0865051432908035</v>
      </c>
      <c r="AE18" s="31" t="s">
        <v>83</v>
      </c>
    </row>
    <row r="19" spans="1:31" ht="24">
      <c r="A19" s="157">
        <v>2987</v>
      </c>
      <c r="B19" s="163" t="s">
        <v>525</v>
      </c>
      <c r="C19" s="151" t="s">
        <v>525</v>
      </c>
      <c r="D19" s="152" t="s">
        <v>526</v>
      </c>
      <c r="E19" s="153" t="s">
        <v>402</v>
      </c>
      <c r="F19" s="144" t="s">
        <v>59</v>
      </c>
      <c r="G19" s="125" t="s">
        <v>521</v>
      </c>
      <c r="H19" s="164" t="s">
        <v>402</v>
      </c>
      <c r="I19" s="123" t="s">
        <v>402</v>
      </c>
      <c r="J19" s="124">
        <v>0</v>
      </c>
      <c r="K19" s="125" t="s">
        <v>397</v>
      </c>
      <c r="L19" s="165">
        <v>200.46298576075702</v>
      </c>
      <c r="M19" s="29">
        <v>1</v>
      </c>
      <c r="N19" s="1">
        <v>2.0865051432908035</v>
      </c>
      <c r="O19" s="139" t="s">
        <v>84</v>
      </c>
      <c r="P19" s="165">
        <v>222.2055354296312</v>
      </c>
      <c r="Q19" s="29">
        <v>1</v>
      </c>
      <c r="R19" s="1">
        <v>2.0865051432908035</v>
      </c>
      <c r="S19" s="139" t="s">
        <v>84</v>
      </c>
      <c r="T19" s="165">
        <v>222.2055354296312</v>
      </c>
      <c r="U19" s="29">
        <v>1</v>
      </c>
      <c r="V19" s="1">
        <v>2.0865051432908035</v>
      </c>
      <c r="W19" s="139" t="s">
        <v>84</v>
      </c>
      <c r="X19" s="165">
        <v>200.46298576075702</v>
      </c>
      <c r="Y19" s="29">
        <v>1</v>
      </c>
      <c r="Z19" s="1">
        <v>2.0865051432908035</v>
      </c>
      <c r="AA19" s="139" t="s">
        <v>84</v>
      </c>
      <c r="AB19" s="165">
        <v>222.2055354296312</v>
      </c>
      <c r="AC19" s="29">
        <v>1</v>
      </c>
      <c r="AD19" s="1">
        <v>2.0865051432908035</v>
      </c>
      <c r="AE19" s="31" t="s">
        <v>84</v>
      </c>
    </row>
    <row r="20" spans="1:31" ht="12.75">
      <c r="A20" s="214">
        <v>490</v>
      </c>
      <c r="B20" s="296" t="s">
        <v>692</v>
      </c>
      <c r="C20" s="151" t="s">
        <v>525</v>
      </c>
      <c r="D20" s="152" t="s">
        <v>402</v>
      </c>
      <c r="E20" s="153" t="s">
        <v>527</v>
      </c>
      <c r="F20" s="144" t="s">
        <v>324</v>
      </c>
      <c r="G20" s="125" t="s">
        <v>402</v>
      </c>
      <c r="H20" s="164" t="s">
        <v>325</v>
      </c>
      <c r="I20" s="123" t="s">
        <v>685</v>
      </c>
      <c r="J20" s="124" t="s">
        <v>402</v>
      </c>
      <c r="K20" s="125" t="s">
        <v>677</v>
      </c>
      <c r="L20" s="165">
        <v>0.14400000000000002</v>
      </c>
      <c r="M20" s="29">
        <v>1</v>
      </c>
      <c r="N20" s="1">
        <v>1.2849840792941758</v>
      </c>
      <c r="O20" s="139" t="s">
        <v>88</v>
      </c>
      <c r="P20" s="165">
        <v>0.14400000000000002</v>
      </c>
      <c r="Q20" s="29">
        <v>1</v>
      </c>
      <c r="R20" s="1">
        <v>1.2849840792941758</v>
      </c>
      <c r="S20" s="139" t="s">
        <v>88</v>
      </c>
      <c r="T20" s="165">
        <v>3.6720000000000002</v>
      </c>
      <c r="U20" s="29">
        <v>1</v>
      </c>
      <c r="V20" s="1">
        <v>1.2849840792941758</v>
      </c>
      <c r="W20" s="139" t="s">
        <v>88</v>
      </c>
      <c r="X20" s="165">
        <v>0.82800000000000007</v>
      </c>
      <c r="Y20" s="29">
        <v>1</v>
      </c>
      <c r="Z20" s="1">
        <v>1.2849840792941758</v>
      </c>
      <c r="AA20" s="139" t="s">
        <v>88</v>
      </c>
      <c r="AB20" s="165">
        <v>0.82800000000000007</v>
      </c>
      <c r="AC20" s="29">
        <v>1</v>
      </c>
      <c r="AD20" s="1">
        <v>1.2849840792941758</v>
      </c>
      <c r="AE20" s="31" t="s">
        <v>88</v>
      </c>
    </row>
    <row r="21" spans="1:31" ht="24">
      <c r="A21" s="640" t="s">
        <v>1030</v>
      </c>
      <c r="B21" s="168" t="s">
        <v>523</v>
      </c>
      <c r="C21" s="169"/>
      <c r="D21" s="11" t="s">
        <v>402</v>
      </c>
      <c r="E21" s="170">
        <v>0</v>
      </c>
      <c r="F21" s="145" t="s">
        <v>121</v>
      </c>
      <c r="G21" s="16" t="s">
        <v>1105</v>
      </c>
      <c r="H21" s="14" t="s">
        <v>402</v>
      </c>
      <c r="I21" s="14" t="s">
        <v>402</v>
      </c>
      <c r="J21" s="15">
        <v>1</v>
      </c>
      <c r="K21" s="16" t="s">
        <v>522</v>
      </c>
      <c r="L21" s="149">
        <v>1</v>
      </c>
      <c r="M21" s="29"/>
      <c r="N21" s="30"/>
      <c r="O21" s="139"/>
      <c r="P21" s="149">
        <v>0</v>
      </c>
      <c r="Q21" s="29"/>
      <c r="R21" s="30"/>
      <c r="S21" s="139"/>
      <c r="T21" s="149">
        <v>0</v>
      </c>
      <c r="U21" s="29"/>
      <c r="V21" s="30"/>
      <c r="W21" s="139"/>
      <c r="X21" s="149">
        <v>0</v>
      </c>
      <c r="Y21" s="29"/>
      <c r="Z21" s="30"/>
      <c r="AA21" s="139"/>
      <c r="AB21" s="149">
        <v>0</v>
      </c>
      <c r="AC21" s="29"/>
      <c r="AD21" s="1"/>
      <c r="AE21" s="31"/>
    </row>
    <row r="22" spans="1:31" ht="24">
      <c r="A22" s="640" t="s">
        <v>1031</v>
      </c>
      <c r="B22" s="168"/>
      <c r="C22" s="169"/>
      <c r="D22" s="11" t="s">
        <v>402</v>
      </c>
      <c r="E22" s="170">
        <v>0</v>
      </c>
      <c r="F22" s="145" t="s">
        <v>122</v>
      </c>
      <c r="G22" s="16" t="s">
        <v>1105</v>
      </c>
      <c r="H22" s="14" t="s">
        <v>402</v>
      </c>
      <c r="I22" s="14" t="s">
        <v>402</v>
      </c>
      <c r="J22" s="15">
        <v>1</v>
      </c>
      <c r="K22" s="16" t="s">
        <v>522</v>
      </c>
      <c r="L22" s="149">
        <v>0</v>
      </c>
      <c r="M22" s="40"/>
      <c r="N22" s="192"/>
      <c r="O22" s="202"/>
      <c r="P22" s="149">
        <v>1</v>
      </c>
      <c r="Q22" s="40"/>
      <c r="R22" s="192"/>
      <c r="S22" s="202"/>
      <c r="T22" s="149">
        <v>0</v>
      </c>
      <c r="U22" s="40"/>
      <c r="V22" s="192"/>
      <c r="W22" s="202"/>
      <c r="X22" s="149">
        <v>0</v>
      </c>
      <c r="Y22" s="40"/>
      <c r="Z22" s="192"/>
      <c r="AA22" s="202"/>
      <c r="AB22" s="149">
        <v>0</v>
      </c>
      <c r="AC22" s="40"/>
      <c r="AD22" s="89"/>
      <c r="AE22" s="193"/>
    </row>
    <row r="23" spans="1:31">
      <c r="A23" s="640" t="s">
        <v>1032</v>
      </c>
      <c r="B23" s="168"/>
      <c r="C23" s="169"/>
      <c r="D23" s="11" t="s">
        <v>402</v>
      </c>
      <c r="E23" s="170">
        <v>0</v>
      </c>
      <c r="F23" s="145" t="s">
        <v>125</v>
      </c>
      <c r="G23" s="16" t="s">
        <v>1105</v>
      </c>
      <c r="H23" s="14" t="s">
        <v>402</v>
      </c>
      <c r="I23" s="14" t="s">
        <v>402</v>
      </c>
      <c r="J23" s="15">
        <v>1</v>
      </c>
      <c r="K23" s="16" t="s">
        <v>522</v>
      </c>
      <c r="L23" s="149">
        <v>0</v>
      </c>
      <c r="M23" s="40"/>
      <c r="N23" s="192"/>
      <c r="O23" s="202"/>
      <c r="P23" s="149">
        <v>0</v>
      </c>
      <c r="Q23" s="40"/>
      <c r="R23" s="192"/>
      <c r="S23" s="202"/>
      <c r="T23" s="149">
        <v>1</v>
      </c>
      <c r="U23" s="40"/>
      <c r="V23" s="192"/>
      <c r="W23" s="202"/>
      <c r="X23" s="149">
        <v>0</v>
      </c>
      <c r="Y23" s="40"/>
      <c r="Z23" s="192"/>
      <c r="AA23" s="202"/>
      <c r="AB23" s="149">
        <v>0</v>
      </c>
      <c r="AC23" s="40"/>
      <c r="AD23" s="89"/>
      <c r="AE23" s="193"/>
    </row>
    <row r="24" spans="1:31" ht="24">
      <c r="A24" s="640" t="s">
        <v>1033</v>
      </c>
      <c r="B24" s="168"/>
      <c r="C24" s="169"/>
      <c r="D24" s="11" t="s">
        <v>402</v>
      </c>
      <c r="E24" s="170">
        <v>0</v>
      </c>
      <c r="F24" s="145" t="s">
        <v>127</v>
      </c>
      <c r="G24" s="16" t="s">
        <v>1105</v>
      </c>
      <c r="H24" s="14" t="s">
        <v>402</v>
      </c>
      <c r="I24" s="14" t="s">
        <v>402</v>
      </c>
      <c r="J24" s="15">
        <v>1</v>
      </c>
      <c r="K24" s="16" t="s">
        <v>522</v>
      </c>
      <c r="L24" s="149">
        <v>0</v>
      </c>
      <c r="M24" s="40"/>
      <c r="N24" s="192"/>
      <c r="O24" s="202"/>
      <c r="P24" s="149">
        <v>0</v>
      </c>
      <c r="Q24" s="40"/>
      <c r="R24" s="192"/>
      <c r="S24" s="202"/>
      <c r="T24" s="149">
        <v>0</v>
      </c>
      <c r="U24" s="40"/>
      <c r="V24" s="192"/>
      <c r="W24" s="202"/>
      <c r="X24" s="149">
        <v>1</v>
      </c>
      <c r="Y24" s="40"/>
      <c r="Z24" s="192"/>
      <c r="AA24" s="202"/>
      <c r="AB24" s="149">
        <v>0</v>
      </c>
      <c r="AC24" s="40"/>
      <c r="AD24" s="89"/>
      <c r="AE24" s="193"/>
    </row>
    <row r="25" spans="1:31" ht="24">
      <c r="A25" s="640" t="s">
        <v>1034</v>
      </c>
      <c r="B25" s="168"/>
      <c r="C25" s="169"/>
      <c r="D25" s="11" t="s">
        <v>402</v>
      </c>
      <c r="E25" s="170">
        <v>0</v>
      </c>
      <c r="F25" s="145" t="s">
        <v>128</v>
      </c>
      <c r="G25" s="16" t="s">
        <v>1105</v>
      </c>
      <c r="H25" s="14" t="s">
        <v>402</v>
      </c>
      <c r="I25" s="14" t="s">
        <v>402</v>
      </c>
      <c r="J25" s="15">
        <v>1</v>
      </c>
      <c r="K25" s="16" t="s">
        <v>522</v>
      </c>
      <c r="L25" s="149">
        <v>0</v>
      </c>
      <c r="M25" s="40"/>
      <c r="N25" s="192"/>
      <c r="O25" s="202"/>
      <c r="P25" s="149">
        <v>0</v>
      </c>
      <c r="Q25" s="40"/>
      <c r="R25" s="192"/>
      <c r="S25" s="202"/>
      <c r="T25" s="149">
        <v>0</v>
      </c>
      <c r="U25" s="40"/>
      <c r="V25" s="192"/>
      <c r="W25" s="202"/>
      <c r="X25" s="149">
        <v>0</v>
      </c>
      <c r="Y25" s="40"/>
      <c r="Z25" s="192"/>
      <c r="AA25" s="202"/>
      <c r="AB25" s="149">
        <v>1</v>
      </c>
      <c r="AC25" s="40"/>
      <c r="AD25" s="89"/>
      <c r="AE25" s="193"/>
    </row>
    <row r="28" spans="1:31">
      <c r="F28" s="7"/>
    </row>
    <row r="29" spans="1:31">
      <c r="F29" s="7"/>
    </row>
    <row r="30" spans="1:31">
      <c r="F30" s="7"/>
    </row>
    <row r="31" spans="1:31">
      <c r="F31" s="7"/>
    </row>
    <row r="32" spans="1:31">
      <c r="F32" s="7"/>
    </row>
  </sheetData>
  <pageMargins left="0.78740157499999996" right="0.78740157499999996" top="0.984251969" bottom="0.984251969" header="0.4921259845" footer="0.4921259845"/>
  <pageSetup paperSize="9" scale="8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0">
    <pageSetUpPr fitToPage="1"/>
  </sheetPr>
  <dimension ref="A1:AE26"/>
  <sheetViews>
    <sheetView zoomScale="75" workbookViewId="0">
      <selection activeCell="J46" sqref="J46"/>
    </sheetView>
  </sheetViews>
  <sheetFormatPr defaultColWidth="11.42578125" defaultRowHeight="12" outlineLevelCol="1"/>
  <cols>
    <col min="1" max="1" width="8.7109375" style="7" customWidth="1"/>
    <col min="2" max="2" width="11.85546875" style="158" customWidth="1"/>
    <col min="3" max="3" width="3.7109375" style="159" hidden="1" customWidth="1" outlineLevel="1"/>
    <col min="4" max="4" width="3" style="7" hidden="1" customWidth="1" outlineLevel="1"/>
    <col min="5" max="5" width="2.7109375" style="7" hidden="1" customWidth="1" outlineLevel="1"/>
    <col min="6" max="6" width="39.140625" style="8" customWidth="1" collapsed="1"/>
    <col min="7" max="7" width="5" style="7" customWidth="1"/>
    <col min="8" max="8" width="5.7109375" style="7" hidden="1" customWidth="1" outlineLevel="1"/>
    <col min="9" max="9" width="19.42578125" style="7" hidden="1" customWidth="1" outlineLevel="1"/>
    <col min="10" max="10" width="4.140625" style="7" bestFit="1" customWidth="1" collapsed="1"/>
    <col min="11" max="11" width="5.140625" style="7" customWidth="1"/>
    <col min="12" max="12" width="11.28515625" style="7" customWidth="1"/>
    <col min="13" max="13" width="2" style="141" hidden="1" customWidth="1" outlineLevel="1"/>
    <col min="14" max="14" width="4.28515625" style="140" hidden="1" customWidth="1" outlineLevel="1"/>
    <col min="15" max="15" width="37.85546875" style="140" hidden="1" customWidth="1" outlineLevel="1"/>
    <col min="16" max="16" width="11.28515625" style="7" customWidth="1" collapsed="1"/>
    <col min="17" max="17" width="2" style="141" hidden="1" customWidth="1" outlineLevel="1"/>
    <col min="18" max="18" width="4.28515625" style="140" hidden="1" customWidth="1" outlineLevel="1"/>
    <col min="19" max="19" width="37.85546875" style="140" hidden="1" customWidth="1" outlineLevel="1"/>
    <col min="20" max="20" width="11.28515625" style="7" customWidth="1" collapsed="1"/>
    <col min="21" max="21" width="2" style="141" hidden="1" customWidth="1" outlineLevel="1"/>
    <col min="22" max="22" width="4.28515625" style="140" hidden="1" customWidth="1" outlineLevel="1"/>
    <col min="23" max="23" width="37.85546875" style="140" hidden="1" customWidth="1" outlineLevel="1"/>
    <col min="24" max="24" width="11.28515625" style="7" customWidth="1" collapsed="1"/>
    <col min="25" max="25" width="2" style="141" hidden="1" customWidth="1" outlineLevel="1"/>
    <col min="26" max="26" width="4.28515625" style="140" hidden="1" customWidth="1" outlineLevel="1"/>
    <col min="27" max="27" width="37.85546875" style="140" hidden="1" customWidth="1" outlineLevel="1"/>
    <col min="28" max="28" width="11.28515625" style="7" customWidth="1" collapsed="1"/>
    <col min="29" max="29" width="2" style="118" customWidth="1" outlineLevel="1"/>
    <col min="30" max="30" width="4.28515625" style="32" customWidth="1" outlineLevel="1"/>
    <col min="31" max="31" width="39" style="33" customWidth="1" outlineLevel="1"/>
    <col min="32" max="16384" width="11.42578125" style="7"/>
  </cols>
  <sheetData>
    <row r="1" spans="1:31">
      <c r="A1" s="36"/>
      <c r="B1" s="34"/>
      <c r="C1" s="35"/>
      <c r="D1" s="36"/>
      <c r="E1" s="36"/>
      <c r="F1" s="37" t="s">
        <v>510</v>
      </c>
      <c r="G1" s="36"/>
      <c r="H1" s="36"/>
      <c r="I1" s="36"/>
      <c r="J1" s="36"/>
      <c r="K1" s="36"/>
      <c r="L1" s="189" t="s">
        <v>1015</v>
      </c>
      <c r="M1" s="21"/>
      <c r="N1" s="22"/>
      <c r="O1" s="22"/>
      <c r="P1" s="189" t="s">
        <v>1016</v>
      </c>
      <c r="Q1" s="21"/>
      <c r="R1" s="22"/>
      <c r="S1" s="22"/>
      <c r="T1" s="189" t="s">
        <v>1017</v>
      </c>
      <c r="U1" s="21"/>
      <c r="V1" s="22"/>
      <c r="W1" s="22"/>
      <c r="X1" s="189" t="s">
        <v>1018</v>
      </c>
      <c r="Y1" s="21"/>
      <c r="Z1" s="22"/>
      <c r="AA1" s="22"/>
      <c r="AB1" s="189" t="s">
        <v>1019</v>
      </c>
      <c r="AC1" s="21"/>
      <c r="AD1" s="22"/>
      <c r="AE1" s="22"/>
    </row>
    <row r="2" spans="1:31">
      <c r="A2" s="36"/>
      <c r="B2" s="147"/>
      <c r="C2" s="35" t="s">
        <v>511</v>
      </c>
      <c r="D2" s="147">
        <v>3503</v>
      </c>
      <c r="E2" s="147">
        <v>3504</v>
      </c>
      <c r="F2" s="147">
        <v>3702</v>
      </c>
      <c r="G2" s="147">
        <v>3703</v>
      </c>
      <c r="H2" s="147">
        <v>3506</v>
      </c>
      <c r="I2" s="147">
        <v>3507</v>
      </c>
      <c r="J2" s="147">
        <v>3508</v>
      </c>
      <c r="K2" s="147">
        <v>3706</v>
      </c>
      <c r="L2" s="147">
        <v>3707</v>
      </c>
      <c r="M2" s="133">
        <v>3708</v>
      </c>
      <c r="N2" s="133">
        <v>3709</v>
      </c>
      <c r="O2" s="134">
        <v>3792</v>
      </c>
      <c r="P2" s="147">
        <v>3707</v>
      </c>
      <c r="Q2" s="133">
        <v>3708</v>
      </c>
      <c r="R2" s="133">
        <v>3709</v>
      </c>
      <c r="S2" s="134">
        <v>3792</v>
      </c>
      <c r="T2" s="147">
        <v>3707</v>
      </c>
      <c r="U2" s="133">
        <v>3708</v>
      </c>
      <c r="V2" s="133">
        <v>3709</v>
      </c>
      <c r="W2" s="134">
        <v>3792</v>
      </c>
      <c r="X2" s="147">
        <v>3707</v>
      </c>
      <c r="Y2" s="133">
        <v>3708</v>
      </c>
      <c r="Z2" s="133">
        <v>3709</v>
      </c>
      <c r="AA2" s="134">
        <v>3792</v>
      </c>
      <c r="AB2" s="147">
        <v>3707</v>
      </c>
      <c r="AC2" s="23">
        <v>3708</v>
      </c>
      <c r="AD2" s="23">
        <v>3709</v>
      </c>
      <c r="AE2" s="24">
        <v>3792</v>
      </c>
    </row>
    <row r="3" spans="1:31" ht="107.25" customHeight="1">
      <c r="A3" s="36" t="s">
        <v>398</v>
      </c>
      <c r="B3" s="166"/>
      <c r="C3" s="35">
        <v>401</v>
      </c>
      <c r="D3" s="167" t="s">
        <v>514</v>
      </c>
      <c r="E3" s="167" t="s">
        <v>515</v>
      </c>
      <c r="F3" s="132" t="s">
        <v>516</v>
      </c>
      <c r="G3" s="41" t="s">
        <v>517</v>
      </c>
      <c r="H3" s="41" t="s">
        <v>518</v>
      </c>
      <c r="I3" s="41" t="s">
        <v>519</v>
      </c>
      <c r="J3" s="41" t="s">
        <v>520</v>
      </c>
      <c r="K3" s="41" t="s">
        <v>394</v>
      </c>
      <c r="L3" s="178" t="s">
        <v>123</v>
      </c>
      <c r="M3" s="135" t="s">
        <v>265</v>
      </c>
      <c r="N3" s="135" t="s">
        <v>266</v>
      </c>
      <c r="O3" s="136" t="s">
        <v>548</v>
      </c>
      <c r="P3" s="178" t="s">
        <v>124</v>
      </c>
      <c r="Q3" s="135" t="s">
        <v>265</v>
      </c>
      <c r="R3" s="135" t="s">
        <v>266</v>
      </c>
      <c r="S3" s="136" t="s">
        <v>548</v>
      </c>
      <c r="T3" s="178" t="s">
        <v>126</v>
      </c>
      <c r="U3" s="135" t="s">
        <v>265</v>
      </c>
      <c r="V3" s="135" t="s">
        <v>266</v>
      </c>
      <c r="W3" s="136" t="s">
        <v>548</v>
      </c>
      <c r="X3" s="178" t="s">
        <v>129</v>
      </c>
      <c r="Y3" s="135" t="s">
        <v>265</v>
      </c>
      <c r="Z3" s="135" t="s">
        <v>266</v>
      </c>
      <c r="AA3" s="136" t="s">
        <v>548</v>
      </c>
      <c r="AB3" s="178" t="s">
        <v>130</v>
      </c>
      <c r="AC3" s="25" t="s">
        <v>265</v>
      </c>
      <c r="AD3" s="25" t="s">
        <v>266</v>
      </c>
      <c r="AE3" s="128" t="s">
        <v>548</v>
      </c>
    </row>
    <row r="4" spans="1:31" ht="13.5" customHeight="1">
      <c r="A4" s="36"/>
      <c r="B4" s="166"/>
      <c r="C4" s="35">
        <v>662</v>
      </c>
      <c r="D4" s="9"/>
      <c r="E4" s="9"/>
      <c r="F4" s="132" t="s">
        <v>517</v>
      </c>
      <c r="G4" s="132"/>
      <c r="H4" s="132"/>
      <c r="I4" s="132"/>
      <c r="J4" s="132"/>
      <c r="K4" s="132"/>
      <c r="L4" s="178" t="s">
        <v>521</v>
      </c>
      <c r="M4" s="137">
        <v>0</v>
      </c>
      <c r="N4" s="137">
        <v>0</v>
      </c>
      <c r="O4" s="138">
        <v>0</v>
      </c>
      <c r="P4" s="178" t="s">
        <v>521</v>
      </c>
      <c r="Q4" s="137">
        <v>0</v>
      </c>
      <c r="R4" s="137">
        <v>0</v>
      </c>
      <c r="S4" s="138">
        <v>0</v>
      </c>
      <c r="T4" s="178" t="s">
        <v>521</v>
      </c>
      <c r="U4" s="137">
        <v>0</v>
      </c>
      <c r="V4" s="137">
        <v>0</v>
      </c>
      <c r="W4" s="138">
        <v>0</v>
      </c>
      <c r="X4" s="178" t="s">
        <v>521</v>
      </c>
      <c r="Y4" s="137">
        <v>0</v>
      </c>
      <c r="Z4" s="137">
        <v>0</v>
      </c>
      <c r="AA4" s="138">
        <v>0</v>
      </c>
      <c r="AB4" s="178" t="s">
        <v>521</v>
      </c>
      <c r="AC4" s="129"/>
      <c r="AD4" s="129"/>
      <c r="AE4" s="130"/>
    </row>
    <row r="5" spans="1:31">
      <c r="A5" s="36"/>
      <c r="B5" s="166"/>
      <c r="C5" s="35">
        <v>493</v>
      </c>
      <c r="D5" s="9"/>
      <c r="E5" s="9"/>
      <c r="F5" s="132" t="s">
        <v>520</v>
      </c>
      <c r="G5" s="132"/>
      <c r="H5" s="132"/>
      <c r="I5" s="132"/>
      <c r="J5" s="132"/>
      <c r="K5" s="132"/>
      <c r="L5" s="178">
        <v>1</v>
      </c>
      <c r="M5" s="137">
        <v>0</v>
      </c>
      <c r="N5" s="137">
        <v>0</v>
      </c>
      <c r="O5" s="138">
        <v>0</v>
      </c>
      <c r="P5" s="178">
        <v>1</v>
      </c>
      <c r="Q5" s="137">
        <v>0</v>
      </c>
      <c r="R5" s="137">
        <v>0</v>
      </c>
      <c r="S5" s="138">
        <v>0</v>
      </c>
      <c r="T5" s="178">
        <v>1</v>
      </c>
      <c r="U5" s="137">
        <v>0</v>
      </c>
      <c r="V5" s="137">
        <v>0</v>
      </c>
      <c r="W5" s="138">
        <v>0</v>
      </c>
      <c r="X5" s="178">
        <v>1</v>
      </c>
      <c r="Y5" s="137">
        <v>0</v>
      </c>
      <c r="Z5" s="137">
        <v>0</v>
      </c>
      <c r="AA5" s="138">
        <v>0</v>
      </c>
      <c r="AB5" s="178">
        <v>1</v>
      </c>
      <c r="AC5" s="129"/>
      <c r="AD5" s="129"/>
      <c r="AE5" s="130"/>
    </row>
    <row r="6" spans="1:31">
      <c r="A6" s="36"/>
      <c r="B6" s="166"/>
      <c r="C6" s="35">
        <v>403</v>
      </c>
      <c r="D6" s="9"/>
      <c r="E6" s="9"/>
      <c r="F6" s="132" t="s">
        <v>394</v>
      </c>
      <c r="G6" s="352"/>
      <c r="H6" s="132"/>
      <c r="I6" s="132"/>
      <c r="J6" s="132"/>
      <c r="K6" s="132"/>
      <c r="L6" s="178" t="s">
        <v>522</v>
      </c>
      <c r="M6" s="137">
        <v>0</v>
      </c>
      <c r="N6" s="137">
        <v>0</v>
      </c>
      <c r="O6" s="138">
        <v>0</v>
      </c>
      <c r="P6" s="178" t="s">
        <v>522</v>
      </c>
      <c r="Q6" s="137">
        <v>0</v>
      </c>
      <c r="R6" s="137">
        <v>0</v>
      </c>
      <c r="S6" s="138">
        <v>0</v>
      </c>
      <c r="T6" s="178" t="s">
        <v>522</v>
      </c>
      <c r="U6" s="137">
        <v>0</v>
      </c>
      <c r="V6" s="137">
        <v>0</v>
      </c>
      <c r="W6" s="138">
        <v>0</v>
      </c>
      <c r="X6" s="178" t="s">
        <v>522</v>
      </c>
      <c r="Y6" s="137">
        <v>0</v>
      </c>
      <c r="Z6" s="137">
        <v>0</v>
      </c>
      <c r="AA6" s="138">
        <v>0</v>
      </c>
      <c r="AB6" s="178" t="s">
        <v>522</v>
      </c>
      <c r="AC6" s="129"/>
      <c r="AD6" s="129"/>
      <c r="AE6" s="130"/>
    </row>
    <row r="7" spans="1:31" ht="24">
      <c r="A7" s="2" t="s">
        <v>1050</v>
      </c>
      <c r="B7" s="163" t="s">
        <v>524</v>
      </c>
      <c r="C7" s="151" t="s">
        <v>525</v>
      </c>
      <c r="D7" s="152" t="s">
        <v>526</v>
      </c>
      <c r="E7" s="153" t="s">
        <v>402</v>
      </c>
      <c r="F7" s="144" t="s">
        <v>1671</v>
      </c>
      <c r="G7" s="125" t="s">
        <v>1211</v>
      </c>
      <c r="H7" s="164" t="s">
        <v>402</v>
      </c>
      <c r="I7" s="123" t="s">
        <v>402</v>
      </c>
      <c r="J7" s="124">
        <v>0</v>
      </c>
      <c r="K7" s="125" t="s">
        <v>678</v>
      </c>
      <c r="L7" s="165">
        <v>0.04</v>
      </c>
      <c r="M7" s="29">
        <v>1</v>
      </c>
      <c r="N7" s="1">
        <v>1.2849840792941758</v>
      </c>
      <c r="O7" s="139" t="s">
        <v>71</v>
      </c>
      <c r="P7" s="165">
        <v>0.04</v>
      </c>
      <c r="Q7" s="29">
        <v>1</v>
      </c>
      <c r="R7" s="1">
        <v>1.2849840792941758</v>
      </c>
      <c r="S7" s="139" t="s">
        <v>71</v>
      </c>
      <c r="T7" s="165">
        <v>1.02</v>
      </c>
      <c r="U7" s="29">
        <v>1</v>
      </c>
      <c r="V7" s="1">
        <v>1.2849840792941758</v>
      </c>
      <c r="W7" s="139" t="s">
        <v>71</v>
      </c>
      <c r="X7" s="165">
        <v>0.23</v>
      </c>
      <c r="Y7" s="29">
        <v>1</v>
      </c>
      <c r="Z7" s="1">
        <v>1.2849840792941758</v>
      </c>
      <c r="AA7" s="139" t="s">
        <v>71</v>
      </c>
      <c r="AB7" s="165">
        <v>0.23</v>
      </c>
      <c r="AC7" s="29">
        <v>1</v>
      </c>
      <c r="AD7" s="1">
        <v>1.2849840792941758</v>
      </c>
      <c r="AE7" s="31" t="s">
        <v>71</v>
      </c>
    </row>
    <row r="8" spans="1:31" ht="12.75">
      <c r="A8" s="156">
        <v>4804</v>
      </c>
      <c r="B8" s="163" t="s">
        <v>525</v>
      </c>
      <c r="C8" s="151" t="s">
        <v>525</v>
      </c>
      <c r="D8" s="152" t="s">
        <v>526</v>
      </c>
      <c r="E8" s="153" t="s">
        <v>402</v>
      </c>
      <c r="F8" s="144" t="s">
        <v>72</v>
      </c>
      <c r="G8" s="125" t="s">
        <v>521</v>
      </c>
      <c r="H8" s="164" t="s">
        <v>402</v>
      </c>
      <c r="I8" s="123" t="s">
        <v>402</v>
      </c>
      <c r="J8" s="124">
        <v>1</v>
      </c>
      <c r="K8" s="125" t="s">
        <v>522</v>
      </c>
      <c r="L8" s="165">
        <v>2.4</v>
      </c>
      <c r="M8" s="29">
        <v>1</v>
      </c>
      <c r="N8" s="1">
        <v>1.2354522921220721</v>
      </c>
      <c r="O8" s="139" t="s">
        <v>73</v>
      </c>
      <c r="P8" s="165">
        <v>2.4</v>
      </c>
      <c r="Q8" s="29">
        <v>1</v>
      </c>
      <c r="R8" s="1">
        <v>1.2354522921220721</v>
      </c>
      <c r="S8" s="139" t="s">
        <v>73</v>
      </c>
      <c r="T8" s="165">
        <v>2.4</v>
      </c>
      <c r="U8" s="29">
        <v>1</v>
      </c>
      <c r="V8" s="1">
        <v>1.2354522921220721</v>
      </c>
      <c r="W8" s="139" t="s">
        <v>73</v>
      </c>
      <c r="X8" s="165">
        <v>2.4</v>
      </c>
      <c r="Y8" s="29">
        <v>1</v>
      </c>
      <c r="Z8" s="1">
        <v>1.2354522921220721</v>
      </c>
      <c r="AA8" s="139" t="s">
        <v>73</v>
      </c>
      <c r="AB8" s="165">
        <v>2.4</v>
      </c>
      <c r="AC8" s="29">
        <v>1</v>
      </c>
      <c r="AD8" s="1">
        <v>1.2354522921220721</v>
      </c>
      <c r="AE8" s="31" t="s">
        <v>73</v>
      </c>
    </row>
    <row r="9" spans="1:31" ht="12.75">
      <c r="A9" s="156">
        <v>1484</v>
      </c>
      <c r="B9" s="163"/>
      <c r="C9" s="151" t="s">
        <v>525</v>
      </c>
      <c r="D9" s="152" t="s">
        <v>526</v>
      </c>
      <c r="E9" s="153" t="s">
        <v>402</v>
      </c>
      <c r="F9" s="144" t="s">
        <v>74</v>
      </c>
      <c r="G9" s="125" t="s">
        <v>393</v>
      </c>
      <c r="H9" s="164" t="s">
        <v>402</v>
      </c>
      <c r="I9" s="123" t="s">
        <v>402</v>
      </c>
      <c r="J9" s="124">
        <v>1</v>
      </c>
      <c r="K9" s="125" t="s">
        <v>522</v>
      </c>
      <c r="L9" s="165">
        <v>1</v>
      </c>
      <c r="M9" s="29">
        <v>1</v>
      </c>
      <c r="N9" s="1">
        <v>2.0865051432908035</v>
      </c>
      <c r="O9" s="139" t="s">
        <v>75</v>
      </c>
      <c r="P9" s="165">
        <v>1</v>
      </c>
      <c r="Q9" s="29">
        <v>1</v>
      </c>
      <c r="R9" s="1">
        <v>2.0865051432908035</v>
      </c>
      <c r="S9" s="139" t="s">
        <v>75</v>
      </c>
      <c r="T9" s="165">
        <v>1</v>
      </c>
      <c r="U9" s="29">
        <v>1</v>
      </c>
      <c r="V9" s="1">
        <v>2.0865051432908035</v>
      </c>
      <c r="W9" s="139" t="s">
        <v>75</v>
      </c>
      <c r="X9" s="165">
        <v>1</v>
      </c>
      <c r="Y9" s="29">
        <v>1</v>
      </c>
      <c r="Z9" s="1">
        <v>2.0865051432908035</v>
      </c>
      <c r="AA9" s="139" t="s">
        <v>75</v>
      </c>
      <c r="AB9" s="165">
        <v>1</v>
      </c>
      <c r="AC9" s="29">
        <v>1</v>
      </c>
      <c r="AD9" s="1">
        <v>2.0865051432908035</v>
      </c>
      <c r="AE9" s="31" t="s">
        <v>75</v>
      </c>
    </row>
    <row r="10" spans="1:31" ht="12.75">
      <c r="A10" s="156">
        <v>1489</v>
      </c>
      <c r="B10" s="163" t="s">
        <v>525</v>
      </c>
      <c r="C10" s="151" t="s">
        <v>525</v>
      </c>
      <c r="D10" s="152" t="s">
        <v>526</v>
      </c>
      <c r="E10" s="153" t="s">
        <v>402</v>
      </c>
      <c r="F10" s="144" t="s">
        <v>52</v>
      </c>
      <c r="G10" s="125" t="s">
        <v>521</v>
      </c>
      <c r="H10" s="164" t="s">
        <v>402</v>
      </c>
      <c r="I10" s="123" t="s">
        <v>402</v>
      </c>
      <c r="J10" s="124">
        <v>1</v>
      </c>
      <c r="K10" s="125" t="s">
        <v>396</v>
      </c>
      <c r="L10" s="165">
        <v>0</v>
      </c>
      <c r="M10" s="29">
        <v>1</v>
      </c>
      <c r="N10" s="1">
        <v>1.2284225230179247</v>
      </c>
      <c r="O10" s="139" t="s">
        <v>76</v>
      </c>
      <c r="P10" s="165">
        <v>20.408163265306122</v>
      </c>
      <c r="Q10" s="29">
        <v>1</v>
      </c>
      <c r="R10" s="1">
        <v>1.2284225230179247</v>
      </c>
      <c r="S10" s="139" t="s">
        <v>76</v>
      </c>
      <c r="T10" s="165">
        <v>0</v>
      </c>
      <c r="U10" s="29">
        <v>1</v>
      </c>
      <c r="V10" s="1">
        <v>1.2284225230179247</v>
      </c>
      <c r="W10" s="139" t="s">
        <v>76</v>
      </c>
      <c r="X10" s="165">
        <v>0</v>
      </c>
      <c r="Y10" s="29">
        <v>1</v>
      </c>
      <c r="Z10" s="1">
        <v>1.2284225230179247</v>
      </c>
      <c r="AA10" s="139" t="s">
        <v>76</v>
      </c>
      <c r="AB10" s="165">
        <v>0</v>
      </c>
      <c r="AC10" s="29">
        <v>1</v>
      </c>
      <c r="AD10" s="1">
        <v>1.2284225230179247</v>
      </c>
      <c r="AE10" s="31" t="s">
        <v>76</v>
      </c>
    </row>
    <row r="11" spans="1:31" ht="12.75">
      <c r="A11" s="156">
        <v>1490</v>
      </c>
      <c r="B11" s="163" t="s">
        <v>525</v>
      </c>
      <c r="C11" s="151" t="s">
        <v>525</v>
      </c>
      <c r="D11" s="152" t="s">
        <v>526</v>
      </c>
      <c r="E11" s="153" t="s">
        <v>402</v>
      </c>
      <c r="F11" s="144" t="s">
        <v>53</v>
      </c>
      <c r="G11" s="125" t="s">
        <v>521</v>
      </c>
      <c r="H11" s="164" t="s">
        <v>402</v>
      </c>
      <c r="I11" s="123" t="s">
        <v>402</v>
      </c>
      <c r="J11" s="124">
        <v>1</v>
      </c>
      <c r="K11" s="125" t="s">
        <v>396</v>
      </c>
      <c r="L11" s="165">
        <v>20.408163265306122</v>
      </c>
      <c r="M11" s="29">
        <v>1</v>
      </c>
      <c r="N11" s="1">
        <v>1.2284225230179247</v>
      </c>
      <c r="O11" s="139" t="s">
        <v>76</v>
      </c>
      <c r="P11" s="165">
        <v>0</v>
      </c>
      <c r="Q11" s="29">
        <v>1</v>
      </c>
      <c r="R11" s="1">
        <v>1.2284225230179247</v>
      </c>
      <c r="S11" s="139" t="s">
        <v>76</v>
      </c>
      <c r="T11" s="165">
        <v>0</v>
      </c>
      <c r="U11" s="29">
        <v>1</v>
      </c>
      <c r="V11" s="1">
        <v>1.2284225230179247</v>
      </c>
      <c r="W11" s="139" t="s">
        <v>76</v>
      </c>
      <c r="X11" s="165">
        <v>0</v>
      </c>
      <c r="Y11" s="29">
        <v>1</v>
      </c>
      <c r="Z11" s="1">
        <v>1.2284225230179247</v>
      </c>
      <c r="AA11" s="139" t="s">
        <v>76</v>
      </c>
      <c r="AB11" s="165">
        <v>0</v>
      </c>
      <c r="AC11" s="29">
        <v>1</v>
      </c>
      <c r="AD11" s="1">
        <v>1.2284225230179247</v>
      </c>
      <c r="AE11" s="31" t="s">
        <v>76</v>
      </c>
    </row>
    <row r="12" spans="1:31" ht="12.75">
      <c r="A12" s="156">
        <v>1491</v>
      </c>
      <c r="B12" s="163" t="s">
        <v>525</v>
      </c>
      <c r="C12" s="151" t="s">
        <v>525</v>
      </c>
      <c r="D12" s="152" t="s">
        <v>526</v>
      </c>
      <c r="E12" s="153" t="s">
        <v>402</v>
      </c>
      <c r="F12" s="144" t="s">
        <v>663</v>
      </c>
      <c r="G12" s="125" t="s">
        <v>521</v>
      </c>
      <c r="H12" s="164" t="s">
        <v>402</v>
      </c>
      <c r="I12" s="123" t="s">
        <v>402</v>
      </c>
      <c r="J12" s="124">
        <v>1</v>
      </c>
      <c r="K12" s="125" t="s">
        <v>396</v>
      </c>
      <c r="L12" s="165">
        <v>0</v>
      </c>
      <c r="M12" s="29">
        <v>1</v>
      </c>
      <c r="N12" s="1">
        <v>1.2284225230179247</v>
      </c>
      <c r="O12" s="139" t="s">
        <v>76</v>
      </c>
      <c r="P12" s="165">
        <v>0</v>
      </c>
      <c r="Q12" s="29">
        <v>1</v>
      </c>
      <c r="R12" s="1">
        <v>1.2284225230179247</v>
      </c>
      <c r="S12" s="139" t="s">
        <v>76</v>
      </c>
      <c r="T12" s="165">
        <v>20.408163265306122</v>
      </c>
      <c r="U12" s="29">
        <v>1</v>
      </c>
      <c r="V12" s="1">
        <v>1.2284225230179247</v>
      </c>
      <c r="W12" s="139" t="s">
        <v>76</v>
      </c>
      <c r="X12" s="165">
        <v>0</v>
      </c>
      <c r="Y12" s="29">
        <v>1</v>
      </c>
      <c r="Z12" s="1">
        <v>1.2284225230179247</v>
      </c>
      <c r="AA12" s="139" t="s">
        <v>76</v>
      </c>
      <c r="AB12" s="165">
        <v>0</v>
      </c>
      <c r="AC12" s="29">
        <v>1</v>
      </c>
      <c r="AD12" s="1">
        <v>1.2284225230179247</v>
      </c>
      <c r="AE12" s="31" t="s">
        <v>76</v>
      </c>
    </row>
    <row r="13" spans="1:31" ht="12.75">
      <c r="A13" s="156">
        <v>1645</v>
      </c>
      <c r="B13" s="163" t="s">
        <v>525</v>
      </c>
      <c r="C13" s="151" t="s">
        <v>525</v>
      </c>
      <c r="D13" s="152" t="s">
        <v>526</v>
      </c>
      <c r="E13" s="153" t="s">
        <v>402</v>
      </c>
      <c r="F13" s="144" t="s">
        <v>664</v>
      </c>
      <c r="G13" s="125" t="s">
        <v>521</v>
      </c>
      <c r="H13" s="164" t="s">
        <v>402</v>
      </c>
      <c r="I13" s="123" t="s">
        <v>402</v>
      </c>
      <c r="J13" s="124">
        <v>1</v>
      </c>
      <c r="K13" s="125" t="s">
        <v>396</v>
      </c>
      <c r="L13" s="165">
        <v>0</v>
      </c>
      <c r="M13" s="29">
        <v>1</v>
      </c>
      <c r="N13" s="1">
        <v>1.2284225230179247</v>
      </c>
      <c r="O13" s="139" t="s">
        <v>76</v>
      </c>
      <c r="P13" s="165">
        <v>0</v>
      </c>
      <c r="Q13" s="29">
        <v>1</v>
      </c>
      <c r="R13" s="1">
        <v>1.2284225230179247</v>
      </c>
      <c r="S13" s="139" t="s">
        <v>76</v>
      </c>
      <c r="T13" s="165">
        <v>0</v>
      </c>
      <c r="U13" s="29">
        <v>1</v>
      </c>
      <c r="V13" s="1">
        <v>1.2284225230179247</v>
      </c>
      <c r="W13" s="139" t="s">
        <v>76</v>
      </c>
      <c r="X13" s="165">
        <v>0</v>
      </c>
      <c r="Y13" s="29">
        <v>1</v>
      </c>
      <c r="Z13" s="1">
        <v>1.2284225230179247</v>
      </c>
      <c r="AA13" s="139" t="s">
        <v>76</v>
      </c>
      <c r="AB13" s="165">
        <v>20.408163265306122</v>
      </c>
      <c r="AC13" s="29">
        <v>1</v>
      </c>
      <c r="AD13" s="1">
        <v>1.2284225230179247</v>
      </c>
      <c r="AE13" s="31" t="s">
        <v>76</v>
      </c>
    </row>
    <row r="14" spans="1:31" ht="12.75">
      <c r="A14" s="156">
        <v>1646</v>
      </c>
      <c r="B14" s="163" t="s">
        <v>525</v>
      </c>
      <c r="C14" s="151" t="s">
        <v>525</v>
      </c>
      <c r="D14" s="152" t="s">
        <v>526</v>
      </c>
      <c r="E14" s="153" t="s">
        <v>402</v>
      </c>
      <c r="F14" s="144" t="s">
        <v>665</v>
      </c>
      <c r="G14" s="125" t="s">
        <v>521</v>
      </c>
      <c r="H14" s="164" t="s">
        <v>402</v>
      </c>
      <c r="I14" s="123" t="s">
        <v>402</v>
      </c>
      <c r="J14" s="124">
        <v>1</v>
      </c>
      <c r="K14" s="125" t="s">
        <v>396</v>
      </c>
      <c r="L14" s="165">
        <v>0</v>
      </c>
      <c r="M14" s="29">
        <v>1</v>
      </c>
      <c r="N14" s="1">
        <v>1.2284225230179247</v>
      </c>
      <c r="O14" s="139" t="s">
        <v>76</v>
      </c>
      <c r="P14" s="165">
        <v>0</v>
      </c>
      <c r="Q14" s="29">
        <v>1</v>
      </c>
      <c r="R14" s="1">
        <v>1.2284225230179247</v>
      </c>
      <c r="S14" s="139" t="s">
        <v>76</v>
      </c>
      <c r="T14" s="165">
        <v>0</v>
      </c>
      <c r="U14" s="29">
        <v>1</v>
      </c>
      <c r="V14" s="1">
        <v>1.2284225230179247</v>
      </c>
      <c r="W14" s="139" t="s">
        <v>76</v>
      </c>
      <c r="X14" s="165">
        <v>20.408163265306122</v>
      </c>
      <c r="Y14" s="29">
        <v>1</v>
      </c>
      <c r="Z14" s="1">
        <v>1.2284225230179247</v>
      </c>
      <c r="AA14" s="139" t="s">
        <v>76</v>
      </c>
      <c r="AB14" s="165">
        <v>0</v>
      </c>
      <c r="AC14" s="29">
        <v>1</v>
      </c>
      <c r="AD14" s="1">
        <v>1.2284225230179247</v>
      </c>
      <c r="AE14" s="31" t="s">
        <v>76</v>
      </c>
    </row>
    <row r="15" spans="1:31" ht="24">
      <c r="A15" s="38" t="s">
        <v>782</v>
      </c>
      <c r="B15" s="163" t="s">
        <v>525</v>
      </c>
      <c r="C15" s="151" t="s">
        <v>525</v>
      </c>
      <c r="D15" s="152" t="s">
        <v>526</v>
      </c>
      <c r="E15" s="153" t="s">
        <v>402</v>
      </c>
      <c r="F15" s="144" t="s">
        <v>1326</v>
      </c>
      <c r="G15" s="125" t="s">
        <v>521</v>
      </c>
      <c r="H15" s="164" t="s">
        <v>402</v>
      </c>
      <c r="I15" s="123" t="s">
        <v>402</v>
      </c>
      <c r="J15" s="124">
        <v>1</v>
      </c>
      <c r="K15" s="125" t="s">
        <v>396</v>
      </c>
      <c r="L15" s="165">
        <v>21.020408163265305</v>
      </c>
      <c r="M15" s="29">
        <v>1</v>
      </c>
      <c r="N15" s="1">
        <v>1.3582005896413567</v>
      </c>
      <c r="O15" s="139" t="s">
        <v>78</v>
      </c>
      <c r="P15" s="165">
        <v>0</v>
      </c>
      <c r="Q15" s="29">
        <v>1</v>
      </c>
      <c r="R15" s="1">
        <v>1.3582005896413567</v>
      </c>
      <c r="S15" s="139" t="s">
        <v>78</v>
      </c>
      <c r="T15" s="165">
        <v>0</v>
      </c>
      <c r="U15" s="29">
        <v>1</v>
      </c>
      <c r="V15" s="1">
        <v>1.3582005896413567</v>
      </c>
      <c r="W15" s="139" t="s">
        <v>78</v>
      </c>
      <c r="X15" s="165">
        <v>21.020408163265305</v>
      </c>
      <c r="Y15" s="29">
        <v>1</v>
      </c>
      <c r="Z15" s="1">
        <v>1.3582005896413567</v>
      </c>
      <c r="AA15" s="139" t="s">
        <v>78</v>
      </c>
      <c r="AB15" s="165">
        <v>0</v>
      </c>
      <c r="AC15" s="29">
        <v>1</v>
      </c>
      <c r="AD15" s="1">
        <v>1.3582005896413567</v>
      </c>
      <c r="AE15" s="31" t="s">
        <v>78</v>
      </c>
    </row>
    <row r="16" spans="1:31" ht="24">
      <c r="A16" s="38" t="s">
        <v>784</v>
      </c>
      <c r="B16" s="163" t="s">
        <v>525</v>
      </c>
      <c r="C16" s="151" t="s">
        <v>525</v>
      </c>
      <c r="D16" s="152" t="s">
        <v>526</v>
      </c>
      <c r="E16" s="153" t="s">
        <v>402</v>
      </c>
      <c r="F16" s="144" t="s">
        <v>1328</v>
      </c>
      <c r="G16" s="125" t="s">
        <v>521</v>
      </c>
      <c r="H16" s="164" t="s">
        <v>402</v>
      </c>
      <c r="I16" s="123" t="s">
        <v>402</v>
      </c>
      <c r="J16" s="124">
        <v>1</v>
      </c>
      <c r="K16" s="125" t="s">
        <v>396</v>
      </c>
      <c r="L16" s="165">
        <v>0</v>
      </c>
      <c r="M16" s="29">
        <v>1</v>
      </c>
      <c r="N16" s="1">
        <v>1.3582005896413567</v>
      </c>
      <c r="O16" s="139" t="s">
        <v>78</v>
      </c>
      <c r="P16" s="165">
        <v>21.020408163265305</v>
      </c>
      <c r="Q16" s="29">
        <v>1</v>
      </c>
      <c r="R16" s="1">
        <v>1.3582005896413567</v>
      </c>
      <c r="S16" s="139" t="s">
        <v>78</v>
      </c>
      <c r="T16" s="165">
        <v>21.020408163265305</v>
      </c>
      <c r="U16" s="29">
        <v>1</v>
      </c>
      <c r="V16" s="1">
        <v>1.3582005896413567</v>
      </c>
      <c r="W16" s="139" t="s">
        <v>78</v>
      </c>
      <c r="X16" s="165">
        <v>0</v>
      </c>
      <c r="Y16" s="29">
        <v>1</v>
      </c>
      <c r="Z16" s="1">
        <v>1.3582005896413567</v>
      </c>
      <c r="AA16" s="139" t="s">
        <v>78</v>
      </c>
      <c r="AB16" s="165">
        <v>21.020408163265305</v>
      </c>
      <c r="AC16" s="29">
        <v>1</v>
      </c>
      <c r="AD16" s="1">
        <v>1.3582005896413567</v>
      </c>
      <c r="AE16" s="31" t="s">
        <v>78</v>
      </c>
    </row>
    <row r="17" spans="1:31" ht="12.75">
      <c r="A17" s="157">
        <v>1802</v>
      </c>
      <c r="B17" s="163" t="s">
        <v>525</v>
      </c>
      <c r="C17" s="151" t="s">
        <v>525</v>
      </c>
      <c r="D17" s="152" t="s">
        <v>526</v>
      </c>
      <c r="E17" s="153" t="s">
        <v>402</v>
      </c>
      <c r="F17" s="144" t="s">
        <v>80</v>
      </c>
      <c r="G17" s="125" t="s">
        <v>393</v>
      </c>
      <c r="H17" s="164" t="s">
        <v>402</v>
      </c>
      <c r="I17" s="123" t="s">
        <v>402</v>
      </c>
      <c r="J17" s="124">
        <v>0</v>
      </c>
      <c r="K17" s="125" t="s">
        <v>81</v>
      </c>
      <c r="L17" s="165">
        <v>0</v>
      </c>
      <c r="M17" s="29">
        <v>1</v>
      </c>
      <c r="N17" s="1">
        <v>2.0865051432908035</v>
      </c>
      <c r="O17" s="139" t="s">
        <v>82</v>
      </c>
      <c r="P17" s="165">
        <v>0</v>
      </c>
      <c r="Q17" s="29">
        <v>1</v>
      </c>
      <c r="R17" s="1">
        <v>2.0865051432908035</v>
      </c>
      <c r="S17" s="139" t="s">
        <v>82</v>
      </c>
      <c r="T17" s="165">
        <v>80</v>
      </c>
      <c r="U17" s="29">
        <v>1</v>
      </c>
      <c r="V17" s="1">
        <v>2.0865051432908035</v>
      </c>
      <c r="W17" s="139" t="s">
        <v>82</v>
      </c>
      <c r="X17" s="165">
        <v>0</v>
      </c>
      <c r="Y17" s="29">
        <v>1</v>
      </c>
      <c r="Z17" s="1">
        <v>2.0865051432908035</v>
      </c>
      <c r="AA17" s="139" t="s">
        <v>82</v>
      </c>
      <c r="AB17" s="165">
        <v>0</v>
      </c>
      <c r="AC17" s="29">
        <v>1</v>
      </c>
      <c r="AD17" s="1">
        <v>2.0865051432908035</v>
      </c>
      <c r="AE17" s="31" t="s">
        <v>82</v>
      </c>
    </row>
    <row r="18" spans="1:31" ht="24">
      <c r="A18" s="157">
        <v>2988</v>
      </c>
      <c r="B18" s="163" t="s">
        <v>525</v>
      </c>
      <c r="C18" s="151" t="s">
        <v>525</v>
      </c>
      <c r="D18" s="152" t="s">
        <v>526</v>
      </c>
      <c r="E18" s="153" t="s">
        <v>402</v>
      </c>
      <c r="F18" s="144" t="s">
        <v>63</v>
      </c>
      <c r="G18" s="125" t="s">
        <v>393</v>
      </c>
      <c r="H18" s="164" t="s">
        <v>402</v>
      </c>
      <c r="I18" s="123" t="s">
        <v>402</v>
      </c>
      <c r="J18" s="124">
        <v>0</v>
      </c>
      <c r="K18" s="125" t="s">
        <v>397</v>
      </c>
      <c r="L18" s="165">
        <v>48.884752176699742</v>
      </c>
      <c r="M18" s="29">
        <v>1</v>
      </c>
      <c r="N18" s="1">
        <v>2.0865051432908035</v>
      </c>
      <c r="O18" s="139" t="s">
        <v>83</v>
      </c>
      <c r="P18" s="165">
        <v>53.35158891139362</v>
      </c>
      <c r="Q18" s="29">
        <v>1</v>
      </c>
      <c r="R18" s="1">
        <v>2.0865051432908035</v>
      </c>
      <c r="S18" s="139" t="s">
        <v>83</v>
      </c>
      <c r="T18" s="165">
        <v>53.35158891139362</v>
      </c>
      <c r="U18" s="29">
        <v>1</v>
      </c>
      <c r="V18" s="1">
        <v>2.0865051432908035</v>
      </c>
      <c r="W18" s="139" t="s">
        <v>83</v>
      </c>
      <c r="X18" s="165">
        <v>48.884752176699742</v>
      </c>
      <c r="Y18" s="29">
        <v>1</v>
      </c>
      <c r="Z18" s="1">
        <v>2.0865051432908035</v>
      </c>
      <c r="AA18" s="139" t="s">
        <v>83</v>
      </c>
      <c r="AB18" s="165">
        <v>53.35158891139362</v>
      </c>
      <c r="AC18" s="29">
        <v>1</v>
      </c>
      <c r="AD18" s="1">
        <v>2.0865051432908035</v>
      </c>
      <c r="AE18" s="31" t="s">
        <v>83</v>
      </c>
    </row>
    <row r="19" spans="1:31" ht="24">
      <c r="A19" s="2">
        <v>2987</v>
      </c>
      <c r="B19" s="163" t="s">
        <v>525</v>
      </c>
      <c r="C19" s="151" t="s">
        <v>525</v>
      </c>
      <c r="D19" s="152" t="s">
        <v>526</v>
      </c>
      <c r="E19" s="153" t="s">
        <v>402</v>
      </c>
      <c r="F19" s="144" t="s">
        <v>59</v>
      </c>
      <c r="G19" s="125" t="s">
        <v>521</v>
      </c>
      <c r="H19" s="164" t="s">
        <v>402</v>
      </c>
      <c r="I19" s="123" t="s">
        <v>402</v>
      </c>
      <c r="J19" s="124">
        <v>0</v>
      </c>
      <c r="K19" s="125" t="s">
        <v>397</v>
      </c>
      <c r="L19" s="165">
        <v>205.91776088349869</v>
      </c>
      <c r="M19" s="29">
        <v>1</v>
      </c>
      <c r="N19" s="1">
        <v>2.0865051432908035</v>
      </c>
      <c r="O19" s="139" t="s">
        <v>84</v>
      </c>
      <c r="P19" s="165">
        <v>228.25194455696808</v>
      </c>
      <c r="Q19" s="29">
        <v>1</v>
      </c>
      <c r="R19" s="1">
        <v>2.0865051432908035</v>
      </c>
      <c r="S19" s="139" t="s">
        <v>84</v>
      </c>
      <c r="T19" s="165">
        <v>228.25194455696808</v>
      </c>
      <c r="U19" s="29">
        <v>1</v>
      </c>
      <c r="V19" s="1">
        <v>2.0865051432908035</v>
      </c>
      <c r="W19" s="139" t="s">
        <v>84</v>
      </c>
      <c r="X19" s="165">
        <v>205.91776088349869</v>
      </c>
      <c r="Y19" s="29">
        <v>1</v>
      </c>
      <c r="Z19" s="1">
        <v>2.0865051432908035</v>
      </c>
      <c r="AA19" s="139" t="s">
        <v>84</v>
      </c>
      <c r="AB19" s="165">
        <v>228.25194455696808</v>
      </c>
      <c r="AC19" s="29">
        <v>1</v>
      </c>
      <c r="AD19" s="1">
        <v>2.0865051432908035</v>
      </c>
      <c r="AE19" s="31" t="s">
        <v>84</v>
      </c>
    </row>
    <row r="20" spans="1:31" ht="12.75">
      <c r="A20" s="156">
        <v>1824</v>
      </c>
      <c r="B20" s="163" t="s">
        <v>525</v>
      </c>
      <c r="C20" s="151" t="s">
        <v>525</v>
      </c>
      <c r="D20" s="152" t="s">
        <v>526</v>
      </c>
      <c r="E20" s="153" t="s">
        <v>402</v>
      </c>
      <c r="F20" s="144" t="s">
        <v>85</v>
      </c>
      <c r="G20" s="125" t="s">
        <v>86</v>
      </c>
      <c r="H20" s="164" t="s">
        <v>402</v>
      </c>
      <c r="I20" s="123" t="s">
        <v>402</v>
      </c>
      <c r="J20" s="124">
        <v>0</v>
      </c>
      <c r="K20" s="125" t="s">
        <v>397</v>
      </c>
      <c r="L20" s="165">
        <v>0</v>
      </c>
      <c r="M20" s="29">
        <v>1</v>
      </c>
      <c r="N20" s="1">
        <v>2.0865051432908035</v>
      </c>
      <c r="O20" s="139" t="s">
        <v>1672</v>
      </c>
      <c r="P20" s="165">
        <v>0</v>
      </c>
      <c r="Q20" s="29">
        <v>1</v>
      </c>
      <c r="R20" s="1">
        <v>2.0865051432908035</v>
      </c>
      <c r="S20" s="139" t="s">
        <v>1672</v>
      </c>
      <c r="T20" s="165">
        <v>0</v>
      </c>
      <c r="U20" s="29">
        <v>1</v>
      </c>
      <c r="V20" s="1">
        <v>2.0865051432908035</v>
      </c>
      <c r="W20" s="139" t="s">
        <v>1672</v>
      </c>
      <c r="X20" s="165">
        <v>0</v>
      </c>
      <c r="Y20" s="29">
        <v>1</v>
      </c>
      <c r="Z20" s="1">
        <v>2.0865051432908035</v>
      </c>
      <c r="AA20" s="139" t="s">
        <v>1672</v>
      </c>
      <c r="AB20" s="165">
        <v>0</v>
      </c>
      <c r="AC20" s="29">
        <v>1</v>
      </c>
      <c r="AD20" s="1">
        <v>2.0865051432908035</v>
      </c>
      <c r="AE20" s="31" t="s">
        <v>1672</v>
      </c>
    </row>
    <row r="21" spans="1:31" ht="12.75">
      <c r="A21" s="214">
        <v>490</v>
      </c>
      <c r="B21" s="296" t="s">
        <v>692</v>
      </c>
      <c r="C21" s="169" t="s">
        <v>525</v>
      </c>
      <c r="D21" s="11" t="s">
        <v>402</v>
      </c>
      <c r="E21" s="170" t="s">
        <v>527</v>
      </c>
      <c r="F21" s="144" t="s">
        <v>324</v>
      </c>
      <c r="G21" s="125" t="s">
        <v>402</v>
      </c>
      <c r="H21" s="164" t="s">
        <v>325</v>
      </c>
      <c r="I21" s="123" t="s">
        <v>685</v>
      </c>
      <c r="J21" s="124" t="s">
        <v>402</v>
      </c>
      <c r="K21" s="125" t="s">
        <v>677</v>
      </c>
      <c r="L21" s="165">
        <v>0.14400000000000002</v>
      </c>
      <c r="M21" s="29">
        <v>1</v>
      </c>
      <c r="N21" s="1">
        <v>1.2849840792941758</v>
      </c>
      <c r="O21" s="139" t="s">
        <v>88</v>
      </c>
      <c r="P21" s="165">
        <v>0.14400000000000002</v>
      </c>
      <c r="Q21" s="29">
        <v>1</v>
      </c>
      <c r="R21" s="1">
        <v>1.2849840792941758</v>
      </c>
      <c r="S21" s="139" t="s">
        <v>88</v>
      </c>
      <c r="T21" s="165">
        <v>3.6720000000000002</v>
      </c>
      <c r="U21" s="29">
        <v>1</v>
      </c>
      <c r="V21" s="1">
        <v>1.2849840792941758</v>
      </c>
      <c r="W21" s="139" t="s">
        <v>88</v>
      </c>
      <c r="X21" s="165">
        <v>0.82800000000000007</v>
      </c>
      <c r="Y21" s="29">
        <v>1</v>
      </c>
      <c r="Z21" s="1">
        <v>1.2849840792941758</v>
      </c>
      <c r="AA21" s="139" t="s">
        <v>88</v>
      </c>
      <c r="AB21" s="165">
        <v>0.82800000000000007</v>
      </c>
      <c r="AC21" s="29">
        <v>1</v>
      </c>
      <c r="AD21" s="1">
        <v>1.2849840792941758</v>
      </c>
      <c r="AE21" s="31" t="s">
        <v>88</v>
      </c>
    </row>
    <row r="22" spans="1:31" ht="24">
      <c r="A22" s="6" t="s">
        <v>1015</v>
      </c>
      <c r="B22" s="168" t="s">
        <v>523</v>
      </c>
      <c r="C22" s="169"/>
      <c r="D22" s="11" t="s">
        <v>402</v>
      </c>
      <c r="E22" s="170">
        <v>0</v>
      </c>
      <c r="F22" s="145" t="s">
        <v>123</v>
      </c>
      <c r="G22" s="16" t="s">
        <v>521</v>
      </c>
      <c r="H22" s="14" t="s">
        <v>402</v>
      </c>
      <c r="I22" s="14" t="s">
        <v>402</v>
      </c>
      <c r="J22" s="15">
        <v>1</v>
      </c>
      <c r="K22" s="16" t="s">
        <v>522</v>
      </c>
      <c r="L22" s="149">
        <v>1</v>
      </c>
      <c r="M22" s="40"/>
      <c r="N22" s="89"/>
      <c r="O22" s="202"/>
      <c r="P22" s="149">
        <v>0</v>
      </c>
      <c r="Q22" s="40"/>
      <c r="R22" s="89"/>
      <c r="S22" s="202"/>
      <c r="T22" s="149">
        <v>0</v>
      </c>
      <c r="U22" s="40"/>
      <c r="V22" s="89"/>
      <c r="W22" s="202"/>
      <c r="X22" s="149">
        <v>0</v>
      </c>
      <c r="Y22" s="40"/>
      <c r="Z22" s="89"/>
      <c r="AA22" s="202"/>
      <c r="AB22" s="149">
        <v>0</v>
      </c>
      <c r="AC22" s="40"/>
      <c r="AD22" s="89"/>
      <c r="AE22" s="193"/>
    </row>
    <row r="23" spans="1:31" ht="24">
      <c r="A23" s="6" t="s">
        <v>1016</v>
      </c>
      <c r="B23" s="168"/>
      <c r="C23" s="169"/>
      <c r="D23" s="11" t="s">
        <v>402</v>
      </c>
      <c r="E23" s="170">
        <v>0</v>
      </c>
      <c r="F23" s="145" t="s">
        <v>124</v>
      </c>
      <c r="G23" s="16" t="s">
        <v>521</v>
      </c>
      <c r="H23" s="14" t="s">
        <v>402</v>
      </c>
      <c r="I23" s="14" t="s">
        <v>402</v>
      </c>
      <c r="J23" s="15">
        <v>1</v>
      </c>
      <c r="K23" s="16" t="s">
        <v>522</v>
      </c>
      <c r="L23" s="149">
        <v>0</v>
      </c>
      <c r="M23" s="40"/>
      <c r="N23" s="89"/>
      <c r="O23" s="202"/>
      <c r="P23" s="149">
        <v>1</v>
      </c>
      <c r="Q23" s="40"/>
      <c r="R23" s="89"/>
      <c r="S23" s="202"/>
      <c r="T23" s="149">
        <v>0</v>
      </c>
      <c r="U23" s="40"/>
      <c r="V23" s="89"/>
      <c r="W23" s="202"/>
      <c r="X23" s="149">
        <v>0</v>
      </c>
      <c r="Y23" s="40"/>
      <c r="Z23" s="89"/>
      <c r="AA23" s="202"/>
      <c r="AB23" s="149">
        <v>0</v>
      </c>
      <c r="AC23" s="40"/>
      <c r="AD23" s="89"/>
      <c r="AE23" s="193"/>
    </row>
    <row r="24" spans="1:31">
      <c r="A24" s="6" t="s">
        <v>1017</v>
      </c>
      <c r="B24" s="168"/>
      <c r="C24" s="169"/>
      <c r="D24" s="11" t="s">
        <v>402</v>
      </c>
      <c r="E24" s="170">
        <v>0</v>
      </c>
      <c r="F24" s="145" t="s">
        <v>126</v>
      </c>
      <c r="G24" s="16" t="s">
        <v>521</v>
      </c>
      <c r="H24" s="14" t="s">
        <v>402</v>
      </c>
      <c r="I24" s="14" t="s">
        <v>402</v>
      </c>
      <c r="J24" s="15">
        <v>1</v>
      </c>
      <c r="K24" s="16" t="s">
        <v>522</v>
      </c>
      <c r="L24" s="149">
        <v>0</v>
      </c>
      <c r="M24" s="40"/>
      <c r="N24" s="89"/>
      <c r="O24" s="202"/>
      <c r="P24" s="149">
        <v>0</v>
      </c>
      <c r="Q24" s="40"/>
      <c r="R24" s="89"/>
      <c r="S24" s="202"/>
      <c r="T24" s="149">
        <v>1</v>
      </c>
      <c r="U24" s="40"/>
      <c r="V24" s="89"/>
      <c r="W24" s="202"/>
      <c r="X24" s="149">
        <v>0</v>
      </c>
      <c r="Y24" s="40"/>
      <c r="Z24" s="89"/>
      <c r="AA24" s="202"/>
      <c r="AB24" s="149">
        <v>0</v>
      </c>
      <c r="AC24" s="40"/>
      <c r="AD24" s="89"/>
      <c r="AE24" s="193"/>
    </row>
    <row r="25" spans="1:31" ht="24">
      <c r="A25" s="6" t="s">
        <v>1018</v>
      </c>
      <c r="B25" s="168"/>
      <c r="C25" s="169"/>
      <c r="D25" s="11" t="s">
        <v>402</v>
      </c>
      <c r="E25" s="170">
        <v>0</v>
      </c>
      <c r="F25" s="145" t="s">
        <v>129</v>
      </c>
      <c r="G25" s="16" t="s">
        <v>521</v>
      </c>
      <c r="H25" s="14" t="s">
        <v>402</v>
      </c>
      <c r="I25" s="14" t="s">
        <v>402</v>
      </c>
      <c r="J25" s="15">
        <v>1</v>
      </c>
      <c r="K25" s="16" t="s">
        <v>522</v>
      </c>
      <c r="L25" s="149">
        <v>0</v>
      </c>
      <c r="M25" s="40"/>
      <c r="N25" s="89"/>
      <c r="O25" s="202"/>
      <c r="P25" s="149">
        <v>0</v>
      </c>
      <c r="Q25" s="40"/>
      <c r="R25" s="89"/>
      <c r="S25" s="202"/>
      <c r="T25" s="149">
        <v>0</v>
      </c>
      <c r="U25" s="40"/>
      <c r="V25" s="89"/>
      <c r="W25" s="202"/>
      <c r="X25" s="149">
        <v>1</v>
      </c>
      <c r="Y25" s="40"/>
      <c r="Z25" s="89"/>
      <c r="AA25" s="202"/>
      <c r="AB25" s="149">
        <v>0</v>
      </c>
      <c r="AC25" s="40"/>
      <c r="AD25" s="89"/>
      <c r="AE25" s="193"/>
    </row>
    <row r="26" spans="1:31" ht="24">
      <c r="A26" s="5" t="s">
        <v>1019</v>
      </c>
      <c r="B26" s="168"/>
      <c r="C26" s="169"/>
      <c r="D26" s="11" t="s">
        <v>402</v>
      </c>
      <c r="E26" s="170">
        <v>0</v>
      </c>
      <c r="F26" s="145" t="s">
        <v>130</v>
      </c>
      <c r="G26" s="16" t="s">
        <v>521</v>
      </c>
      <c r="H26" s="14" t="s">
        <v>402</v>
      </c>
      <c r="I26" s="14" t="s">
        <v>402</v>
      </c>
      <c r="J26" s="15">
        <v>1</v>
      </c>
      <c r="K26" s="16" t="s">
        <v>522</v>
      </c>
      <c r="L26" s="149">
        <v>0</v>
      </c>
      <c r="M26" s="29"/>
      <c r="N26" s="1"/>
      <c r="O26" s="139"/>
      <c r="P26" s="149">
        <v>0</v>
      </c>
      <c r="Q26" s="29"/>
      <c r="R26" s="1"/>
      <c r="S26" s="139"/>
      <c r="T26" s="149">
        <v>0</v>
      </c>
      <c r="U26" s="29"/>
      <c r="V26" s="1"/>
      <c r="W26" s="139"/>
      <c r="X26" s="149">
        <v>0</v>
      </c>
      <c r="Y26" s="29"/>
      <c r="Z26" s="1"/>
      <c r="AA26" s="139"/>
      <c r="AB26" s="149">
        <v>1</v>
      </c>
      <c r="AC26" s="29"/>
      <c r="AD26" s="1"/>
      <c r="AE26" s="31"/>
    </row>
  </sheetData>
  <pageMargins left="0.78740157499999996" right="0.78740157499999996" top="0.984251969" bottom="0.984251969" header="0.4921259845" footer="0.4921259845"/>
  <pageSetup paperSize="9" scale="67"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1">
    <pageSetUpPr fitToPage="1"/>
  </sheetPr>
  <dimension ref="A1:AE26"/>
  <sheetViews>
    <sheetView zoomScale="75" workbookViewId="0">
      <selection activeCell="J46" sqref="J46"/>
    </sheetView>
  </sheetViews>
  <sheetFormatPr defaultColWidth="11.42578125" defaultRowHeight="12" outlineLevelCol="1"/>
  <cols>
    <col min="1" max="1" width="8.7109375" style="7" customWidth="1"/>
    <col min="2" max="2" width="11.85546875" style="158" customWidth="1"/>
    <col min="3" max="3" width="3.7109375" style="159" hidden="1" customWidth="1" outlineLevel="1"/>
    <col min="4" max="4" width="3" style="7" hidden="1" customWidth="1" outlineLevel="1"/>
    <col min="5" max="5" width="2.7109375" style="7" hidden="1" customWidth="1" outlineLevel="1"/>
    <col min="6" max="6" width="39.140625" style="8" customWidth="1" collapsed="1"/>
    <col min="7" max="7" width="5" style="7" customWidth="1"/>
    <col min="8" max="8" width="5.7109375" style="7" hidden="1" customWidth="1" outlineLevel="1"/>
    <col min="9" max="9" width="19.42578125" style="7" hidden="1" customWidth="1" outlineLevel="1"/>
    <col min="10" max="10" width="4.140625" style="7" bestFit="1" customWidth="1" collapsed="1"/>
    <col min="11" max="11" width="5.140625" style="7" customWidth="1"/>
    <col min="12" max="12" width="11.28515625" style="7" customWidth="1"/>
    <col min="13" max="13" width="2" style="141" hidden="1" customWidth="1" outlineLevel="1"/>
    <col min="14" max="14" width="4.28515625" style="140" hidden="1" customWidth="1" outlineLevel="1"/>
    <col min="15" max="15" width="37.85546875" style="140" hidden="1" customWidth="1" outlineLevel="1"/>
    <col min="16" max="16" width="11.28515625" style="7" customWidth="1" collapsed="1"/>
    <col min="17" max="17" width="2" style="141" hidden="1" customWidth="1" outlineLevel="1"/>
    <col min="18" max="18" width="4.28515625" style="140" hidden="1" customWidth="1" outlineLevel="1"/>
    <col min="19" max="19" width="37.85546875" style="140" hidden="1" customWidth="1" outlineLevel="1"/>
    <col min="20" max="20" width="11.28515625" style="7" customWidth="1" collapsed="1"/>
    <col min="21" max="21" width="2" style="141" hidden="1" customWidth="1" outlineLevel="1"/>
    <col min="22" max="22" width="4.28515625" style="140" hidden="1" customWidth="1" outlineLevel="1"/>
    <col min="23" max="23" width="37.85546875" style="140" hidden="1" customWidth="1" outlineLevel="1"/>
    <col min="24" max="24" width="11.28515625" style="7" customWidth="1" collapsed="1"/>
    <col min="25" max="25" width="2" style="141" hidden="1" customWidth="1" outlineLevel="1"/>
    <col min="26" max="26" width="4.28515625" style="140" hidden="1" customWidth="1" outlineLevel="1"/>
    <col min="27" max="27" width="37.85546875" style="140" hidden="1" customWidth="1" outlineLevel="1"/>
    <col min="28" max="28" width="11.28515625" style="7" customWidth="1" collapsed="1"/>
    <col min="29" max="29" width="2" style="118" customWidth="1" outlineLevel="1"/>
    <col min="30" max="30" width="4.28515625" style="32" customWidth="1" outlineLevel="1"/>
    <col min="31" max="31" width="39" style="33" customWidth="1" outlineLevel="1"/>
    <col min="32" max="16384" width="11.42578125" style="7"/>
  </cols>
  <sheetData>
    <row r="1" spans="1:31">
      <c r="A1" s="36"/>
      <c r="B1" s="34"/>
      <c r="C1" s="35"/>
      <c r="D1" s="36"/>
      <c r="E1" s="36"/>
      <c r="F1" s="37" t="s">
        <v>510</v>
      </c>
      <c r="G1" s="36"/>
      <c r="H1" s="36"/>
      <c r="I1" s="36"/>
      <c r="J1" s="36"/>
      <c r="K1" s="36"/>
      <c r="L1" s="189" t="s">
        <v>1035</v>
      </c>
      <c r="M1" s="21"/>
      <c r="N1" s="22"/>
      <c r="O1" s="22"/>
      <c r="P1" s="189" t="s">
        <v>1036</v>
      </c>
      <c r="Q1" s="21"/>
      <c r="R1" s="22"/>
      <c r="S1" s="22"/>
      <c r="T1" s="189" t="s">
        <v>1037</v>
      </c>
      <c r="U1" s="21"/>
      <c r="V1" s="22"/>
      <c r="W1" s="22"/>
      <c r="X1" s="189" t="s">
        <v>1038</v>
      </c>
      <c r="Y1" s="21"/>
      <c r="Z1" s="22"/>
      <c r="AA1" s="22"/>
      <c r="AB1" s="189" t="s">
        <v>1039</v>
      </c>
      <c r="AC1" s="21"/>
      <c r="AD1" s="22"/>
      <c r="AE1" s="22"/>
    </row>
    <row r="2" spans="1:31">
      <c r="A2" s="36"/>
      <c r="B2" s="147"/>
      <c r="C2" s="35" t="s">
        <v>511</v>
      </c>
      <c r="D2" s="147">
        <v>3503</v>
      </c>
      <c r="E2" s="147">
        <v>3504</v>
      </c>
      <c r="F2" s="147">
        <v>3702</v>
      </c>
      <c r="G2" s="147">
        <v>3703</v>
      </c>
      <c r="H2" s="147">
        <v>3506</v>
      </c>
      <c r="I2" s="147">
        <v>3507</v>
      </c>
      <c r="J2" s="147">
        <v>3508</v>
      </c>
      <c r="K2" s="147">
        <v>3706</v>
      </c>
      <c r="L2" s="147">
        <v>3707</v>
      </c>
      <c r="M2" s="133">
        <v>3708</v>
      </c>
      <c r="N2" s="133">
        <v>3709</v>
      </c>
      <c r="O2" s="134">
        <v>3792</v>
      </c>
      <c r="P2" s="147">
        <v>3707</v>
      </c>
      <c r="Q2" s="133">
        <v>3708</v>
      </c>
      <c r="R2" s="133">
        <v>3709</v>
      </c>
      <c r="S2" s="134">
        <v>3792</v>
      </c>
      <c r="T2" s="147">
        <v>3707</v>
      </c>
      <c r="U2" s="133">
        <v>3708</v>
      </c>
      <c r="V2" s="133">
        <v>3709</v>
      </c>
      <c r="W2" s="134">
        <v>3792</v>
      </c>
      <c r="X2" s="147">
        <v>3707</v>
      </c>
      <c r="Y2" s="133">
        <v>3708</v>
      </c>
      <c r="Z2" s="133">
        <v>3709</v>
      </c>
      <c r="AA2" s="134">
        <v>3792</v>
      </c>
      <c r="AB2" s="147">
        <v>3707</v>
      </c>
      <c r="AC2" s="23">
        <v>3708</v>
      </c>
      <c r="AD2" s="23">
        <v>3709</v>
      </c>
      <c r="AE2" s="24">
        <v>3792</v>
      </c>
    </row>
    <row r="3" spans="1:31" ht="107.25" customHeight="1">
      <c r="A3" s="36" t="s">
        <v>398</v>
      </c>
      <c r="B3" s="166"/>
      <c r="C3" s="35">
        <v>401</v>
      </c>
      <c r="D3" s="167" t="s">
        <v>514</v>
      </c>
      <c r="E3" s="167" t="s">
        <v>515</v>
      </c>
      <c r="F3" s="132" t="s">
        <v>516</v>
      </c>
      <c r="G3" s="41" t="s">
        <v>517</v>
      </c>
      <c r="H3" s="41" t="s">
        <v>518</v>
      </c>
      <c r="I3" s="41" t="s">
        <v>519</v>
      </c>
      <c r="J3" s="41" t="s">
        <v>520</v>
      </c>
      <c r="K3" s="41" t="s">
        <v>394</v>
      </c>
      <c r="L3" s="178" t="s">
        <v>123</v>
      </c>
      <c r="M3" s="135" t="s">
        <v>265</v>
      </c>
      <c r="N3" s="135" t="s">
        <v>266</v>
      </c>
      <c r="O3" s="136" t="s">
        <v>548</v>
      </c>
      <c r="P3" s="178" t="s">
        <v>124</v>
      </c>
      <c r="Q3" s="135" t="s">
        <v>265</v>
      </c>
      <c r="R3" s="135" t="s">
        <v>266</v>
      </c>
      <c r="S3" s="136" t="s">
        <v>548</v>
      </c>
      <c r="T3" s="178" t="s">
        <v>126</v>
      </c>
      <c r="U3" s="135" t="s">
        <v>265</v>
      </c>
      <c r="V3" s="135" t="s">
        <v>266</v>
      </c>
      <c r="W3" s="136" t="s">
        <v>548</v>
      </c>
      <c r="X3" s="178" t="s">
        <v>129</v>
      </c>
      <c r="Y3" s="135" t="s">
        <v>265</v>
      </c>
      <c r="Z3" s="135" t="s">
        <v>266</v>
      </c>
      <c r="AA3" s="136" t="s">
        <v>548</v>
      </c>
      <c r="AB3" s="178" t="s">
        <v>130</v>
      </c>
      <c r="AC3" s="25" t="s">
        <v>265</v>
      </c>
      <c r="AD3" s="25" t="s">
        <v>266</v>
      </c>
      <c r="AE3" s="128" t="s">
        <v>548</v>
      </c>
    </row>
    <row r="4" spans="1:31" ht="13.5" customHeight="1">
      <c r="A4" s="36"/>
      <c r="B4" s="166"/>
      <c r="C4" s="35">
        <v>662</v>
      </c>
      <c r="D4" s="9"/>
      <c r="E4" s="9"/>
      <c r="F4" s="132" t="s">
        <v>517</v>
      </c>
      <c r="G4" s="132"/>
      <c r="H4" s="132"/>
      <c r="I4" s="132"/>
      <c r="J4" s="132"/>
      <c r="K4" s="132"/>
      <c r="L4" s="178" t="s">
        <v>465</v>
      </c>
      <c r="M4" s="137">
        <v>0</v>
      </c>
      <c r="N4" s="137">
        <v>0</v>
      </c>
      <c r="O4" s="138">
        <v>0</v>
      </c>
      <c r="P4" s="178" t="s">
        <v>465</v>
      </c>
      <c r="Q4" s="137">
        <v>0</v>
      </c>
      <c r="R4" s="137">
        <v>0</v>
      </c>
      <c r="S4" s="138">
        <v>0</v>
      </c>
      <c r="T4" s="178" t="s">
        <v>465</v>
      </c>
      <c r="U4" s="137">
        <v>0</v>
      </c>
      <c r="V4" s="137">
        <v>0</v>
      </c>
      <c r="W4" s="138">
        <v>0</v>
      </c>
      <c r="X4" s="178" t="s">
        <v>465</v>
      </c>
      <c r="Y4" s="137">
        <v>0</v>
      </c>
      <c r="Z4" s="137">
        <v>0</v>
      </c>
      <c r="AA4" s="138">
        <v>0</v>
      </c>
      <c r="AB4" s="178" t="s">
        <v>465</v>
      </c>
      <c r="AC4" s="129"/>
      <c r="AD4" s="129"/>
      <c r="AE4" s="130"/>
    </row>
    <row r="5" spans="1:31">
      <c r="A5" s="36"/>
      <c r="B5" s="166"/>
      <c r="C5" s="35">
        <v>493</v>
      </c>
      <c r="D5" s="9"/>
      <c r="E5" s="9"/>
      <c r="F5" s="132" t="s">
        <v>520</v>
      </c>
      <c r="G5" s="132"/>
      <c r="H5" s="132"/>
      <c r="I5" s="132"/>
      <c r="J5" s="132"/>
      <c r="K5" s="132"/>
      <c r="L5" s="178">
        <v>1</v>
      </c>
      <c r="M5" s="137">
        <v>0</v>
      </c>
      <c r="N5" s="137">
        <v>0</v>
      </c>
      <c r="O5" s="138">
        <v>0</v>
      </c>
      <c r="P5" s="178">
        <v>1</v>
      </c>
      <c r="Q5" s="137">
        <v>0</v>
      </c>
      <c r="R5" s="137">
        <v>0</v>
      </c>
      <c r="S5" s="138">
        <v>0</v>
      </c>
      <c r="T5" s="178">
        <v>1</v>
      </c>
      <c r="U5" s="137">
        <v>0</v>
      </c>
      <c r="V5" s="137">
        <v>0</v>
      </c>
      <c r="W5" s="138">
        <v>0</v>
      </c>
      <c r="X5" s="178">
        <v>1</v>
      </c>
      <c r="Y5" s="137">
        <v>0</v>
      </c>
      <c r="Z5" s="137">
        <v>0</v>
      </c>
      <c r="AA5" s="138">
        <v>0</v>
      </c>
      <c r="AB5" s="178">
        <v>1</v>
      </c>
      <c r="AC5" s="129"/>
      <c r="AD5" s="129"/>
      <c r="AE5" s="130"/>
    </row>
    <row r="6" spans="1:31">
      <c r="A6" s="36"/>
      <c r="B6" s="166"/>
      <c r="C6" s="35">
        <v>403</v>
      </c>
      <c r="D6" s="9"/>
      <c r="E6" s="9"/>
      <c r="F6" s="132" t="s">
        <v>394</v>
      </c>
      <c r="G6" s="352"/>
      <c r="H6" s="132"/>
      <c r="I6" s="132"/>
      <c r="J6" s="132"/>
      <c r="K6" s="132"/>
      <c r="L6" s="178" t="s">
        <v>522</v>
      </c>
      <c r="M6" s="137">
        <v>0</v>
      </c>
      <c r="N6" s="137">
        <v>0</v>
      </c>
      <c r="O6" s="138">
        <v>0</v>
      </c>
      <c r="P6" s="178" t="s">
        <v>522</v>
      </c>
      <c r="Q6" s="137">
        <v>0</v>
      </c>
      <c r="R6" s="137">
        <v>0</v>
      </c>
      <c r="S6" s="138">
        <v>0</v>
      </c>
      <c r="T6" s="178" t="s">
        <v>522</v>
      </c>
      <c r="U6" s="137">
        <v>0</v>
      </c>
      <c r="V6" s="137">
        <v>0</v>
      </c>
      <c r="W6" s="138">
        <v>0</v>
      </c>
      <c r="X6" s="178" t="s">
        <v>522</v>
      </c>
      <c r="Y6" s="137">
        <v>0</v>
      </c>
      <c r="Z6" s="137">
        <v>0</v>
      </c>
      <c r="AA6" s="138">
        <v>0</v>
      </c>
      <c r="AB6" s="178" t="s">
        <v>522</v>
      </c>
      <c r="AC6" s="129"/>
      <c r="AD6" s="129"/>
      <c r="AE6" s="130"/>
    </row>
    <row r="7" spans="1:31" ht="24">
      <c r="A7" s="2" t="s">
        <v>1051</v>
      </c>
      <c r="B7" s="163" t="s">
        <v>524</v>
      </c>
      <c r="C7" s="151" t="s">
        <v>525</v>
      </c>
      <c r="D7" s="152" t="s">
        <v>526</v>
      </c>
      <c r="E7" s="153" t="s">
        <v>402</v>
      </c>
      <c r="F7" s="144" t="s">
        <v>70</v>
      </c>
      <c r="G7" s="125" t="s">
        <v>465</v>
      </c>
      <c r="H7" s="164" t="s">
        <v>402</v>
      </c>
      <c r="I7" s="123" t="s">
        <v>402</v>
      </c>
      <c r="J7" s="124">
        <v>0</v>
      </c>
      <c r="K7" s="125" t="s">
        <v>678</v>
      </c>
      <c r="L7" s="165">
        <v>0.04</v>
      </c>
      <c r="M7" s="29">
        <v>1</v>
      </c>
      <c r="N7" s="1">
        <v>1.2849840792941758</v>
      </c>
      <c r="O7" s="139" t="s">
        <v>71</v>
      </c>
      <c r="P7" s="165">
        <v>0.04</v>
      </c>
      <c r="Q7" s="29">
        <v>1</v>
      </c>
      <c r="R7" s="1">
        <v>1.2849840792941758</v>
      </c>
      <c r="S7" s="139" t="s">
        <v>71</v>
      </c>
      <c r="T7" s="165">
        <v>1.02</v>
      </c>
      <c r="U7" s="29">
        <v>1</v>
      </c>
      <c r="V7" s="1">
        <v>1.2849840792941758</v>
      </c>
      <c r="W7" s="139" t="s">
        <v>71</v>
      </c>
      <c r="X7" s="165">
        <v>0.23</v>
      </c>
      <c r="Y7" s="29">
        <v>1</v>
      </c>
      <c r="Z7" s="1">
        <v>1.2849840792941758</v>
      </c>
      <c r="AA7" s="139" t="s">
        <v>71</v>
      </c>
      <c r="AB7" s="165">
        <v>0.23</v>
      </c>
      <c r="AC7" s="29">
        <v>1</v>
      </c>
      <c r="AD7" s="1">
        <v>1.2849840792941758</v>
      </c>
      <c r="AE7" s="31" t="s">
        <v>71</v>
      </c>
    </row>
    <row r="8" spans="1:31" ht="12.75">
      <c r="A8" s="156">
        <v>4804</v>
      </c>
      <c r="B8" s="163" t="s">
        <v>525</v>
      </c>
      <c r="C8" s="151" t="s">
        <v>525</v>
      </c>
      <c r="D8" s="152" t="s">
        <v>526</v>
      </c>
      <c r="E8" s="153" t="s">
        <v>402</v>
      </c>
      <c r="F8" s="144" t="s">
        <v>72</v>
      </c>
      <c r="G8" s="125" t="s">
        <v>521</v>
      </c>
      <c r="H8" s="164" t="s">
        <v>402</v>
      </c>
      <c r="I8" s="123" t="s">
        <v>402</v>
      </c>
      <c r="J8" s="124">
        <v>1</v>
      </c>
      <c r="K8" s="125" t="s">
        <v>522</v>
      </c>
      <c r="L8" s="165">
        <v>2.4</v>
      </c>
      <c r="M8" s="29">
        <v>1</v>
      </c>
      <c r="N8" s="1">
        <v>1.2354522921220721</v>
      </c>
      <c r="O8" s="139" t="s">
        <v>73</v>
      </c>
      <c r="P8" s="165">
        <v>2.4</v>
      </c>
      <c r="Q8" s="29">
        <v>1</v>
      </c>
      <c r="R8" s="1">
        <v>1.2354522921220721</v>
      </c>
      <c r="S8" s="139" t="s">
        <v>73</v>
      </c>
      <c r="T8" s="165">
        <v>2.4</v>
      </c>
      <c r="U8" s="29">
        <v>1</v>
      </c>
      <c r="V8" s="1">
        <v>1.2354522921220721</v>
      </c>
      <c r="W8" s="139" t="s">
        <v>73</v>
      </c>
      <c r="X8" s="165">
        <v>2.4</v>
      </c>
      <c r="Y8" s="29">
        <v>1</v>
      </c>
      <c r="Z8" s="1">
        <v>1.2354522921220721</v>
      </c>
      <c r="AA8" s="139" t="s">
        <v>73</v>
      </c>
      <c r="AB8" s="165">
        <v>2.4</v>
      </c>
      <c r="AC8" s="29">
        <v>1</v>
      </c>
      <c r="AD8" s="1">
        <v>1.2354522921220721</v>
      </c>
      <c r="AE8" s="31" t="s">
        <v>73</v>
      </c>
    </row>
    <row r="9" spans="1:31" ht="12.75">
      <c r="A9" s="156">
        <v>1484</v>
      </c>
      <c r="B9" s="163"/>
      <c r="C9" s="151" t="s">
        <v>525</v>
      </c>
      <c r="D9" s="152" t="s">
        <v>526</v>
      </c>
      <c r="E9" s="153" t="s">
        <v>402</v>
      </c>
      <c r="F9" s="144" t="s">
        <v>74</v>
      </c>
      <c r="G9" s="125" t="s">
        <v>393</v>
      </c>
      <c r="H9" s="164" t="s">
        <v>402</v>
      </c>
      <c r="I9" s="123" t="s">
        <v>402</v>
      </c>
      <c r="J9" s="124">
        <v>1</v>
      </c>
      <c r="K9" s="125" t="s">
        <v>522</v>
      </c>
      <c r="L9" s="165">
        <v>1</v>
      </c>
      <c r="M9" s="29">
        <v>1</v>
      </c>
      <c r="N9" s="1">
        <v>2.0865051432908035</v>
      </c>
      <c r="O9" s="139" t="s">
        <v>75</v>
      </c>
      <c r="P9" s="165">
        <v>1</v>
      </c>
      <c r="Q9" s="29">
        <v>1</v>
      </c>
      <c r="R9" s="1">
        <v>2.0865051432908035</v>
      </c>
      <c r="S9" s="139" t="s">
        <v>75</v>
      </c>
      <c r="T9" s="165">
        <v>1</v>
      </c>
      <c r="U9" s="29">
        <v>1</v>
      </c>
      <c r="V9" s="1">
        <v>2.0865051432908035</v>
      </c>
      <c r="W9" s="139" t="s">
        <v>75</v>
      </c>
      <c r="X9" s="165">
        <v>1</v>
      </c>
      <c r="Y9" s="29">
        <v>1</v>
      </c>
      <c r="Z9" s="1">
        <v>2.0865051432908035</v>
      </c>
      <c r="AA9" s="139" t="s">
        <v>75</v>
      </c>
      <c r="AB9" s="165">
        <v>1</v>
      </c>
      <c r="AC9" s="29">
        <v>1</v>
      </c>
      <c r="AD9" s="1">
        <v>2.0865051432908035</v>
      </c>
      <c r="AE9" s="31" t="s">
        <v>75</v>
      </c>
    </row>
    <row r="10" spans="1:31" ht="12.75">
      <c r="A10" s="156">
        <v>1489</v>
      </c>
      <c r="B10" s="163" t="s">
        <v>525</v>
      </c>
      <c r="C10" s="151" t="s">
        <v>525</v>
      </c>
      <c r="D10" s="152" t="s">
        <v>526</v>
      </c>
      <c r="E10" s="153" t="s">
        <v>402</v>
      </c>
      <c r="F10" s="144" t="s">
        <v>52</v>
      </c>
      <c r="G10" s="125" t="s">
        <v>521</v>
      </c>
      <c r="H10" s="164" t="s">
        <v>402</v>
      </c>
      <c r="I10" s="123" t="s">
        <v>402</v>
      </c>
      <c r="J10" s="124">
        <v>1</v>
      </c>
      <c r="K10" s="125" t="s">
        <v>396</v>
      </c>
      <c r="L10" s="165">
        <v>0</v>
      </c>
      <c r="M10" s="29">
        <v>1</v>
      </c>
      <c r="N10" s="1">
        <v>1.2284225230179247</v>
      </c>
      <c r="O10" s="139" t="s">
        <v>76</v>
      </c>
      <c r="P10" s="165">
        <v>20.408163265306122</v>
      </c>
      <c r="Q10" s="29">
        <v>1</v>
      </c>
      <c r="R10" s="1">
        <v>1.2284225230179247</v>
      </c>
      <c r="S10" s="139" t="s">
        <v>76</v>
      </c>
      <c r="T10" s="165">
        <v>0</v>
      </c>
      <c r="U10" s="29">
        <v>1</v>
      </c>
      <c r="V10" s="1">
        <v>1.2284225230179247</v>
      </c>
      <c r="W10" s="139" t="s">
        <v>76</v>
      </c>
      <c r="X10" s="165">
        <v>0</v>
      </c>
      <c r="Y10" s="29">
        <v>1</v>
      </c>
      <c r="Z10" s="1">
        <v>1.2284225230179247</v>
      </c>
      <c r="AA10" s="139" t="s">
        <v>76</v>
      </c>
      <c r="AB10" s="165">
        <v>0</v>
      </c>
      <c r="AC10" s="29">
        <v>1</v>
      </c>
      <c r="AD10" s="1">
        <v>1.2284225230179247</v>
      </c>
      <c r="AE10" s="31" t="s">
        <v>76</v>
      </c>
    </row>
    <row r="11" spans="1:31" ht="12.75">
      <c r="A11" s="156">
        <v>1490</v>
      </c>
      <c r="B11" s="163" t="s">
        <v>525</v>
      </c>
      <c r="C11" s="151" t="s">
        <v>525</v>
      </c>
      <c r="D11" s="152" t="s">
        <v>526</v>
      </c>
      <c r="E11" s="153" t="s">
        <v>402</v>
      </c>
      <c r="F11" s="144" t="s">
        <v>53</v>
      </c>
      <c r="G11" s="125" t="s">
        <v>521</v>
      </c>
      <c r="H11" s="164" t="s">
        <v>402</v>
      </c>
      <c r="I11" s="123" t="s">
        <v>402</v>
      </c>
      <c r="J11" s="124">
        <v>1</v>
      </c>
      <c r="K11" s="125" t="s">
        <v>396</v>
      </c>
      <c r="L11" s="165">
        <v>20.408163265306122</v>
      </c>
      <c r="M11" s="29">
        <v>1</v>
      </c>
      <c r="N11" s="1">
        <v>1.2284225230179247</v>
      </c>
      <c r="O11" s="139" t="s">
        <v>76</v>
      </c>
      <c r="P11" s="165">
        <v>0</v>
      </c>
      <c r="Q11" s="29">
        <v>1</v>
      </c>
      <c r="R11" s="1">
        <v>1.2284225230179247</v>
      </c>
      <c r="S11" s="139" t="s">
        <v>76</v>
      </c>
      <c r="T11" s="165">
        <v>0</v>
      </c>
      <c r="U11" s="29">
        <v>1</v>
      </c>
      <c r="V11" s="1">
        <v>1.2284225230179247</v>
      </c>
      <c r="W11" s="139" t="s">
        <v>76</v>
      </c>
      <c r="X11" s="165">
        <v>0</v>
      </c>
      <c r="Y11" s="29">
        <v>1</v>
      </c>
      <c r="Z11" s="1">
        <v>1.2284225230179247</v>
      </c>
      <c r="AA11" s="139" t="s">
        <v>76</v>
      </c>
      <c r="AB11" s="165">
        <v>0</v>
      </c>
      <c r="AC11" s="29">
        <v>1</v>
      </c>
      <c r="AD11" s="1">
        <v>1.2284225230179247</v>
      </c>
      <c r="AE11" s="31" t="s">
        <v>76</v>
      </c>
    </row>
    <row r="12" spans="1:31" ht="12.75">
      <c r="A12" s="156">
        <v>1491</v>
      </c>
      <c r="B12" s="163" t="s">
        <v>525</v>
      </c>
      <c r="C12" s="151" t="s">
        <v>525</v>
      </c>
      <c r="D12" s="152" t="s">
        <v>526</v>
      </c>
      <c r="E12" s="153" t="s">
        <v>402</v>
      </c>
      <c r="F12" s="144" t="s">
        <v>663</v>
      </c>
      <c r="G12" s="125" t="s">
        <v>521</v>
      </c>
      <c r="H12" s="164" t="s">
        <v>402</v>
      </c>
      <c r="I12" s="123" t="s">
        <v>402</v>
      </c>
      <c r="J12" s="124">
        <v>1</v>
      </c>
      <c r="K12" s="125" t="s">
        <v>396</v>
      </c>
      <c r="L12" s="165">
        <v>0</v>
      </c>
      <c r="M12" s="29">
        <v>1</v>
      </c>
      <c r="N12" s="1">
        <v>1.2284225230179247</v>
      </c>
      <c r="O12" s="139" t="s">
        <v>76</v>
      </c>
      <c r="P12" s="165">
        <v>0</v>
      </c>
      <c r="Q12" s="29">
        <v>1</v>
      </c>
      <c r="R12" s="1">
        <v>1.2284225230179247</v>
      </c>
      <c r="S12" s="139" t="s">
        <v>76</v>
      </c>
      <c r="T12" s="165">
        <v>20.408163265306122</v>
      </c>
      <c r="U12" s="29">
        <v>1</v>
      </c>
      <c r="V12" s="1">
        <v>1.2284225230179247</v>
      </c>
      <c r="W12" s="139" t="s">
        <v>76</v>
      </c>
      <c r="X12" s="165">
        <v>0</v>
      </c>
      <c r="Y12" s="29">
        <v>1</v>
      </c>
      <c r="Z12" s="1">
        <v>1.2284225230179247</v>
      </c>
      <c r="AA12" s="139" t="s">
        <v>76</v>
      </c>
      <c r="AB12" s="165">
        <v>0</v>
      </c>
      <c r="AC12" s="29">
        <v>1</v>
      </c>
      <c r="AD12" s="1">
        <v>1.2284225230179247</v>
      </c>
      <c r="AE12" s="31" t="s">
        <v>76</v>
      </c>
    </row>
    <row r="13" spans="1:31" ht="12.75">
      <c r="A13" s="156">
        <v>1645</v>
      </c>
      <c r="B13" s="163" t="s">
        <v>525</v>
      </c>
      <c r="C13" s="151" t="s">
        <v>525</v>
      </c>
      <c r="D13" s="152" t="s">
        <v>526</v>
      </c>
      <c r="E13" s="153" t="s">
        <v>402</v>
      </c>
      <c r="F13" s="144" t="s">
        <v>664</v>
      </c>
      <c r="G13" s="125" t="s">
        <v>521</v>
      </c>
      <c r="H13" s="164" t="s">
        <v>402</v>
      </c>
      <c r="I13" s="123" t="s">
        <v>402</v>
      </c>
      <c r="J13" s="124">
        <v>1</v>
      </c>
      <c r="K13" s="125" t="s">
        <v>396</v>
      </c>
      <c r="L13" s="165">
        <v>0</v>
      </c>
      <c r="M13" s="29">
        <v>1</v>
      </c>
      <c r="N13" s="1">
        <v>1.2284225230179247</v>
      </c>
      <c r="O13" s="139" t="s">
        <v>76</v>
      </c>
      <c r="P13" s="165">
        <v>0</v>
      </c>
      <c r="Q13" s="29">
        <v>1</v>
      </c>
      <c r="R13" s="1">
        <v>1.2284225230179247</v>
      </c>
      <c r="S13" s="139" t="s">
        <v>76</v>
      </c>
      <c r="T13" s="165">
        <v>0</v>
      </c>
      <c r="U13" s="29">
        <v>1</v>
      </c>
      <c r="V13" s="1">
        <v>1.2284225230179247</v>
      </c>
      <c r="W13" s="139" t="s">
        <v>76</v>
      </c>
      <c r="X13" s="165">
        <v>0</v>
      </c>
      <c r="Y13" s="29">
        <v>1</v>
      </c>
      <c r="Z13" s="1">
        <v>1.2284225230179247</v>
      </c>
      <c r="AA13" s="139" t="s">
        <v>76</v>
      </c>
      <c r="AB13" s="165">
        <v>20.408163265306122</v>
      </c>
      <c r="AC13" s="29">
        <v>1</v>
      </c>
      <c r="AD13" s="1">
        <v>1.2284225230179247</v>
      </c>
      <c r="AE13" s="31" t="s">
        <v>76</v>
      </c>
    </row>
    <row r="14" spans="1:31" ht="12.75">
      <c r="A14" s="156">
        <v>1646</v>
      </c>
      <c r="B14" s="163" t="s">
        <v>525</v>
      </c>
      <c r="C14" s="151" t="s">
        <v>525</v>
      </c>
      <c r="D14" s="152" t="s">
        <v>526</v>
      </c>
      <c r="E14" s="153" t="s">
        <v>402</v>
      </c>
      <c r="F14" s="144" t="s">
        <v>665</v>
      </c>
      <c r="G14" s="125" t="s">
        <v>521</v>
      </c>
      <c r="H14" s="164" t="s">
        <v>402</v>
      </c>
      <c r="I14" s="123" t="s">
        <v>402</v>
      </c>
      <c r="J14" s="124">
        <v>1</v>
      </c>
      <c r="K14" s="125" t="s">
        <v>396</v>
      </c>
      <c r="L14" s="165">
        <v>0</v>
      </c>
      <c r="M14" s="29">
        <v>1</v>
      </c>
      <c r="N14" s="1">
        <v>1.2284225230179247</v>
      </c>
      <c r="O14" s="139" t="s">
        <v>76</v>
      </c>
      <c r="P14" s="165">
        <v>0</v>
      </c>
      <c r="Q14" s="29">
        <v>1</v>
      </c>
      <c r="R14" s="1">
        <v>1.2284225230179247</v>
      </c>
      <c r="S14" s="139" t="s">
        <v>76</v>
      </c>
      <c r="T14" s="165">
        <v>0</v>
      </c>
      <c r="U14" s="29">
        <v>1</v>
      </c>
      <c r="V14" s="1">
        <v>1.2284225230179247</v>
      </c>
      <c r="W14" s="139" t="s">
        <v>76</v>
      </c>
      <c r="X14" s="165">
        <v>20.408163265306122</v>
      </c>
      <c r="Y14" s="29">
        <v>1</v>
      </c>
      <c r="Z14" s="1">
        <v>1.2284225230179247</v>
      </c>
      <c r="AA14" s="139" t="s">
        <v>76</v>
      </c>
      <c r="AB14" s="165">
        <v>0</v>
      </c>
      <c r="AC14" s="29">
        <v>1</v>
      </c>
      <c r="AD14" s="1">
        <v>1.2284225230179247</v>
      </c>
      <c r="AE14" s="31" t="s">
        <v>76</v>
      </c>
    </row>
    <row r="15" spans="1:31" ht="24">
      <c r="A15" s="640" t="s">
        <v>1059</v>
      </c>
      <c r="B15" s="163" t="s">
        <v>525</v>
      </c>
      <c r="C15" s="151" t="s">
        <v>525</v>
      </c>
      <c r="D15" s="152" t="s">
        <v>526</v>
      </c>
      <c r="E15" s="153" t="s">
        <v>402</v>
      </c>
      <c r="F15" s="144" t="s">
        <v>1326</v>
      </c>
      <c r="G15" s="125" t="s">
        <v>465</v>
      </c>
      <c r="H15" s="164" t="s">
        <v>402</v>
      </c>
      <c r="I15" s="123" t="s">
        <v>402</v>
      </c>
      <c r="J15" s="124">
        <v>1</v>
      </c>
      <c r="K15" s="125" t="s">
        <v>396</v>
      </c>
      <c r="L15" s="165">
        <v>21.020408163265305</v>
      </c>
      <c r="M15" s="29">
        <v>1</v>
      </c>
      <c r="N15" s="1">
        <v>1.3582005896413567</v>
      </c>
      <c r="O15" s="139" t="s">
        <v>78</v>
      </c>
      <c r="P15" s="165">
        <v>0</v>
      </c>
      <c r="Q15" s="29">
        <v>1</v>
      </c>
      <c r="R15" s="1">
        <v>1.3582005896413567</v>
      </c>
      <c r="S15" s="139" t="s">
        <v>78</v>
      </c>
      <c r="T15" s="165">
        <v>0</v>
      </c>
      <c r="U15" s="29">
        <v>1</v>
      </c>
      <c r="V15" s="1">
        <v>1.3582005896413567</v>
      </c>
      <c r="W15" s="139" t="s">
        <v>78</v>
      </c>
      <c r="X15" s="165">
        <v>21.020408163265305</v>
      </c>
      <c r="Y15" s="29">
        <v>1</v>
      </c>
      <c r="Z15" s="1">
        <v>1.3582005896413567</v>
      </c>
      <c r="AA15" s="139" t="s">
        <v>78</v>
      </c>
      <c r="AB15" s="165">
        <v>0</v>
      </c>
      <c r="AC15" s="29">
        <v>1</v>
      </c>
      <c r="AD15" s="1">
        <v>1.3582005896413567</v>
      </c>
      <c r="AE15" s="31" t="s">
        <v>78</v>
      </c>
    </row>
    <row r="16" spans="1:31" ht="24">
      <c r="A16" s="640" t="s">
        <v>1061</v>
      </c>
      <c r="B16" s="163" t="s">
        <v>525</v>
      </c>
      <c r="C16" s="151" t="s">
        <v>525</v>
      </c>
      <c r="D16" s="152" t="s">
        <v>526</v>
      </c>
      <c r="E16" s="153" t="s">
        <v>402</v>
      </c>
      <c r="F16" s="144" t="s">
        <v>1328</v>
      </c>
      <c r="G16" s="125" t="s">
        <v>465</v>
      </c>
      <c r="H16" s="164" t="s">
        <v>402</v>
      </c>
      <c r="I16" s="123" t="s">
        <v>402</v>
      </c>
      <c r="J16" s="124">
        <v>1</v>
      </c>
      <c r="K16" s="125" t="s">
        <v>396</v>
      </c>
      <c r="L16" s="165">
        <v>0</v>
      </c>
      <c r="M16" s="29">
        <v>1</v>
      </c>
      <c r="N16" s="1">
        <v>1.3582005896413567</v>
      </c>
      <c r="O16" s="139" t="s">
        <v>78</v>
      </c>
      <c r="P16" s="165">
        <v>21.020408163265305</v>
      </c>
      <c r="Q16" s="29">
        <v>1</v>
      </c>
      <c r="R16" s="1">
        <v>1.3582005896413567</v>
      </c>
      <c r="S16" s="139" t="s">
        <v>78</v>
      </c>
      <c r="T16" s="165">
        <v>21.020408163265305</v>
      </c>
      <c r="U16" s="29">
        <v>1</v>
      </c>
      <c r="V16" s="1">
        <v>1.3582005896413567</v>
      </c>
      <c r="W16" s="139" t="s">
        <v>78</v>
      </c>
      <c r="X16" s="165">
        <v>0</v>
      </c>
      <c r="Y16" s="29">
        <v>1</v>
      </c>
      <c r="Z16" s="1">
        <v>1.3582005896413567</v>
      </c>
      <c r="AA16" s="139" t="s">
        <v>78</v>
      </c>
      <c r="AB16" s="165">
        <v>21.020408163265305</v>
      </c>
      <c r="AC16" s="29">
        <v>1</v>
      </c>
      <c r="AD16" s="1">
        <v>1.3582005896413567</v>
      </c>
      <c r="AE16" s="31" t="s">
        <v>78</v>
      </c>
    </row>
    <row r="17" spans="1:31" ht="12.75">
      <c r="A17" s="157">
        <v>1802</v>
      </c>
      <c r="B17" s="163" t="s">
        <v>525</v>
      </c>
      <c r="C17" s="151" t="s">
        <v>525</v>
      </c>
      <c r="D17" s="152" t="s">
        <v>526</v>
      </c>
      <c r="E17" s="153" t="s">
        <v>402</v>
      </c>
      <c r="F17" s="144" t="s">
        <v>80</v>
      </c>
      <c r="G17" s="125" t="s">
        <v>393</v>
      </c>
      <c r="H17" s="164" t="s">
        <v>402</v>
      </c>
      <c r="I17" s="123" t="s">
        <v>402</v>
      </c>
      <c r="J17" s="124">
        <v>0</v>
      </c>
      <c r="K17" s="125" t="s">
        <v>81</v>
      </c>
      <c r="L17" s="165">
        <v>0</v>
      </c>
      <c r="M17" s="29">
        <v>1</v>
      </c>
      <c r="N17" s="1">
        <v>2.0865051432908035</v>
      </c>
      <c r="O17" s="139" t="s">
        <v>82</v>
      </c>
      <c r="P17" s="165">
        <v>0</v>
      </c>
      <c r="Q17" s="29">
        <v>1</v>
      </c>
      <c r="R17" s="1">
        <v>2.0865051432908035</v>
      </c>
      <c r="S17" s="139" t="s">
        <v>82</v>
      </c>
      <c r="T17" s="165">
        <v>80</v>
      </c>
      <c r="U17" s="29">
        <v>1</v>
      </c>
      <c r="V17" s="1">
        <v>2.0865051432908035</v>
      </c>
      <c r="W17" s="139" t="s">
        <v>82</v>
      </c>
      <c r="X17" s="165">
        <v>0</v>
      </c>
      <c r="Y17" s="29">
        <v>1</v>
      </c>
      <c r="Z17" s="1">
        <v>2.0865051432908035</v>
      </c>
      <c r="AA17" s="139" t="s">
        <v>82</v>
      </c>
      <c r="AB17" s="165">
        <v>0</v>
      </c>
      <c r="AC17" s="29">
        <v>1</v>
      </c>
      <c r="AD17" s="1">
        <v>2.0865051432908035</v>
      </c>
      <c r="AE17" s="31" t="s">
        <v>82</v>
      </c>
    </row>
    <row r="18" spans="1:31" ht="24">
      <c r="A18" s="157">
        <v>2988</v>
      </c>
      <c r="B18" s="163" t="s">
        <v>525</v>
      </c>
      <c r="C18" s="151" t="s">
        <v>525</v>
      </c>
      <c r="D18" s="152" t="s">
        <v>526</v>
      </c>
      <c r="E18" s="153" t="s">
        <v>402</v>
      </c>
      <c r="F18" s="144" t="s">
        <v>63</v>
      </c>
      <c r="G18" s="125" t="s">
        <v>393</v>
      </c>
      <c r="H18" s="164" t="s">
        <v>402</v>
      </c>
      <c r="I18" s="123" t="s">
        <v>402</v>
      </c>
      <c r="J18" s="124">
        <v>0</v>
      </c>
      <c r="K18" s="125" t="s">
        <v>397</v>
      </c>
      <c r="L18" s="165">
        <v>48.884752176699742</v>
      </c>
      <c r="M18" s="29">
        <v>1</v>
      </c>
      <c r="N18" s="1">
        <v>2.0865051432908035</v>
      </c>
      <c r="O18" s="139" t="s">
        <v>83</v>
      </c>
      <c r="P18" s="165">
        <v>53.35158891139362</v>
      </c>
      <c r="Q18" s="29">
        <v>1</v>
      </c>
      <c r="R18" s="1">
        <v>2.0865051432908035</v>
      </c>
      <c r="S18" s="139" t="s">
        <v>83</v>
      </c>
      <c r="T18" s="165">
        <v>53.35158891139362</v>
      </c>
      <c r="U18" s="29">
        <v>1</v>
      </c>
      <c r="V18" s="1">
        <v>2.0865051432908035</v>
      </c>
      <c r="W18" s="139" t="s">
        <v>83</v>
      </c>
      <c r="X18" s="165">
        <v>48.884752176699742</v>
      </c>
      <c r="Y18" s="29">
        <v>1</v>
      </c>
      <c r="Z18" s="1">
        <v>2.0865051432908035</v>
      </c>
      <c r="AA18" s="139" t="s">
        <v>83</v>
      </c>
      <c r="AB18" s="165">
        <v>53.35158891139362</v>
      </c>
      <c r="AC18" s="29">
        <v>1</v>
      </c>
      <c r="AD18" s="1">
        <v>2.0865051432908035</v>
      </c>
      <c r="AE18" s="31" t="s">
        <v>83</v>
      </c>
    </row>
    <row r="19" spans="1:31" ht="24">
      <c r="A19" s="2">
        <v>2987</v>
      </c>
      <c r="B19" s="163" t="s">
        <v>525</v>
      </c>
      <c r="C19" s="151" t="s">
        <v>525</v>
      </c>
      <c r="D19" s="152" t="s">
        <v>526</v>
      </c>
      <c r="E19" s="153" t="s">
        <v>402</v>
      </c>
      <c r="F19" s="144" t="s">
        <v>59</v>
      </c>
      <c r="G19" s="125" t="s">
        <v>521</v>
      </c>
      <c r="H19" s="164" t="s">
        <v>402</v>
      </c>
      <c r="I19" s="123" t="s">
        <v>402</v>
      </c>
      <c r="J19" s="124">
        <v>0</v>
      </c>
      <c r="K19" s="125" t="s">
        <v>397</v>
      </c>
      <c r="L19" s="165">
        <v>205.91776088349869</v>
      </c>
      <c r="M19" s="29">
        <v>1</v>
      </c>
      <c r="N19" s="1">
        <v>2.0865051432908035</v>
      </c>
      <c r="O19" s="139" t="s">
        <v>84</v>
      </c>
      <c r="P19" s="165">
        <v>228.25194455696808</v>
      </c>
      <c r="Q19" s="29">
        <v>1</v>
      </c>
      <c r="R19" s="1">
        <v>2.0865051432908035</v>
      </c>
      <c r="S19" s="139" t="s">
        <v>84</v>
      </c>
      <c r="T19" s="165">
        <v>228.25194455696808</v>
      </c>
      <c r="U19" s="29">
        <v>1</v>
      </c>
      <c r="V19" s="1">
        <v>2.0865051432908035</v>
      </c>
      <c r="W19" s="139" t="s">
        <v>84</v>
      </c>
      <c r="X19" s="165">
        <v>205.91776088349869</v>
      </c>
      <c r="Y19" s="29">
        <v>1</v>
      </c>
      <c r="Z19" s="1">
        <v>2.0865051432908035</v>
      </c>
      <c r="AA19" s="139" t="s">
        <v>84</v>
      </c>
      <c r="AB19" s="165">
        <v>228.25194455696808</v>
      </c>
      <c r="AC19" s="29">
        <v>1</v>
      </c>
      <c r="AD19" s="1">
        <v>2.0865051432908035</v>
      </c>
      <c r="AE19" s="31" t="s">
        <v>84</v>
      </c>
    </row>
    <row r="20" spans="1:31" ht="12.75">
      <c r="A20" s="156">
        <v>1824</v>
      </c>
      <c r="B20" s="163" t="s">
        <v>525</v>
      </c>
      <c r="C20" s="151" t="s">
        <v>525</v>
      </c>
      <c r="D20" s="152" t="s">
        <v>526</v>
      </c>
      <c r="E20" s="153" t="s">
        <v>402</v>
      </c>
      <c r="F20" s="144" t="s">
        <v>85</v>
      </c>
      <c r="G20" s="125" t="s">
        <v>86</v>
      </c>
      <c r="H20" s="164" t="s">
        <v>402</v>
      </c>
      <c r="I20" s="123" t="s">
        <v>402</v>
      </c>
      <c r="J20" s="124">
        <v>0</v>
      </c>
      <c r="K20" s="125" t="s">
        <v>397</v>
      </c>
      <c r="L20" s="165">
        <v>0</v>
      </c>
      <c r="M20" s="29">
        <v>1</v>
      </c>
      <c r="N20" s="1">
        <v>2.0865051432908035</v>
      </c>
      <c r="O20" s="139" t="s">
        <v>1672</v>
      </c>
      <c r="P20" s="165">
        <v>0</v>
      </c>
      <c r="Q20" s="29">
        <v>1</v>
      </c>
      <c r="R20" s="1">
        <v>2.0865051432908035</v>
      </c>
      <c r="S20" s="139" t="s">
        <v>1672</v>
      </c>
      <c r="T20" s="165">
        <v>0</v>
      </c>
      <c r="U20" s="29">
        <v>1</v>
      </c>
      <c r="V20" s="1">
        <v>2.0865051432908035</v>
      </c>
      <c r="W20" s="139" t="s">
        <v>1672</v>
      </c>
      <c r="X20" s="165">
        <v>0</v>
      </c>
      <c r="Y20" s="29">
        <v>1</v>
      </c>
      <c r="Z20" s="1">
        <v>2.0865051432908035</v>
      </c>
      <c r="AA20" s="139" t="s">
        <v>1672</v>
      </c>
      <c r="AB20" s="165">
        <v>0</v>
      </c>
      <c r="AC20" s="29">
        <v>1</v>
      </c>
      <c r="AD20" s="1">
        <v>2.0865051432908035</v>
      </c>
      <c r="AE20" s="31" t="s">
        <v>1672</v>
      </c>
    </row>
    <row r="21" spans="1:31" ht="12.75">
      <c r="A21" s="214">
        <v>490</v>
      </c>
      <c r="B21" s="296" t="s">
        <v>692</v>
      </c>
      <c r="C21" s="169" t="s">
        <v>525</v>
      </c>
      <c r="D21" s="11" t="s">
        <v>402</v>
      </c>
      <c r="E21" s="170" t="s">
        <v>527</v>
      </c>
      <c r="F21" s="144" t="s">
        <v>324</v>
      </c>
      <c r="G21" s="125" t="s">
        <v>402</v>
      </c>
      <c r="H21" s="164" t="s">
        <v>325</v>
      </c>
      <c r="I21" s="123" t="s">
        <v>685</v>
      </c>
      <c r="J21" s="124" t="s">
        <v>402</v>
      </c>
      <c r="K21" s="125" t="s">
        <v>677</v>
      </c>
      <c r="L21" s="165">
        <v>0.14400000000000002</v>
      </c>
      <c r="M21" s="29">
        <v>1</v>
      </c>
      <c r="N21" s="1">
        <v>1.2849840792941758</v>
      </c>
      <c r="O21" s="139" t="s">
        <v>88</v>
      </c>
      <c r="P21" s="165">
        <v>0.14400000000000002</v>
      </c>
      <c r="Q21" s="29">
        <v>1</v>
      </c>
      <c r="R21" s="1">
        <v>1.2849840792941758</v>
      </c>
      <c r="S21" s="139" t="s">
        <v>88</v>
      </c>
      <c r="T21" s="165">
        <v>3.6720000000000002</v>
      </c>
      <c r="U21" s="29">
        <v>1</v>
      </c>
      <c r="V21" s="1">
        <v>1.2849840792941758</v>
      </c>
      <c r="W21" s="139" t="s">
        <v>88</v>
      </c>
      <c r="X21" s="165">
        <v>0.82800000000000007</v>
      </c>
      <c r="Y21" s="29">
        <v>1</v>
      </c>
      <c r="Z21" s="1">
        <v>1.2849840792941758</v>
      </c>
      <c r="AA21" s="139" t="s">
        <v>88</v>
      </c>
      <c r="AB21" s="165">
        <v>0.82800000000000007</v>
      </c>
      <c r="AC21" s="29">
        <v>1</v>
      </c>
      <c r="AD21" s="1">
        <v>1.2849840792941758</v>
      </c>
      <c r="AE21" s="31" t="s">
        <v>88</v>
      </c>
    </row>
    <row r="22" spans="1:31" ht="24">
      <c r="A22" s="6" t="s">
        <v>1035</v>
      </c>
      <c r="B22" s="168" t="s">
        <v>523</v>
      </c>
      <c r="C22" s="169"/>
      <c r="D22" s="11" t="s">
        <v>402</v>
      </c>
      <c r="E22" s="170">
        <v>0</v>
      </c>
      <c r="F22" s="145" t="s">
        <v>123</v>
      </c>
      <c r="G22" s="16" t="s">
        <v>465</v>
      </c>
      <c r="H22" s="14" t="s">
        <v>402</v>
      </c>
      <c r="I22" s="14" t="s">
        <v>402</v>
      </c>
      <c r="J22" s="15">
        <v>1</v>
      </c>
      <c r="K22" s="16" t="s">
        <v>522</v>
      </c>
      <c r="L22" s="149">
        <v>1</v>
      </c>
      <c r="M22" s="40"/>
      <c r="N22" s="89"/>
      <c r="O22" s="202"/>
      <c r="P22" s="149">
        <v>0</v>
      </c>
      <c r="Q22" s="40"/>
      <c r="R22" s="89"/>
      <c r="S22" s="202"/>
      <c r="T22" s="149">
        <v>0</v>
      </c>
      <c r="U22" s="40"/>
      <c r="V22" s="89"/>
      <c r="W22" s="202"/>
      <c r="X22" s="149">
        <v>0</v>
      </c>
      <c r="Y22" s="40"/>
      <c r="Z22" s="89"/>
      <c r="AA22" s="202"/>
      <c r="AB22" s="149">
        <v>0</v>
      </c>
      <c r="AC22" s="40"/>
      <c r="AD22" s="89"/>
      <c r="AE22" s="193"/>
    </row>
    <row r="23" spans="1:31" ht="24">
      <c r="A23" s="6" t="s">
        <v>1036</v>
      </c>
      <c r="B23" s="168"/>
      <c r="C23" s="169"/>
      <c r="D23" s="11" t="s">
        <v>402</v>
      </c>
      <c r="E23" s="170">
        <v>0</v>
      </c>
      <c r="F23" s="145" t="s">
        <v>124</v>
      </c>
      <c r="G23" s="16" t="s">
        <v>465</v>
      </c>
      <c r="H23" s="14" t="s">
        <v>402</v>
      </c>
      <c r="I23" s="14" t="s">
        <v>402</v>
      </c>
      <c r="J23" s="15">
        <v>1</v>
      </c>
      <c r="K23" s="16" t="s">
        <v>522</v>
      </c>
      <c r="L23" s="149">
        <v>0</v>
      </c>
      <c r="M23" s="40"/>
      <c r="N23" s="89"/>
      <c r="O23" s="202"/>
      <c r="P23" s="149">
        <v>1</v>
      </c>
      <c r="Q23" s="40"/>
      <c r="R23" s="89"/>
      <c r="S23" s="202"/>
      <c r="T23" s="149">
        <v>0</v>
      </c>
      <c r="U23" s="40"/>
      <c r="V23" s="89"/>
      <c r="W23" s="202"/>
      <c r="X23" s="149">
        <v>0</v>
      </c>
      <c r="Y23" s="40"/>
      <c r="Z23" s="89"/>
      <c r="AA23" s="202"/>
      <c r="AB23" s="149">
        <v>0</v>
      </c>
      <c r="AC23" s="40"/>
      <c r="AD23" s="89"/>
      <c r="AE23" s="193"/>
    </row>
    <row r="24" spans="1:31">
      <c r="A24" s="6" t="s">
        <v>1037</v>
      </c>
      <c r="B24" s="168"/>
      <c r="C24" s="169"/>
      <c r="D24" s="11" t="s">
        <v>402</v>
      </c>
      <c r="E24" s="170">
        <v>0</v>
      </c>
      <c r="F24" s="145" t="s">
        <v>126</v>
      </c>
      <c r="G24" s="16" t="s">
        <v>465</v>
      </c>
      <c r="H24" s="14" t="s">
        <v>402</v>
      </c>
      <c r="I24" s="14" t="s">
        <v>402</v>
      </c>
      <c r="J24" s="15">
        <v>1</v>
      </c>
      <c r="K24" s="16" t="s">
        <v>522</v>
      </c>
      <c r="L24" s="149">
        <v>0</v>
      </c>
      <c r="M24" s="40"/>
      <c r="N24" s="89"/>
      <c r="O24" s="202"/>
      <c r="P24" s="149">
        <v>0</v>
      </c>
      <c r="Q24" s="40"/>
      <c r="R24" s="89"/>
      <c r="S24" s="202"/>
      <c r="T24" s="149">
        <v>1</v>
      </c>
      <c r="U24" s="40"/>
      <c r="V24" s="89"/>
      <c r="W24" s="202"/>
      <c r="X24" s="149">
        <v>0</v>
      </c>
      <c r="Y24" s="40"/>
      <c r="Z24" s="89"/>
      <c r="AA24" s="202"/>
      <c r="AB24" s="149">
        <v>0</v>
      </c>
      <c r="AC24" s="40"/>
      <c r="AD24" s="89"/>
      <c r="AE24" s="193"/>
    </row>
    <row r="25" spans="1:31" ht="24">
      <c r="A25" s="6" t="s">
        <v>1038</v>
      </c>
      <c r="B25" s="168"/>
      <c r="C25" s="169"/>
      <c r="D25" s="11" t="s">
        <v>402</v>
      </c>
      <c r="E25" s="170">
        <v>0</v>
      </c>
      <c r="F25" s="145" t="s">
        <v>129</v>
      </c>
      <c r="G25" s="16" t="s">
        <v>465</v>
      </c>
      <c r="H25" s="14" t="s">
        <v>402</v>
      </c>
      <c r="I25" s="14" t="s">
        <v>402</v>
      </c>
      <c r="J25" s="15">
        <v>1</v>
      </c>
      <c r="K25" s="16" t="s">
        <v>522</v>
      </c>
      <c r="L25" s="149">
        <v>0</v>
      </c>
      <c r="M25" s="40"/>
      <c r="N25" s="89"/>
      <c r="O25" s="202"/>
      <c r="P25" s="149">
        <v>0</v>
      </c>
      <c r="Q25" s="40"/>
      <c r="R25" s="89"/>
      <c r="S25" s="202"/>
      <c r="T25" s="149">
        <v>0</v>
      </c>
      <c r="U25" s="40"/>
      <c r="V25" s="89"/>
      <c r="W25" s="202"/>
      <c r="X25" s="149">
        <v>1</v>
      </c>
      <c r="Y25" s="40"/>
      <c r="Z25" s="89"/>
      <c r="AA25" s="202"/>
      <c r="AB25" s="149">
        <v>0</v>
      </c>
      <c r="AC25" s="40"/>
      <c r="AD25" s="89"/>
      <c r="AE25" s="193"/>
    </row>
    <row r="26" spans="1:31" ht="24">
      <c r="A26" s="5" t="s">
        <v>1039</v>
      </c>
      <c r="B26" s="168"/>
      <c r="C26" s="169"/>
      <c r="D26" s="11" t="s">
        <v>402</v>
      </c>
      <c r="E26" s="170">
        <v>0</v>
      </c>
      <c r="F26" s="145" t="s">
        <v>130</v>
      </c>
      <c r="G26" s="16" t="s">
        <v>465</v>
      </c>
      <c r="H26" s="14" t="s">
        <v>402</v>
      </c>
      <c r="I26" s="14" t="s">
        <v>402</v>
      </c>
      <c r="J26" s="15">
        <v>1</v>
      </c>
      <c r="K26" s="16" t="s">
        <v>522</v>
      </c>
      <c r="L26" s="149">
        <v>0</v>
      </c>
      <c r="M26" s="29"/>
      <c r="N26" s="1"/>
      <c r="O26" s="139"/>
      <c r="P26" s="149">
        <v>0</v>
      </c>
      <c r="Q26" s="29"/>
      <c r="R26" s="1"/>
      <c r="S26" s="139"/>
      <c r="T26" s="149">
        <v>0</v>
      </c>
      <c r="U26" s="29"/>
      <c r="V26" s="1"/>
      <c r="W26" s="139"/>
      <c r="X26" s="149">
        <v>0</v>
      </c>
      <c r="Y26" s="29"/>
      <c r="Z26" s="1"/>
      <c r="AA26" s="139"/>
      <c r="AB26" s="149">
        <v>1</v>
      </c>
      <c r="AC26" s="29"/>
      <c r="AD26" s="1"/>
      <c r="AE26" s="31"/>
    </row>
  </sheetData>
  <pageMargins left="0.78740157499999996" right="0.78740157499999996" top="0.984251969" bottom="0.984251969" header="0.4921259845" footer="0.4921259845"/>
  <pageSetup paperSize="9"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2">
    <pageSetUpPr fitToPage="1"/>
  </sheetPr>
  <dimension ref="A1:AE26"/>
  <sheetViews>
    <sheetView zoomScale="75" workbookViewId="0">
      <selection activeCell="J46" sqref="J46"/>
    </sheetView>
  </sheetViews>
  <sheetFormatPr defaultColWidth="11.42578125" defaultRowHeight="12" outlineLevelCol="1"/>
  <cols>
    <col min="1" max="1" width="8.7109375" style="7" customWidth="1"/>
    <col min="2" max="2" width="11.85546875" style="158" customWidth="1"/>
    <col min="3" max="3" width="3.7109375" style="159" hidden="1" customWidth="1" outlineLevel="1"/>
    <col min="4" max="4" width="3" style="7" hidden="1" customWidth="1" outlineLevel="1"/>
    <col min="5" max="5" width="2.7109375" style="7" hidden="1" customWidth="1" outlineLevel="1"/>
    <col min="6" max="6" width="39.140625" style="8" customWidth="1" collapsed="1"/>
    <col min="7" max="7" width="5" style="7" customWidth="1"/>
    <col min="8" max="8" width="5.7109375" style="7" hidden="1" customWidth="1" outlineLevel="1"/>
    <col min="9" max="9" width="19.42578125" style="7" hidden="1" customWidth="1" outlineLevel="1"/>
    <col min="10" max="10" width="4.140625" style="7" bestFit="1" customWidth="1" collapsed="1"/>
    <col min="11" max="11" width="5.140625" style="7" customWidth="1"/>
    <col min="12" max="12" width="11.28515625" style="7" customWidth="1"/>
    <col min="13" max="13" width="2" style="141" hidden="1" customWidth="1" outlineLevel="1"/>
    <col min="14" max="14" width="4.28515625" style="140" hidden="1" customWidth="1" outlineLevel="1"/>
    <col min="15" max="15" width="37.85546875" style="140" hidden="1" customWidth="1" outlineLevel="1"/>
    <col min="16" max="16" width="11.28515625" style="7" customWidth="1" collapsed="1"/>
    <col min="17" max="17" width="2" style="141" hidden="1" customWidth="1" outlineLevel="1"/>
    <col min="18" max="18" width="4.28515625" style="140" hidden="1" customWidth="1" outlineLevel="1"/>
    <col min="19" max="19" width="37.85546875" style="140" hidden="1" customWidth="1" outlineLevel="1"/>
    <col min="20" max="20" width="11.28515625" style="7" customWidth="1" collapsed="1"/>
    <col min="21" max="21" width="2" style="141" hidden="1" customWidth="1" outlineLevel="1"/>
    <col min="22" max="22" width="4.28515625" style="140" hidden="1" customWidth="1" outlineLevel="1"/>
    <col min="23" max="23" width="37.85546875" style="140" hidden="1" customWidth="1" outlineLevel="1"/>
    <col min="24" max="24" width="11.28515625" style="7" customWidth="1" collapsed="1"/>
    <col min="25" max="25" width="2" style="141" hidden="1" customWidth="1" outlineLevel="1"/>
    <col min="26" max="26" width="4.28515625" style="140" hidden="1" customWidth="1" outlineLevel="1"/>
    <col min="27" max="27" width="37.85546875" style="140" hidden="1" customWidth="1" outlineLevel="1"/>
    <col min="28" max="28" width="11.28515625" style="7" customWidth="1" collapsed="1"/>
    <col min="29" max="29" width="2" style="118" customWidth="1" outlineLevel="1"/>
    <col min="30" max="30" width="4.28515625" style="32" customWidth="1" outlineLevel="1"/>
    <col min="31" max="31" width="39" style="33" customWidth="1" outlineLevel="1"/>
    <col min="32" max="16384" width="11.42578125" style="7"/>
  </cols>
  <sheetData>
    <row r="1" spans="1:31">
      <c r="A1" s="36"/>
      <c r="B1" s="34"/>
      <c r="C1" s="35"/>
      <c r="D1" s="36"/>
      <c r="E1" s="36"/>
      <c r="F1" s="37" t="s">
        <v>510</v>
      </c>
      <c r="G1" s="36"/>
      <c r="H1" s="36"/>
      <c r="I1" s="36"/>
      <c r="J1" s="36"/>
      <c r="K1" s="36"/>
      <c r="L1" s="189" t="s">
        <v>1040</v>
      </c>
      <c r="M1" s="21"/>
      <c r="N1" s="22"/>
      <c r="O1" s="22"/>
      <c r="P1" s="189" t="s">
        <v>1041</v>
      </c>
      <c r="Q1" s="21"/>
      <c r="R1" s="22"/>
      <c r="S1" s="22"/>
      <c r="T1" s="189" t="s">
        <v>1042</v>
      </c>
      <c r="U1" s="21"/>
      <c r="V1" s="22"/>
      <c r="W1" s="22"/>
      <c r="X1" s="189" t="s">
        <v>1043</v>
      </c>
      <c r="Y1" s="21"/>
      <c r="Z1" s="22"/>
      <c r="AA1" s="22"/>
      <c r="AB1" s="189" t="s">
        <v>1044</v>
      </c>
      <c r="AC1" s="21"/>
      <c r="AD1" s="22"/>
      <c r="AE1" s="22"/>
    </row>
    <row r="2" spans="1:31">
      <c r="A2" s="36"/>
      <c r="B2" s="147"/>
      <c r="C2" s="35" t="s">
        <v>511</v>
      </c>
      <c r="D2" s="147">
        <v>3503</v>
      </c>
      <c r="E2" s="147">
        <v>3504</v>
      </c>
      <c r="F2" s="147">
        <v>3702</v>
      </c>
      <c r="G2" s="147">
        <v>3703</v>
      </c>
      <c r="H2" s="147">
        <v>3506</v>
      </c>
      <c r="I2" s="147">
        <v>3507</v>
      </c>
      <c r="J2" s="147">
        <v>3508</v>
      </c>
      <c r="K2" s="147">
        <v>3706</v>
      </c>
      <c r="L2" s="147">
        <v>3707</v>
      </c>
      <c r="M2" s="133">
        <v>3708</v>
      </c>
      <c r="N2" s="133">
        <v>3709</v>
      </c>
      <c r="O2" s="134">
        <v>3792</v>
      </c>
      <c r="P2" s="147">
        <v>3707</v>
      </c>
      <c r="Q2" s="133">
        <v>3708</v>
      </c>
      <c r="R2" s="133">
        <v>3709</v>
      </c>
      <c r="S2" s="134">
        <v>3792</v>
      </c>
      <c r="T2" s="147">
        <v>3707</v>
      </c>
      <c r="U2" s="133">
        <v>3708</v>
      </c>
      <c r="V2" s="133">
        <v>3709</v>
      </c>
      <c r="W2" s="134">
        <v>3792</v>
      </c>
      <c r="X2" s="147">
        <v>3707</v>
      </c>
      <c r="Y2" s="133">
        <v>3708</v>
      </c>
      <c r="Z2" s="133">
        <v>3709</v>
      </c>
      <c r="AA2" s="134">
        <v>3792</v>
      </c>
      <c r="AB2" s="147">
        <v>3707</v>
      </c>
      <c r="AC2" s="23">
        <v>3708</v>
      </c>
      <c r="AD2" s="23">
        <v>3709</v>
      </c>
      <c r="AE2" s="24">
        <v>3792</v>
      </c>
    </row>
    <row r="3" spans="1:31" ht="107.25" customHeight="1">
      <c r="A3" s="36" t="s">
        <v>398</v>
      </c>
      <c r="B3" s="166"/>
      <c r="C3" s="35">
        <v>401</v>
      </c>
      <c r="D3" s="167" t="s">
        <v>514</v>
      </c>
      <c r="E3" s="167" t="s">
        <v>515</v>
      </c>
      <c r="F3" s="132" t="s">
        <v>516</v>
      </c>
      <c r="G3" s="41" t="s">
        <v>517</v>
      </c>
      <c r="H3" s="41" t="s">
        <v>518</v>
      </c>
      <c r="I3" s="41" t="s">
        <v>519</v>
      </c>
      <c r="J3" s="41" t="s">
        <v>520</v>
      </c>
      <c r="K3" s="41" t="s">
        <v>394</v>
      </c>
      <c r="L3" s="178" t="s">
        <v>123</v>
      </c>
      <c r="M3" s="135" t="s">
        <v>265</v>
      </c>
      <c r="N3" s="135" t="s">
        <v>266</v>
      </c>
      <c r="O3" s="136" t="s">
        <v>548</v>
      </c>
      <c r="P3" s="178" t="s">
        <v>124</v>
      </c>
      <c r="Q3" s="135" t="s">
        <v>265</v>
      </c>
      <c r="R3" s="135" t="s">
        <v>266</v>
      </c>
      <c r="S3" s="136" t="s">
        <v>548</v>
      </c>
      <c r="T3" s="178" t="s">
        <v>126</v>
      </c>
      <c r="U3" s="135" t="s">
        <v>265</v>
      </c>
      <c r="V3" s="135" t="s">
        <v>266</v>
      </c>
      <c r="W3" s="136" t="s">
        <v>548</v>
      </c>
      <c r="X3" s="178" t="s">
        <v>129</v>
      </c>
      <c r="Y3" s="135" t="s">
        <v>265</v>
      </c>
      <c r="Z3" s="135" t="s">
        <v>266</v>
      </c>
      <c r="AA3" s="136" t="s">
        <v>548</v>
      </c>
      <c r="AB3" s="178" t="s">
        <v>130</v>
      </c>
      <c r="AC3" s="25" t="s">
        <v>265</v>
      </c>
      <c r="AD3" s="25" t="s">
        <v>266</v>
      </c>
      <c r="AE3" s="128" t="s">
        <v>548</v>
      </c>
    </row>
    <row r="4" spans="1:31" ht="13.5" customHeight="1">
      <c r="A4" s="36"/>
      <c r="B4" s="166"/>
      <c r="C4" s="35">
        <v>662</v>
      </c>
      <c r="D4" s="9"/>
      <c r="E4" s="9"/>
      <c r="F4" s="132" t="s">
        <v>517</v>
      </c>
      <c r="G4" s="132"/>
      <c r="H4" s="132"/>
      <c r="I4" s="132"/>
      <c r="J4" s="132"/>
      <c r="K4" s="132"/>
      <c r="L4" s="178" t="s">
        <v>956</v>
      </c>
      <c r="M4" s="137">
        <v>0</v>
      </c>
      <c r="N4" s="137">
        <v>0</v>
      </c>
      <c r="O4" s="138">
        <v>0</v>
      </c>
      <c r="P4" s="178" t="s">
        <v>956</v>
      </c>
      <c r="Q4" s="137">
        <v>0</v>
      </c>
      <c r="R4" s="137">
        <v>0</v>
      </c>
      <c r="S4" s="138">
        <v>0</v>
      </c>
      <c r="T4" s="178" t="s">
        <v>956</v>
      </c>
      <c r="U4" s="137">
        <v>0</v>
      </c>
      <c r="V4" s="137">
        <v>0</v>
      </c>
      <c r="W4" s="138">
        <v>0</v>
      </c>
      <c r="X4" s="178" t="s">
        <v>956</v>
      </c>
      <c r="Y4" s="137">
        <v>0</v>
      </c>
      <c r="Z4" s="137">
        <v>0</v>
      </c>
      <c r="AA4" s="138">
        <v>0</v>
      </c>
      <c r="AB4" s="178" t="s">
        <v>956</v>
      </c>
      <c r="AC4" s="129"/>
      <c r="AD4" s="129"/>
      <c r="AE4" s="130"/>
    </row>
    <row r="5" spans="1:31">
      <c r="A5" s="36"/>
      <c r="B5" s="166"/>
      <c r="C5" s="35">
        <v>493</v>
      </c>
      <c r="D5" s="9"/>
      <c r="E5" s="9"/>
      <c r="F5" s="132" t="s">
        <v>520</v>
      </c>
      <c r="G5" s="132"/>
      <c r="H5" s="132"/>
      <c r="I5" s="132"/>
      <c r="J5" s="132"/>
      <c r="K5" s="132"/>
      <c r="L5" s="178">
        <v>1</v>
      </c>
      <c r="M5" s="137">
        <v>0</v>
      </c>
      <c r="N5" s="137">
        <v>0</v>
      </c>
      <c r="O5" s="138">
        <v>0</v>
      </c>
      <c r="P5" s="178">
        <v>1</v>
      </c>
      <c r="Q5" s="137">
        <v>0</v>
      </c>
      <c r="R5" s="137">
        <v>0</v>
      </c>
      <c r="S5" s="138">
        <v>0</v>
      </c>
      <c r="T5" s="178">
        <v>1</v>
      </c>
      <c r="U5" s="137">
        <v>0</v>
      </c>
      <c r="V5" s="137">
        <v>0</v>
      </c>
      <c r="W5" s="138">
        <v>0</v>
      </c>
      <c r="X5" s="178">
        <v>1</v>
      </c>
      <c r="Y5" s="137">
        <v>0</v>
      </c>
      <c r="Z5" s="137">
        <v>0</v>
      </c>
      <c r="AA5" s="138">
        <v>0</v>
      </c>
      <c r="AB5" s="178">
        <v>1</v>
      </c>
      <c r="AC5" s="129"/>
      <c r="AD5" s="129"/>
      <c r="AE5" s="130"/>
    </row>
    <row r="6" spans="1:31">
      <c r="A6" s="36"/>
      <c r="B6" s="166"/>
      <c r="C6" s="35">
        <v>403</v>
      </c>
      <c r="D6" s="9"/>
      <c r="E6" s="9"/>
      <c r="F6" s="132" t="s">
        <v>394</v>
      </c>
      <c r="G6" s="352"/>
      <c r="H6" s="132"/>
      <c r="I6" s="132"/>
      <c r="J6" s="132"/>
      <c r="K6" s="132"/>
      <c r="L6" s="178" t="s">
        <v>522</v>
      </c>
      <c r="M6" s="137">
        <v>0</v>
      </c>
      <c r="N6" s="137">
        <v>0</v>
      </c>
      <c r="O6" s="138">
        <v>0</v>
      </c>
      <c r="P6" s="178" t="s">
        <v>522</v>
      </c>
      <c r="Q6" s="137">
        <v>0</v>
      </c>
      <c r="R6" s="137">
        <v>0</v>
      </c>
      <c r="S6" s="138">
        <v>0</v>
      </c>
      <c r="T6" s="178" t="s">
        <v>522</v>
      </c>
      <c r="U6" s="137">
        <v>0</v>
      </c>
      <c r="V6" s="137">
        <v>0</v>
      </c>
      <c r="W6" s="138">
        <v>0</v>
      </c>
      <c r="X6" s="178" t="s">
        <v>522</v>
      </c>
      <c r="Y6" s="137">
        <v>0</v>
      </c>
      <c r="Z6" s="137">
        <v>0</v>
      </c>
      <c r="AA6" s="138">
        <v>0</v>
      </c>
      <c r="AB6" s="178" t="s">
        <v>522</v>
      </c>
      <c r="AC6" s="129"/>
      <c r="AD6" s="129"/>
      <c r="AE6" s="130"/>
    </row>
    <row r="7" spans="1:31" ht="24">
      <c r="A7" s="2" t="s">
        <v>1052</v>
      </c>
      <c r="B7" s="163" t="s">
        <v>524</v>
      </c>
      <c r="C7" s="151" t="s">
        <v>525</v>
      </c>
      <c r="D7" s="152" t="s">
        <v>526</v>
      </c>
      <c r="E7" s="153" t="s">
        <v>402</v>
      </c>
      <c r="F7" s="144" t="s">
        <v>70</v>
      </c>
      <c r="G7" s="125" t="s">
        <v>496</v>
      </c>
      <c r="H7" s="164" t="s">
        <v>402</v>
      </c>
      <c r="I7" s="123" t="s">
        <v>402</v>
      </c>
      <c r="J7" s="124">
        <v>0</v>
      </c>
      <c r="K7" s="125" t="s">
        <v>678</v>
      </c>
      <c r="L7" s="165">
        <v>0.04</v>
      </c>
      <c r="M7" s="29">
        <v>1</v>
      </c>
      <c r="N7" s="1">
        <v>1.2849840792941758</v>
      </c>
      <c r="O7" s="139" t="s">
        <v>71</v>
      </c>
      <c r="P7" s="165">
        <v>0.04</v>
      </c>
      <c r="Q7" s="29">
        <v>1</v>
      </c>
      <c r="R7" s="1">
        <v>1.2849840792941758</v>
      </c>
      <c r="S7" s="139" t="s">
        <v>71</v>
      </c>
      <c r="T7" s="165">
        <v>1.02</v>
      </c>
      <c r="U7" s="29">
        <v>1</v>
      </c>
      <c r="V7" s="1">
        <v>1.2849840792941758</v>
      </c>
      <c r="W7" s="139" t="s">
        <v>71</v>
      </c>
      <c r="X7" s="165">
        <v>0.23</v>
      </c>
      <c r="Y7" s="29">
        <v>1</v>
      </c>
      <c r="Z7" s="1">
        <v>1.2849840792941758</v>
      </c>
      <c r="AA7" s="139" t="s">
        <v>71</v>
      </c>
      <c r="AB7" s="165">
        <v>0.23</v>
      </c>
      <c r="AC7" s="29">
        <v>1</v>
      </c>
      <c r="AD7" s="1">
        <v>1.2849840792941758</v>
      </c>
      <c r="AE7" s="31" t="s">
        <v>71</v>
      </c>
    </row>
    <row r="8" spans="1:31" ht="12.75">
      <c r="A8" s="156">
        <v>4804</v>
      </c>
      <c r="B8" s="163" t="s">
        <v>525</v>
      </c>
      <c r="C8" s="151" t="s">
        <v>525</v>
      </c>
      <c r="D8" s="152" t="s">
        <v>526</v>
      </c>
      <c r="E8" s="153" t="s">
        <v>402</v>
      </c>
      <c r="F8" s="144" t="s">
        <v>72</v>
      </c>
      <c r="G8" s="125" t="s">
        <v>521</v>
      </c>
      <c r="H8" s="164" t="s">
        <v>402</v>
      </c>
      <c r="I8" s="123" t="s">
        <v>402</v>
      </c>
      <c r="J8" s="124">
        <v>1</v>
      </c>
      <c r="K8" s="125" t="s">
        <v>522</v>
      </c>
      <c r="L8" s="165">
        <v>2.4</v>
      </c>
      <c r="M8" s="29">
        <v>1</v>
      </c>
      <c r="N8" s="1">
        <v>1.2354522921220721</v>
      </c>
      <c r="O8" s="139" t="s">
        <v>73</v>
      </c>
      <c r="P8" s="165">
        <v>2.4</v>
      </c>
      <c r="Q8" s="29">
        <v>1</v>
      </c>
      <c r="R8" s="1">
        <v>1.2354522921220721</v>
      </c>
      <c r="S8" s="139" t="s">
        <v>73</v>
      </c>
      <c r="T8" s="165">
        <v>2.4</v>
      </c>
      <c r="U8" s="29">
        <v>1</v>
      </c>
      <c r="V8" s="1">
        <v>1.2354522921220721</v>
      </c>
      <c r="W8" s="139" t="s">
        <v>73</v>
      </c>
      <c r="X8" s="165">
        <v>2.4</v>
      </c>
      <c r="Y8" s="29">
        <v>1</v>
      </c>
      <c r="Z8" s="1">
        <v>1.2354522921220721</v>
      </c>
      <c r="AA8" s="139" t="s">
        <v>73</v>
      </c>
      <c r="AB8" s="165">
        <v>2.4</v>
      </c>
      <c r="AC8" s="29">
        <v>1</v>
      </c>
      <c r="AD8" s="1">
        <v>1.2354522921220721</v>
      </c>
      <c r="AE8" s="31" t="s">
        <v>73</v>
      </c>
    </row>
    <row r="9" spans="1:31" ht="12.75">
      <c r="A9" s="156">
        <v>1484</v>
      </c>
      <c r="B9" s="163"/>
      <c r="C9" s="151" t="s">
        <v>525</v>
      </c>
      <c r="D9" s="152" t="s">
        <v>526</v>
      </c>
      <c r="E9" s="153" t="s">
        <v>402</v>
      </c>
      <c r="F9" s="144" t="s">
        <v>74</v>
      </c>
      <c r="G9" s="125" t="s">
        <v>393</v>
      </c>
      <c r="H9" s="164" t="s">
        <v>402</v>
      </c>
      <c r="I9" s="123" t="s">
        <v>402</v>
      </c>
      <c r="J9" s="124">
        <v>1</v>
      </c>
      <c r="K9" s="125" t="s">
        <v>522</v>
      </c>
      <c r="L9" s="165">
        <v>1</v>
      </c>
      <c r="M9" s="29">
        <v>1</v>
      </c>
      <c r="N9" s="1">
        <v>2.0865051432908035</v>
      </c>
      <c r="O9" s="139" t="s">
        <v>75</v>
      </c>
      <c r="P9" s="165">
        <v>1</v>
      </c>
      <c r="Q9" s="29">
        <v>1</v>
      </c>
      <c r="R9" s="1">
        <v>2.0865051432908035</v>
      </c>
      <c r="S9" s="139" t="s">
        <v>75</v>
      </c>
      <c r="T9" s="165">
        <v>1</v>
      </c>
      <c r="U9" s="29">
        <v>1</v>
      </c>
      <c r="V9" s="1">
        <v>2.0865051432908035</v>
      </c>
      <c r="W9" s="139" t="s">
        <v>75</v>
      </c>
      <c r="X9" s="165">
        <v>1</v>
      </c>
      <c r="Y9" s="29">
        <v>1</v>
      </c>
      <c r="Z9" s="1">
        <v>2.0865051432908035</v>
      </c>
      <c r="AA9" s="139" t="s">
        <v>75</v>
      </c>
      <c r="AB9" s="165">
        <v>1</v>
      </c>
      <c r="AC9" s="29">
        <v>1</v>
      </c>
      <c r="AD9" s="1">
        <v>2.0865051432908035</v>
      </c>
      <c r="AE9" s="31" t="s">
        <v>75</v>
      </c>
    </row>
    <row r="10" spans="1:31" ht="12.75">
      <c r="A10" s="156">
        <v>1489</v>
      </c>
      <c r="B10" s="163" t="s">
        <v>525</v>
      </c>
      <c r="C10" s="151" t="s">
        <v>525</v>
      </c>
      <c r="D10" s="152" t="s">
        <v>526</v>
      </c>
      <c r="E10" s="153" t="s">
        <v>402</v>
      </c>
      <c r="F10" s="144" t="s">
        <v>52</v>
      </c>
      <c r="G10" s="125" t="s">
        <v>521</v>
      </c>
      <c r="H10" s="164" t="s">
        <v>402</v>
      </c>
      <c r="I10" s="123" t="s">
        <v>402</v>
      </c>
      <c r="J10" s="124">
        <v>1</v>
      </c>
      <c r="K10" s="125" t="s">
        <v>396</v>
      </c>
      <c r="L10" s="165">
        <v>0</v>
      </c>
      <c r="M10" s="29">
        <v>1</v>
      </c>
      <c r="N10" s="1">
        <v>1.2284225230179247</v>
      </c>
      <c r="O10" s="139" t="s">
        <v>76</v>
      </c>
      <c r="P10" s="165">
        <v>20.408163265306122</v>
      </c>
      <c r="Q10" s="29">
        <v>1</v>
      </c>
      <c r="R10" s="1">
        <v>1.2284225230179247</v>
      </c>
      <c r="S10" s="139" t="s">
        <v>76</v>
      </c>
      <c r="T10" s="165">
        <v>0</v>
      </c>
      <c r="U10" s="29">
        <v>1</v>
      </c>
      <c r="V10" s="1">
        <v>1.2284225230179247</v>
      </c>
      <c r="W10" s="139" t="s">
        <v>76</v>
      </c>
      <c r="X10" s="165">
        <v>0</v>
      </c>
      <c r="Y10" s="29">
        <v>1</v>
      </c>
      <c r="Z10" s="1">
        <v>1.2284225230179247</v>
      </c>
      <c r="AA10" s="139" t="s">
        <v>76</v>
      </c>
      <c r="AB10" s="165">
        <v>0</v>
      </c>
      <c r="AC10" s="29">
        <v>1</v>
      </c>
      <c r="AD10" s="1">
        <v>1.2284225230179247</v>
      </c>
      <c r="AE10" s="31" t="s">
        <v>76</v>
      </c>
    </row>
    <row r="11" spans="1:31" ht="12.75">
      <c r="A11" s="156">
        <v>1490</v>
      </c>
      <c r="B11" s="163" t="s">
        <v>525</v>
      </c>
      <c r="C11" s="151" t="s">
        <v>525</v>
      </c>
      <c r="D11" s="152" t="s">
        <v>526</v>
      </c>
      <c r="E11" s="153" t="s">
        <v>402</v>
      </c>
      <c r="F11" s="144" t="s">
        <v>53</v>
      </c>
      <c r="G11" s="125" t="s">
        <v>521</v>
      </c>
      <c r="H11" s="164" t="s">
        <v>402</v>
      </c>
      <c r="I11" s="123" t="s">
        <v>402</v>
      </c>
      <c r="J11" s="124">
        <v>1</v>
      </c>
      <c r="K11" s="125" t="s">
        <v>396</v>
      </c>
      <c r="L11" s="165">
        <v>20.408163265306122</v>
      </c>
      <c r="M11" s="29">
        <v>1</v>
      </c>
      <c r="N11" s="1">
        <v>1.2284225230179247</v>
      </c>
      <c r="O11" s="139" t="s">
        <v>76</v>
      </c>
      <c r="P11" s="165">
        <v>0</v>
      </c>
      <c r="Q11" s="29">
        <v>1</v>
      </c>
      <c r="R11" s="1">
        <v>1.2284225230179247</v>
      </c>
      <c r="S11" s="139" t="s">
        <v>76</v>
      </c>
      <c r="T11" s="165">
        <v>0</v>
      </c>
      <c r="U11" s="29">
        <v>1</v>
      </c>
      <c r="V11" s="1">
        <v>1.2284225230179247</v>
      </c>
      <c r="W11" s="139" t="s">
        <v>76</v>
      </c>
      <c r="X11" s="165">
        <v>0</v>
      </c>
      <c r="Y11" s="29">
        <v>1</v>
      </c>
      <c r="Z11" s="1">
        <v>1.2284225230179247</v>
      </c>
      <c r="AA11" s="139" t="s">
        <v>76</v>
      </c>
      <c r="AB11" s="165">
        <v>0</v>
      </c>
      <c r="AC11" s="29">
        <v>1</v>
      </c>
      <c r="AD11" s="1">
        <v>1.2284225230179247</v>
      </c>
      <c r="AE11" s="31" t="s">
        <v>76</v>
      </c>
    </row>
    <row r="12" spans="1:31" ht="12.75">
      <c r="A12" s="156">
        <v>1491</v>
      </c>
      <c r="B12" s="163" t="s">
        <v>525</v>
      </c>
      <c r="C12" s="151" t="s">
        <v>525</v>
      </c>
      <c r="D12" s="152" t="s">
        <v>526</v>
      </c>
      <c r="E12" s="153" t="s">
        <v>402</v>
      </c>
      <c r="F12" s="144" t="s">
        <v>663</v>
      </c>
      <c r="G12" s="125" t="s">
        <v>521</v>
      </c>
      <c r="H12" s="164" t="s">
        <v>402</v>
      </c>
      <c r="I12" s="123" t="s">
        <v>402</v>
      </c>
      <c r="J12" s="124">
        <v>1</v>
      </c>
      <c r="K12" s="125" t="s">
        <v>396</v>
      </c>
      <c r="L12" s="165">
        <v>0</v>
      </c>
      <c r="M12" s="29">
        <v>1</v>
      </c>
      <c r="N12" s="1">
        <v>1.2284225230179247</v>
      </c>
      <c r="O12" s="139" t="s">
        <v>76</v>
      </c>
      <c r="P12" s="165">
        <v>0</v>
      </c>
      <c r="Q12" s="29">
        <v>1</v>
      </c>
      <c r="R12" s="1">
        <v>1.2284225230179247</v>
      </c>
      <c r="S12" s="139" t="s">
        <v>76</v>
      </c>
      <c r="T12" s="165">
        <v>20.408163265306122</v>
      </c>
      <c r="U12" s="29">
        <v>1</v>
      </c>
      <c r="V12" s="1">
        <v>1.2284225230179247</v>
      </c>
      <c r="W12" s="139" t="s">
        <v>76</v>
      </c>
      <c r="X12" s="165">
        <v>0</v>
      </c>
      <c r="Y12" s="29">
        <v>1</v>
      </c>
      <c r="Z12" s="1">
        <v>1.2284225230179247</v>
      </c>
      <c r="AA12" s="139" t="s">
        <v>76</v>
      </c>
      <c r="AB12" s="165">
        <v>0</v>
      </c>
      <c r="AC12" s="29">
        <v>1</v>
      </c>
      <c r="AD12" s="1">
        <v>1.2284225230179247</v>
      </c>
      <c r="AE12" s="31" t="s">
        <v>76</v>
      </c>
    </row>
    <row r="13" spans="1:31" ht="12.75">
      <c r="A13" s="156">
        <v>1645</v>
      </c>
      <c r="B13" s="163" t="s">
        <v>525</v>
      </c>
      <c r="C13" s="151" t="s">
        <v>525</v>
      </c>
      <c r="D13" s="152" t="s">
        <v>526</v>
      </c>
      <c r="E13" s="153" t="s">
        <v>402</v>
      </c>
      <c r="F13" s="144" t="s">
        <v>664</v>
      </c>
      <c r="G13" s="125" t="s">
        <v>521</v>
      </c>
      <c r="H13" s="164" t="s">
        <v>402</v>
      </c>
      <c r="I13" s="123" t="s">
        <v>402</v>
      </c>
      <c r="J13" s="124">
        <v>1</v>
      </c>
      <c r="K13" s="125" t="s">
        <v>396</v>
      </c>
      <c r="L13" s="165">
        <v>0</v>
      </c>
      <c r="M13" s="29">
        <v>1</v>
      </c>
      <c r="N13" s="1">
        <v>1.2284225230179247</v>
      </c>
      <c r="O13" s="139" t="s">
        <v>76</v>
      </c>
      <c r="P13" s="165">
        <v>0</v>
      </c>
      <c r="Q13" s="29">
        <v>1</v>
      </c>
      <c r="R13" s="1">
        <v>1.2284225230179247</v>
      </c>
      <c r="S13" s="139" t="s">
        <v>76</v>
      </c>
      <c r="T13" s="165">
        <v>0</v>
      </c>
      <c r="U13" s="29">
        <v>1</v>
      </c>
      <c r="V13" s="1">
        <v>1.2284225230179247</v>
      </c>
      <c r="W13" s="139" t="s">
        <v>76</v>
      </c>
      <c r="X13" s="165">
        <v>0</v>
      </c>
      <c r="Y13" s="29">
        <v>1</v>
      </c>
      <c r="Z13" s="1">
        <v>1.2284225230179247</v>
      </c>
      <c r="AA13" s="139" t="s">
        <v>76</v>
      </c>
      <c r="AB13" s="165">
        <v>20.408163265306122</v>
      </c>
      <c r="AC13" s="29">
        <v>1</v>
      </c>
      <c r="AD13" s="1">
        <v>1.2284225230179247</v>
      </c>
      <c r="AE13" s="31" t="s">
        <v>76</v>
      </c>
    </row>
    <row r="14" spans="1:31" ht="12.75">
      <c r="A14" s="156">
        <v>1646</v>
      </c>
      <c r="B14" s="163" t="s">
        <v>525</v>
      </c>
      <c r="C14" s="151" t="s">
        <v>525</v>
      </c>
      <c r="D14" s="152" t="s">
        <v>526</v>
      </c>
      <c r="E14" s="153" t="s">
        <v>402</v>
      </c>
      <c r="F14" s="144" t="s">
        <v>665</v>
      </c>
      <c r="G14" s="125" t="s">
        <v>521</v>
      </c>
      <c r="H14" s="164" t="s">
        <v>402</v>
      </c>
      <c r="I14" s="123" t="s">
        <v>402</v>
      </c>
      <c r="J14" s="124">
        <v>1</v>
      </c>
      <c r="K14" s="125" t="s">
        <v>396</v>
      </c>
      <c r="L14" s="165">
        <v>0</v>
      </c>
      <c r="M14" s="29">
        <v>1</v>
      </c>
      <c r="N14" s="1">
        <v>1.2284225230179247</v>
      </c>
      <c r="O14" s="139" t="s">
        <v>76</v>
      </c>
      <c r="P14" s="165">
        <v>0</v>
      </c>
      <c r="Q14" s="29">
        <v>1</v>
      </c>
      <c r="R14" s="1">
        <v>1.2284225230179247</v>
      </c>
      <c r="S14" s="139" t="s">
        <v>76</v>
      </c>
      <c r="T14" s="165">
        <v>0</v>
      </c>
      <c r="U14" s="29">
        <v>1</v>
      </c>
      <c r="V14" s="1">
        <v>1.2284225230179247</v>
      </c>
      <c r="W14" s="139" t="s">
        <v>76</v>
      </c>
      <c r="X14" s="165">
        <v>20.408163265306122</v>
      </c>
      <c r="Y14" s="29">
        <v>1</v>
      </c>
      <c r="Z14" s="1">
        <v>1.2284225230179247</v>
      </c>
      <c r="AA14" s="139" t="s">
        <v>76</v>
      </c>
      <c r="AB14" s="165">
        <v>0</v>
      </c>
      <c r="AC14" s="29">
        <v>1</v>
      </c>
      <c r="AD14" s="1">
        <v>1.2284225230179247</v>
      </c>
      <c r="AE14" s="31" t="s">
        <v>76</v>
      </c>
    </row>
    <row r="15" spans="1:31" ht="24">
      <c r="A15" s="640" t="s">
        <v>895</v>
      </c>
      <c r="B15" s="163" t="s">
        <v>525</v>
      </c>
      <c r="C15" s="151" t="s">
        <v>525</v>
      </c>
      <c r="D15" s="152" t="s">
        <v>526</v>
      </c>
      <c r="E15" s="153" t="s">
        <v>402</v>
      </c>
      <c r="F15" s="144" t="s">
        <v>1296</v>
      </c>
      <c r="G15" s="125" t="s">
        <v>956</v>
      </c>
      <c r="H15" s="164" t="s">
        <v>402</v>
      </c>
      <c r="I15" s="123" t="s">
        <v>402</v>
      </c>
      <c r="J15" s="124">
        <v>1</v>
      </c>
      <c r="K15" s="125" t="s">
        <v>396</v>
      </c>
      <c r="L15" s="165">
        <v>21.020408163265305</v>
      </c>
      <c r="M15" s="29">
        <v>1</v>
      </c>
      <c r="N15" s="1">
        <v>1.3582005896413567</v>
      </c>
      <c r="O15" s="139" t="s">
        <v>78</v>
      </c>
      <c r="P15" s="165">
        <v>0</v>
      </c>
      <c r="Q15" s="29">
        <v>1</v>
      </c>
      <c r="R15" s="1">
        <v>1.3582005896413567</v>
      </c>
      <c r="S15" s="139" t="s">
        <v>78</v>
      </c>
      <c r="T15" s="165">
        <v>0</v>
      </c>
      <c r="U15" s="29">
        <v>1</v>
      </c>
      <c r="V15" s="1">
        <v>1.3582005896413567</v>
      </c>
      <c r="W15" s="139" t="s">
        <v>78</v>
      </c>
      <c r="X15" s="165">
        <v>21.020408163265305</v>
      </c>
      <c r="Y15" s="29">
        <v>1</v>
      </c>
      <c r="Z15" s="1">
        <v>1.3582005896413567</v>
      </c>
      <c r="AA15" s="139" t="s">
        <v>78</v>
      </c>
      <c r="AB15" s="165">
        <v>0</v>
      </c>
      <c r="AC15" s="29">
        <v>1</v>
      </c>
      <c r="AD15" s="1">
        <v>1.3582005896413567</v>
      </c>
      <c r="AE15" s="31" t="s">
        <v>78</v>
      </c>
    </row>
    <row r="16" spans="1:31" ht="24">
      <c r="A16" s="640" t="s">
        <v>893</v>
      </c>
      <c r="B16" s="163" t="s">
        <v>525</v>
      </c>
      <c r="C16" s="151" t="s">
        <v>525</v>
      </c>
      <c r="D16" s="152" t="s">
        <v>526</v>
      </c>
      <c r="E16" s="153" t="s">
        <v>402</v>
      </c>
      <c r="F16" s="144" t="s">
        <v>1123</v>
      </c>
      <c r="G16" s="125" t="s">
        <v>956</v>
      </c>
      <c r="H16" s="164" t="s">
        <v>402</v>
      </c>
      <c r="I16" s="123" t="s">
        <v>402</v>
      </c>
      <c r="J16" s="124">
        <v>1</v>
      </c>
      <c r="K16" s="125" t="s">
        <v>396</v>
      </c>
      <c r="L16" s="165">
        <v>0</v>
      </c>
      <c r="M16" s="29">
        <v>1</v>
      </c>
      <c r="N16" s="1">
        <v>1.3582005896413567</v>
      </c>
      <c r="O16" s="139" t="s">
        <v>78</v>
      </c>
      <c r="P16" s="165">
        <v>21.020408163265305</v>
      </c>
      <c r="Q16" s="29">
        <v>1</v>
      </c>
      <c r="R16" s="1">
        <v>1.3582005896413567</v>
      </c>
      <c r="S16" s="139" t="s">
        <v>78</v>
      </c>
      <c r="T16" s="165">
        <v>21.020408163265305</v>
      </c>
      <c r="U16" s="29">
        <v>1</v>
      </c>
      <c r="V16" s="1">
        <v>1.3582005896413567</v>
      </c>
      <c r="W16" s="139" t="s">
        <v>78</v>
      </c>
      <c r="X16" s="165">
        <v>0</v>
      </c>
      <c r="Y16" s="29">
        <v>1</v>
      </c>
      <c r="Z16" s="1">
        <v>1.3582005896413567</v>
      </c>
      <c r="AA16" s="139" t="s">
        <v>78</v>
      </c>
      <c r="AB16" s="165">
        <v>21.020408163265305</v>
      </c>
      <c r="AC16" s="29">
        <v>1</v>
      </c>
      <c r="AD16" s="1">
        <v>1.3582005896413567</v>
      </c>
      <c r="AE16" s="31" t="s">
        <v>78</v>
      </c>
    </row>
    <row r="17" spans="1:31" ht="12.75">
      <c r="A17" s="157">
        <v>1802</v>
      </c>
      <c r="B17" s="163" t="s">
        <v>525</v>
      </c>
      <c r="C17" s="151" t="s">
        <v>525</v>
      </c>
      <c r="D17" s="152" t="s">
        <v>526</v>
      </c>
      <c r="E17" s="153" t="s">
        <v>402</v>
      </c>
      <c r="F17" s="144" t="s">
        <v>80</v>
      </c>
      <c r="G17" s="125" t="s">
        <v>393</v>
      </c>
      <c r="H17" s="164" t="s">
        <v>402</v>
      </c>
      <c r="I17" s="123" t="s">
        <v>402</v>
      </c>
      <c r="J17" s="124">
        <v>0</v>
      </c>
      <c r="K17" s="125" t="s">
        <v>81</v>
      </c>
      <c r="L17" s="165">
        <v>0</v>
      </c>
      <c r="M17" s="29">
        <v>1</v>
      </c>
      <c r="N17" s="1">
        <v>2.0865051432908035</v>
      </c>
      <c r="O17" s="139" t="s">
        <v>82</v>
      </c>
      <c r="P17" s="165">
        <v>0</v>
      </c>
      <c r="Q17" s="29">
        <v>1</v>
      </c>
      <c r="R17" s="1">
        <v>2.0865051432908035</v>
      </c>
      <c r="S17" s="139" t="s">
        <v>82</v>
      </c>
      <c r="T17" s="165">
        <v>80</v>
      </c>
      <c r="U17" s="29">
        <v>1</v>
      </c>
      <c r="V17" s="1">
        <v>2.0865051432908035</v>
      </c>
      <c r="W17" s="139" t="s">
        <v>82</v>
      </c>
      <c r="X17" s="165">
        <v>0</v>
      </c>
      <c r="Y17" s="29">
        <v>1</v>
      </c>
      <c r="Z17" s="1">
        <v>2.0865051432908035</v>
      </c>
      <c r="AA17" s="139" t="s">
        <v>82</v>
      </c>
      <c r="AB17" s="165">
        <v>0</v>
      </c>
      <c r="AC17" s="29">
        <v>1</v>
      </c>
      <c r="AD17" s="1">
        <v>2.0865051432908035</v>
      </c>
      <c r="AE17" s="31" t="s">
        <v>82</v>
      </c>
    </row>
    <row r="18" spans="1:31" ht="24">
      <c r="A18" s="157">
        <v>2988</v>
      </c>
      <c r="B18" s="163" t="s">
        <v>525</v>
      </c>
      <c r="C18" s="151" t="s">
        <v>525</v>
      </c>
      <c r="D18" s="152" t="s">
        <v>526</v>
      </c>
      <c r="E18" s="153" t="s">
        <v>402</v>
      </c>
      <c r="F18" s="144" t="s">
        <v>63</v>
      </c>
      <c r="G18" s="125" t="s">
        <v>393</v>
      </c>
      <c r="H18" s="164" t="s">
        <v>402</v>
      </c>
      <c r="I18" s="123" t="s">
        <v>402</v>
      </c>
      <c r="J18" s="124">
        <v>0</v>
      </c>
      <c r="K18" s="125" t="s">
        <v>397</v>
      </c>
      <c r="L18" s="165">
        <v>48.884752176699742</v>
      </c>
      <c r="M18" s="29">
        <v>1</v>
      </c>
      <c r="N18" s="1">
        <v>2.0865051432908035</v>
      </c>
      <c r="O18" s="139" t="s">
        <v>83</v>
      </c>
      <c r="P18" s="165">
        <v>53.35158891139362</v>
      </c>
      <c r="Q18" s="29">
        <v>1</v>
      </c>
      <c r="R18" s="1">
        <v>2.0865051432908035</v>
      </c>
      <c r="S18" s="139" t="s">
        <v>83</v>
      </c>
      <c r="T18" s="165">
        <v>53.35158891139362</v>
      </c>
      <c r="U18" s="29">
        <v>1</v>
      </c>
      <c r="V18" s="1">
        <v>2.0865051432908035</v>
      </c>
      <c r="W18" s="139" t="s">
        <v>83</v>
      </c>
      <c r="X18" s="165">
        <v>48.884752176699742</v>
      </c>
      <c r="Y18" s="29">
        <v>1</v>
      </c>
      <c r="Z18" s="1">
        <v>2.0865051432908035</v>
      </c>
      <c r="AA18" s="139" t="s">
        <v>83</v>
      </c>
      <c r="AB18" s="165">
        <v>53.35158891139362</v>
      </c>
      <c r="AC18" s="29">
        <v>1</v>
      </c>
      <c r="AD18" s="1">
        <v>2.0865051432908035</v>
      </c>
      <c r="AE18" s="31" t="s">
        <v>83</v>
      </c>
    </row>
    <row r="19" spans="1:31" ht="24">
      <c r="A19" s="2">
        <v>2987</v>
      </c>
      <c r="B19" s="163" t="s">
        <v>525</v>
      </c>
      <c r="C19" s="151" t="s">
        <v>525</v>
      </c>
      <c r="D19" s="152" t="s">
        <v>526</v>
      </c>
      <c r="E19" s="153" t="s">
        <v>402</v>
      </c>
      <c r="F19" s="144" t="s">
        <v>59</v>
      </c>
      <c r="G19" s="125" t="s">
        <v>521</v>
      </c>
      <c r="H19" s="164" t="s">
        <v>402</v>
      </c>
      <c r="I19" s="123" t="s">
        <v>402</v>
      </c>
      <c r="J19" s="124">
        <v>0</v>
      </c>
      <c r="K19" s="125" t="s">
        <v>397</v>
      </c>
      <c r="L19" s="165">
        <v>205.91776088349869</v>
      </c>
      <c r="M19" s="29">
        <v>1</v>
      </c>
      <c r="N19" s="1">
        <v>2.0865051432908035</v>
      </c>
      <c r="O19" s="139" t="s">
        <v>84</v>
      </c>
      <c r="P19" s="165">
        <v>228.25194455696808</v>
      </c>
      <c r="Q19" s="29">
        <v>1</v>
      </c>
      <c r="R19" s="1">
        <v>2.0865051432908035</v>
      </c>
      <c r="S19" s="139" t="s">
        <v>84</v>
      </c>
      <c r="T19" s="165">
        <v>228.25194455696808</v>
      </c>
      <c r="U19" s="29">
        <v>1</v>
      </c>
      <c r="V19" s="1">
        <v>2.0865051432908035</v>
      </c>
      <c r="W19" s="139" t="s">
        <v>84</v>
      </c>
      <c r="X19" s="165">
        <v>205.91776088349869</v>
      </c>
      <c r="Y19" s="29">
        <v>1</v>
      </c>
      <c r="Z19" s="1">
        <v>2.0865051432908035</v>
      </c>
      <c r="AA19" s="139" t="s">
        <v>84</v>
      </c>
      <c r="AB19" s="165">
        <v>228.25194455696808</v>
      </c>
      <c r="AC19" s="29">
        <v>1</v>
      </c>
      <c r="AD19" s="1">
        <v>2.0865051432908035</v>
      </c>
      <c r="AE19" s="31" t="s">
        <v>84</v>
      </c>
    </row>
    <row r="20" spans="1:31" ht="12.75">
      <c r="A20" s="156">
        <v>1824</v>
      </c>
      <c r="B20" s="163" t="s">
        <v>525</v>
      </c>
      <c r="C20" s="151" t="s">
        <v>525</v>
      </c>
      <c r="D20" s="152" t="s">
        <v>526</v>
      </c>
      <c r="E20" s="153" t="s">
        <v>402</v>
      </c>
      <c r="F20" s="144" t="s">
        <v>85</v>
      </c>
      <c r="G20" s="125" t="s">
        <v>86</v>
      </c>
      <c r="H20" s="164" t="s">
        <v>402</v>
      </c>
      <c r="I20" s="123" t="s">
        <v>402</v>
      </c>
      <c r="J20" s="124">
        <v>0</v>
      </c>
      <c r="K20" s="125" t="s">
        <v>397</v>
      </c>
      <c r="L20" s="165">
        <v>0</v>
      </c>
      <c r="M20" s="29">
        <v>1</v>
      </c>
      <c r="N20" s="1">
        <v>2.0865051432908035</v>
      </c>
      <c r="O20" s="139" t="s">
        <v>1672</v>
      </c>
      <c r="P20" s="165">
        <v>0</v>
      </c>
      <c r="Q20" s="29">
        <v>1</v>
      </c>
      <c r="R20" s="1">
        <v>2.0865051432908035</v>
      </c>
      <c r="S20" s="139" t="s">
        <v>1672</v>
      </c>
      <c r="T20" s="165">
        <v>0</v>
      </c>
      <c r="U20" s="29">
        <v>1</v>
      </c>
      <c r="V20" s="1">
        <v>2.0865051432908035</v>
      </c>
      <c r="W20" s="139" t="s">
        <v>1672</v>
      </c>
      <c r="X20" s="165">
        <v>0</v>
      </c>
      <c r="Y20" s="29">
        <v>1</v>
      </c>
      <c r="Z20" s="1">
        <v>2.0865051432908035</v>
      </c>
      <c r="AA20" s="139" t="s">
        <v>1672</v>
      </c>
      <c r="AB20" s="165">
        <v>0</v>
      </c>
      <c r="AC20" s="29">
        <v>1</v>
      </c>
      <c r="AD20" s="1">
        <v>2.0865051432908035</v>
      </c>
      <c r="AE20" s="31" t="s">
        <v>1672</v>
      </c>
    </row>
    <row r="21" spans="1:31" ht="12.75">
      <c r="A21" s="214">
        <v>490</v>
      </c>
      <c r="B21" s="296" t="s">
        <v>692</v>
      </c>
      <c r="C21" s="169" t="s">
        <v>525</v>
      </c>
      <c r="D21" s="11" t="s">
        <v>402</v>
      </c>
      <c r="E21" s="170" t="s">
        <v>527</v>
      </c>
      <c r="F21" s="144" t="s">
        <v>324</v>
      </c>
      <c r="G21" s="125" t="s">
        <v>402</v>
      </c>
      <c r="H21" s="164" t="s">
        <v>325</v>
      </c>
      <c r="I21" s="123" t="s">
        <v>685</v>
      </c>
      <c r="J21" s="124" t="s">
        <v>402</v>
      </c>
      <c r="K21" s="125" t="s">
        <v>677</v>
      </c>
      <c r="L21" s="165">
        <v>0.14400000000000002</v>
      </c>
      <c r="M21" s="29">
        <v>1</v>
      </c>
      <c r="N21" s="1">
        <v>1.2849840792941758</v>
      </c>
      <c r="O21" s="139" t="s">
        <v>88</v>
      </c>
      <c r="P21" s="165">
        <v>0.14400000000000002</v>
      </c>
      <c r="Q21" s="29">
        <v>1</v>
      </c>
      <c r="R21" s="1">
        <v>1.2849840792941758</v>
      </c>
      <c r="S21" s="139" t="s">
        <v>88</v>
      </c>
      <c r="T21" s="165">
        <v>3.6720000000000002</v>
      </c>
      <c r="U21" s="29">
        <v>1</v>
      </c>
      <c r="V21" s="1">
        <v>1.2849840792941758</v>
      </c>
      <c r="W21" s="139" t="s">
        <v>88</v>
      </c>
      <c r="X21" s="165">
        <v>0.82800000000000007</v>
      </c>
      <c r="Y21" s="29">
        <v>1</v>
      </c>
      <c r="Z21" s="1">
        <v>1.2849840792941758</v>
      </c>
      <c r="AA21" s="139" t="s">
        <v>88</v>
      </c>
      <c r="AB21" s="165">
        <v>0.82800000000000007</v>
      </c>
      <c r="AC21" s="29">
        <v>1</v>
      </c>
      <c r="AD21" s="1">
        <v>1.2849840792941758</v>
      </c>
      <c r="AE21" s="31" t="s">
        <v>88</v>
      </c>
    </row>
    <row r="22" spans="1:31" ht="24">
      <c r="A22" s="6" t="s">
        <v>1040</v>
      </c>
      <c r="B22" s="168" t="s">
        <v>523</v>
      </c>
      <c r="C22" s="169"/>
      <c r="D22" s="11" t="s">
        <v>402</v>
      </c>
      <c r="E22" s="170">
        <v>0</v>
      </c>
      <c r="F22" s="145" t="s">
        <v>123</v>
      </c>
      <c r="G22" s="16" t="s">
        <v>956</v>
      </c>
      <c r="H22" s="14" t="s">
        <v>402</v>
      </c>
      <c r="I22" s="14" t="s">
        <v>402</v>
      </c>
      <c r="J22" s="15">
        <v>1</v>
      </c>
      <c r="K22" s="16" t="s">
        <v>522</v>
      </c>
      <c r="L22" s="149">
        <v>1</v>
      </c>
      <c r="M22" s="40"/>
      <c r="N22" s="89"/>
      <c r="O22" s="202"/>
      <c r="P22" s="149">
        <v>0</v>
      </c>
      <c r="Q22" s="40"/>
      <c r="R22" s="89"/>
      <c r="S22" s="202"/>
      <c r="T22" s="149">
        <v>0</v>
      </c>
      <c r="U22" s="40"/>
      <c r="V22" s="89"/>
      <c r="W22" s="202"/>
      <c r="X22" s="149">
        <v>0</v>
      </c>
      <c r="Y22" s="40"/>
      <c r="Z22" s="89"/>
      <c r="AA22" s="202"/>
      <c r="AB22" s="149">
        <v>0</v>
      </c>
      <c r="AC22" s="40"/>
      <c r="AD22" s="89"/>
      <c r="AE22" s="193"/>
    </row>
    <row r="23" spans="1:31" ht="24">
      <c r="A23" s="6" t="s">
        <v>1041</v>
      </c>
      <c r="B23" s="168"/>
      <c r="C23" s="169"/>
      <c r="D23" s="11" t="s">
        <v>402</v>
      </c>
      <c r="E23" s="170">
        <v>0</v>
      </c>
      <c r="F23" s="145" t="s">
        <v>124</v>
      </c>
      <c r="G23" s="16" t="s">
        <v>956</v>
      </c>
      <c r="H23" s="14" t="s">
        <v>402</v>
      </c>
      <c r="I23" s="14" t="s">
        <v>402</v>
      </c>
      <c r="J23" s="15">
        <v>1</v>
      </c>
      <c r="K23" s="16" t="s">
        <v>522</v>
      </c>
      <c r="L23" s="149">
        <v>0</v>
      </c>
      <c r="M23" s="40"/>
      <c r="N23" s="89"/>
      <c r="O23" s="202"/>
      <c r="P23" s="149">
        <v>1</v>
      </c>
      <c r="Q23" s="40"/>
      <c r="R23" s="89"/>
      <c r="S23" s="202"/>
      <c r="T23" s="149">
        <v>0</v>
      </c>
      <c r="U23" s="40"/>
      <c r="V23" s="89"/>
      <c r="W23" s="202"/>
      <c r="X23" s="149">
        <v>0</v>
      </c>
      <c r="Y23" s="40"/>
      <c r="Z23" s="89"/>
      <c r="AA23" s="202"/>
      <c r="AB23" s="149">
        <v>0</v>
      </c>
      <c r="AC23" s="40"/>
      <c r="AD23" s="89"/>
      <c r="AE23" s="193"/>
    </row>
    <row r="24" spans="1:31">
      <c r="A24" s="6" t="s">
        <v>1042</v>
      </c>
      <c r="B24" s="168"/>
      <c r="C24" s="169"/>
      <c r="D24" s="11" t="s">
        <v>402</v>
      </c>
      <c r="E24" s="170">
        <v>0</v>
      </c>
      <c r="F24" s="145" t="s">
        <v>126</v>
      </c>
      <c r="G24" s="16" t="s">
        <v>956</v>
      </c>
      <c r="H24" s="14" t="s">
        <v>402</v>
      </c>
      <c r="I24" s="14" t="s">
        <v>402</v>
      </c>
      <c r="J24" s="15">
        <v>1</v>
      </c>
      <c r="K24" s="16" t="s">
        <v>522</v>
      </c>
      <c r="L24" s="149">
        <v>0</v>
      </c>
      <c r="M24" s="40"/>
      <c r="N24" s="89"/>
      <c r="O24" s="202"/>
      <c r="P24" s="149">
        <v>0</v>
      </c>
      <c r="Q24" s="40"/>
      <c r="R24" s="89"/>
      <c r="S24" s="202"/>
      <c r="T24" s="149">
        <v>1</v>
      </c>
      <c r="U24" s="40"/>
      <c r="V24" s="89"/>
      <c r="W24" s="202"/>
      <c r="X24" s="149">
        <v>0</v>
      </c>
      <c r="Y24" s="40"/>
      <c r="Z24" s="89"/>
      <c r="AA24" s="202"/>
      <c r="AB24" s="149">
        <v>0</v>
      </c>
      <c r="AC24" s="40"/>
      <c r="AD24" s="89"/>
      <c r="AE24" s="193"/>
    </row>
    <row r="25" spans="1:31" ht="24">
      <c r="A25" s="6" t="s">
        <v>1043</v>
      </c>
      <c r="B25" s="168"/>
      <c r="C25" s="169"/>
      <c r="D25" s="11" t="s">
        <v>402</v>
      </c>
      <c r="E25" s="170">
        <v>0</v>
      </c>
      <c r="F25" s="145" t="s">
        <v>129</v>
      </c>
      <c r="G25" s="16" t="s">
        <v>956</v>
      </c>
      <c r="H25" s="14" t="s">
        <v>402</v>
      </c>
      <c r="I25" s="14" t="s">
        <v>402</v>
      </c>
      <c r="J25" s="15">
        <v>1</v>
      </c>
      <c r="K25" s="16" t="s">
        <v>522</v>
      </c>
      <c r="L25" s="149">
        <v>0</v>
      </c>
      <c r="M25" s="40"/>
      <c r="N25" s="89"/>
      <c r="O25" s="202"/>
      <c r="P25" s="149">
        <v>0</v>
      </c>
      <c r="Q25" s="40"/>
      <c r="R25" s="89"/>
      <c r="S25" s="202"/>
      <c r="T25" s="149">
        <v>0</v>
      </c>
      <c r="U25" s="40"/>
      <c r="V25" s="89"/>
      <c r="W25" s="202"/>
      <c r="X25" s="149">
        <v>1</v>
      </c>
      <c r="Y25" s="40"/>
      <c r="Z25" s="89"/>
      <c r="AA25" s="202"/>
      <c r="AB25" s="149">
        <v>0</v>
      </c>
      <c r="AC25" s="40"/>
      <c r="AD25" s="89"/>
      <c r="AE25" s="193"/>
    </row>
    <row r="26" spans="1:31" ht="24">
      <c r="A26" s="5" t="s">
        <v>1044</v>
      </c>
      <c r="B26" s="168"/>
      <c r="C26" s="169"/>
      <c r="D26" s="11" t="s">
        <v>402</v>
      </c>
      <c r="E26" s="170">
        <v>0</v>
      </c>
      <c r="F26" s="145" t="s">
        <v>130</v>
      </c>
      <c r="G26" s="16" t="s">
        <v>956</v>
      </c>
      <c r="H26" s="14" t="s">
        <v>402</v>
      </c>
      <c r="I26" s="14" t="s">
        <v>402</v>
      </c>
      <c r="J26" s="15">
        <v>1</v>
      </c>
      <c r="K26" s="16" t="s">
        <v>522</v>
      </c>
      <c r="L26" s="149">
        <v>0</v>
      </c>
      <c r="M26" s="29"/>
      <c r="N26" s="1"/>
      <c r="O26" s="139"/>
      <c r="P26" s="149">
        <v>0</v>
      </c>
      <c r="Q26" s="29"/>
      <c r="R26" s="1"/>
      <c r="S26" s="139"/>
      <c r="T26" s="149">
        <v>0</v>
      </c>
      <c r="U26" s="29"/>
      <c r="V26" s="1"/>
      <c r="W26" s="139"/>
      <c r="X26" s="149">
        <v>0</v>
      </c>
      <c r="Y26" s="29"/>
      <c r="Z26" s="1"/>
      <c r="AA26" s="139"/>
      <c r="AB26" s="149">
        <v>1</v>
      </c>
      <c r="AC26" s="29"/>
      <c r="AD26" s="1"/>
      <c r="AE26" s="31"/>
    </row>
  </sheetData>
  <pageMargins left="0.78740157499999996" right="0.78740157499999996" top="0.984251969" bottom="0.984251969" header="0.4921259845" footer="0.4921259845"/>
  <pageSetup paperSize="9" scale="67"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3">
    <pageSetUpPr fitToPage="1"/>
  </sheetPr>
  <dimension ref="A1:AE26"/>
  <sheetViews>
    <sheetView topLeftCell="G1" zoomScale="75" workbookViewId="0">
      <selection activeCell="J46" sqref="J46"/>
    </sheetView>
  </sheetViews>
  <sheetFormatPr defaultColWidth="11.42578125" defaultRowHeight="12" outlineLevelCol="1"/>
  <cols>
    <col min="1" max="1" width="8.7109375" style="7" customWidth="1"/>
    <col min="2" max="2" width="11.85546875" style="158" customWidth="1"/>
    <col min="3" max="3" width="3.7109375" style="159" hidden="1" customWidth="1" outlineLevel="1"/>
    <col min="4" max="4" width="3" style="7" hidden="1" customWidth="1" outlineLevel="1"/>
    <col min="5" max="5" width="2.7109375" style="7" hidden="1" customWidth="1" outlineLevel="1"/>
    <col min="6" max="6" width="39.140625" style="8" customWidth="1" collapsed="1"/>
    <col min="7" max="7" width="5" style="7" customWidth="1"/>
    <col min="8" max="8" width="5.7109375" style="7" hidden="1" customWidth="1" outlineLevel="1"/>
    <col min="9" max="9" width="19.42578125" style="7" hidden="1" customWidth="1" outlineLevel="1"/>
    <col min="10" max="10" width="4.140625" style="7" bestFit="1" customWidth="1" collapsed="1"/>
    <col min="11" max="11" width="5.140625" style="7" customWidth="1"/>
    <col min="12" max="12" width="11.28515625" style="7" customWidth="1"/>
    <col min="13" max="13" width="2" style="141" hidden="1" customWidth="1" outlineLevel="1"/>
    <col min="14" max="14" width="4.28515625" style="140" hidden="1" customWidth="1" outlineLevel="1"/>
    <col min="15" max="15" width="37.85546875" style="140" hidden="1" customWidth="1" outlineLevel="1"/>
    <col min="16" max="16" width="11.28515625" style="7" customWidth="1" collapsed="1"/>
    <col min="17" max="17" width="2" style="141" hidden="1" customWidth="1" outlineLevel="1"/>
    <col min="18" max="18" width="4.28515625" style="140" hidden="1" customWidth="1" outlineLevel="1"/>
    <col min="19" max="19" width="37.85546875" style="140" hidden="1" customWidth="1" outlineLevel="1"/>
    <col min="20" max="20" width="11.28515625" style="7" customWidth="1" collapsed="1"/>
    <col min="21" max="21" width="2" style="141" hidden="1" customWidth="1" outlineLevel="1"/>
    <col min="22" max="22" width="4.28515625" style="140" hidden="1" customWidth="1" outlineLevel="1"/>
    <col min="23" max="23" width="37.85546875" style="140" hidden="1" customWidth="1" outlineLevel="1"/>
    <col min="24" max="24" width="11.28515625" style="7" customWidth="1" collapsed="1"/>
    <col min="25" max="25" width="2" style="141" hidden="1" customWidth="1" outlineLevel="1"/>
    <col min="26" max="26" width="4.28515625" style="140" hidden="1" customWidth="1" outlineLevel="1"/>
    <col min="27" max="27" width="37.85546875" style="140" hidden="1" customWidth="1" outlineLevel="1"/>
    <col min="28" max="28" width="11.28515625" style="7" customWidth="1" collapsed="1"/>
    <col min="29" max="29" width="2" style="118" customWidth="1" outlineLevel="1"/>
    <col min="30" max="30" width="4.28515625" style="32" customWidth="1" outlineLevel="1"/>
    <col min="31" max="31" width="39" style="33" customWidth="1" outlineLevel="1"/>
    <col min="32" max="16384" width="11.42578125" style="7"/>
  </cols>
  <sheetData>
    <row r="1" spans="1:31">
      <c r="A1" s="36"/>
      <c r="B1" s="34"/>
      <c r="C1" s="35"/>
      <c r="D1" s="36"/>
      <c r="E1" s="36"/>
      <c r="F1" s="37" t="s">
        <v>510</v>
      </c>
      <c r="G1" s="36"/>
      <c r="H1" s="36"/>
      <c r="I1" s="36"/>
      <c r="J1" s="36"/>
      <c r="K1" s="36"/>
      <c r="L1" s="189" t="s">
        <v>1045</v>
      </c>
      <c r="M1" s="21"/>
      <c r="N1" s="22"/>
      <c r="O1" s="22"/>
      <c r="P1" s="189" t="s">
        <v>1046</v>
      </c>
      <c r="Q1" s="21"/>
      <c r="R1" s="22"/>
      <c r="S1" s="22"/>
      <c r="T1" s="189" t="s">
        <v>1047</v>
      </c>
      <c r="U1" s="21"/>
      <c r="V1" s="22"/>
      <c r="W1" s="22"/>
      <c r="X1" s="189" t="s">
        <v>1048</v>
      </c>
      <c r="Y1" s="21"/>
      <c r="Z1" s="22"/>
      <c r="AA1" s="22"/>
      <c r="AB1" s="189" t="s">
        <v>1049</v>
      </c>
      <c r="AC1" s="21"/>
      <c r="AD1" s="22"/>
      <c r="AE1" s="22"/>
    </row>
    <row r="2" spans="1:31">
      <c r="A2" s="36"/>
      <c r="B2" s="147"/>
      <c r="C2" s="35" t="s">
        <v>511</v>
      </c>
      <c r="D2" s="147">
        <v>3503</v>
      </c>
      <c r="E2" s="147">
        <v>3504</v>
      </c>
      <c r="F2" s="147">
        <v>3702</v>
      </c>
      <c r="G2" s="147">
        <v>3703</v>
      </c>
      <c r="H2" s="147">
        <v>3506</v>
      </c>
      <c r="I2" s="147">
        <v>3507</v>
      </c>
      <c r="J2" s="147">
        <v>3508</v>
      </c>
      <c r="K2" s="147">
        <v>3706</v>
      </c>
      <c r="L2" s="147">
        <v>3707</v>
      </c>
      <c r="M2" s="133">
        <v>3708</v>
      </c>
      <c r="N2" s="133">
        <v>3709</v>
      </c>
      <c r="O2" s="134">
        <v>3792</v>
      </c>
      <c r="P2" s="147">
        <v>3707</v>
      </c>
      <c r="Q2" s="133">
        <v>3708</v>
      </c>
      <c r="R2" s="133">
        <v>3709</v>
      </c>
      <c r="S2" s="134">
        <v>3792</v>
      </c>
      <c r="T2" s="147">
        <v>3707</v>
      </c>
      <c r="U2" s="133">
        <v>3708</v>
      </c>
      <c r="V2" s="133">
        <v>3709</v>
      </c>
      <c r="W2" s="134">
        <v>3792</v>
      </c>
      <c r="X2" s="147">
        <v>3707</v>
      </c>
      <c r="Y2" s="133">
        <v>3708</v>
      </c>
      <c r="Z2" s="133">
        <v>3709</v>
      </c>
      <c r="AA2" s="134">
        <v>3792</v>
      </c>
      <c r="AB2" s="147">
        <v>3707</v>
      </c>
      <c r="AC2" s="23">
        <v>3708</v>
      </c>
      <c r="AD2" s="23">
        <v>3709</v>
      </c>
      <c r="AE2" s="24">
        <v>3792</v>
      </c>
    </row>
    <row r="3" spans="1:31" ht="107.25" customHeight="1">
      <c r="A3" s="36" t="s">
        <v>398</v>
      </c>
      <c r="B3" s="166"/>
      <c r="C3" s="35">
        <v>401</v>
      </c>
      <c r="D3" s="167" t="s">
        <v>514</v>
      </c>
      <c r="E3" s="167" t="s">
        <v>515</v>
      </c>
      <c r="F3" s="132" t="s">
        <v>516</v>
      </c>
      <c r="G3" s="41" t="s">
        <v>517</v>
      </c>
      <c r="H3" s="41" t="s">
        <v>518</v>
      </c>
      <c r="I3" s="41" t="s">
        <v>519</v>
      </c>
      <c r="J3" s="41" t="s">
        <v>520</v>
      </c>
      <c r="K3" s="41" t="s">
        <v>394</v>
      </c>
      <c r="L3" s="178" t="s">
        <v>123</v>
      </c>
      <c r="M3" s="135" t="s">
        <v>265</v>
      </c>
      <c r="N3" s="135" t="s">
        <v>266</v>
      </c>
      <c r="O3" s="136" t="s">
        <v>548</v>
      </c>
      <c r="P3" s="178" t="s">
        <v>124</v>
      </c>
      <c r="Q3" s="135" t="s">
        <v>265</v>
      </c>
      <c r="R3" s="135" t="s">
        <v>266</v>
      </c>
      <c r="S3" s="136" t="s">
        <v>548</v>
      </c>
      <c r="T3" s="178" t="s">
        <v>126</v>
      </c>
      <c r="U3" s="135" t="s">
        <v>265</v>
      </c>
      <c r="V3" s="135" t="s">
        <v>266</v>
      </c>
      <c r="W3" s="136" t="s">
        <v>548</v>
      </c>
      <c r="X3" s="178" t="s">
        <v>129</v>
      </c>
      <c r="Y3" s="135" t="s">
        <v>265</v>
      </c>
      <c r="Z3" s="135" t="s">
        <v>266</v>
      </c>
      <c r="AA3" s="136" t="s">
        <v>548</v>
      </c>
      <c r="AB3" s="178" t="s">
        <v>130</v>
      </c>
      <c r="AC3" s="25" t="s">
        <v>265</v>
      </c>
      <c r="AD3" s="25" t="s">
        <v>266</v>
      </c>
      <c r="AE3" s="128" t="s">
        <v>548</v>
      </c>
    </row>
    <row r="4" spans="1:31" ht="13.5" customHeight="1">
      <c r="A4" s="36"/>
      <c r="B4" s="166"/>
      <c r="C4" s="35">
        <v>662</v>
      </c>
      <c r="D4" s="9"/>
      <c r="E4" s="9"/>
      <c r="F4" s="132" t="s">
        <v>517</v>
      </c>
      <c r="G4" s="132"/>
      <c r="H4" s="132"/>
      <c r="I4" s="132"/>
      <c r="J4" s="132"/>
      <c r="K4" s="132"/>
      <c r="L4" s="178" t="s">
        <v>1105</v>
      </c>
      <c r="M4" s="137">
        <v>0</v>
      </c>
      <c r="N4" s="137">
        <v>0</v>
      </c>
      <c r="O4" s="138">
        <v>0</v>
      </c>
      <c r="P4" s="178" t="s">
        <v>1105</v>
      </c>
      <c r="Q4" s="137">
        <v>0</v>
      </c>
      <c r="R4" s="137">
        <v>0</v>
      </c>
      <c r="S4" s="138">
        <v>0</v>
      </c>
      <c r="T4" s="178" t="s">
        <v>1105</v>
      </c>
      <c r="U4" s="137">
        <v>0</v>
      </c>
      <c r="V4" s="137">
        <v>0</v>
      </c>
      <c r="W4" s="138">
        <v>0</v>
      </c>
      <c r="X4" s="178" t="s">
        <v>1105</v>
      </c>
      <c r="Y4" s="137">
        <v>0</v>
      </c>
      <c r="Z4" s="137">
        <v>0</v>
      </c>
      <c r="AA4" s="138">
        <v>0</v>
      </c>
      <c r="AB4" s="178" t="s">
        <v>1105</v>
      </c>
      <c r="AC4" s="129"/>
      <c r="AD4" s="129"/>
      <c r="AE4" s="130"/>
    </row>
    <row r="5" spans="1:31">
      <c r="A5" s="36"/>
      <c r="B5" s="166"/>
      <c r="C5" s="35">
        <v>493</v>
      </c>
      <c r="D5" s="9"/>
      <c r="E5" s="9"/>
      <c r="F5" s="132" t="s">
        <v>520</v>
      </c>
      <c r="G5" s="132"/>
      <c r="H5" s="132"/>
      <c r="I5" s="132"/>
      <c r="J5" s="132"/>
      <c r="K5" s="132"/>
      <c r="L5" s="178">
        <v>1</v>
      </c>
      <c r="M5" s="137">
        <v>0</v>
      </c>
      <c r="N5" s="137">
        <v>0</v>
      </c>
      <c r="O5" s="138">
        <v>0</v>
      </c>
      <c r="P5" s="178">
        <v>1</v>
      </c>
      <c r="Q5" s="137">
        <v>0</v>
      </c>
      <c r="R5" s="137">
        <v>0</v>
      </c>
      <c r="S5" s="138">
        <v>0</v>
      </c>
      <c r="T5" s="178">
        <v>1</v>
      </c>
      <c r="U5" s="137">
        <v>0</v>
      </c>
      <c r="V5" s="137">
        <v>0</v>
      </c>
      <c r="W5" s="138">
        <v>0</v>
      </c>
      <c r="X5" s="178">
        <v>1</v>
      </c>
      <c r="Y5" s="137">
        <v>0</v>
      </c>
      <c r="Z5" s="137">
        <v>0</v>
      </c>
      <c r="AA5" s="138">
        <v>0</v>
      </c>
      <c r="AB5" s="178">
        <v>1</v>
      </c>
      <c r="AC5" s="129"/>
      <c r="AD5" s="129"/>
      <c r="AE5" s="130"/>
    </row>
    <row r="6" spans="1:31">
      <c r="A6" s="36"/>
      <c r="B6" s="166"/>
      <c r="C6" s="35">
        <v>403</v>
      </c>
      <c r="D6" s="9"/>
      <c r="E6" s="9"/>
      <c r="F6" s="132" t="s">
        <v>394</v>
      </c>
      <c r="G6" s="352"/>
      <c r="H6" s="132"/>
      <c r="I6" s="132"/>
      <c r="J6" s="132"/>
      <c r="K6" s="132"/>
      <c r="L6" s="178" t="s">
        <v>522</v>
      </c>
      <c r="M6" s="137">
        <v>0</v>
      </c>
      <c r="N6" s="137">
        <v>0</v>
      </c>
      <c r="O6" s="138">
        <v>0</v>
      </c>
      <c r="P6" s="178" t="s">
        <v>522</v>
      </c>
      <c r="Q6" s="137">
        <v>0</v>
      </c>
      <c r="R6" s="137">
        <v>0</v>
      </c>
      <c r="S6" s="138">
        <v>0</v>
      </c>
      <c r="T6" s="178" t="s">
        <v>522</v>
      </c>
      <c r="U6" s="137">
        <v>0</v>
      </c>
      <c r="V6" s="137">
        <v>0</v>
      </c>
      <c r="W6" s="138">
        <v>0</v>
      </c>
      <c r="X6" s="178" t="s">
        <v>522</v>
      </c>
      <c r="Y6" s="137">
        <v>0</v>
      </c>
      <c r="Z6" s="137">
        <v>0</v>
      </c>
      <c r="AA6" s="138">
        <v>0</v>
      </c>
      <c r="AB6" s="178" t="s">
        <v>522</v>
      </c>
      <c r="AC6" s="129"/>
      <c r="AD6" s="129"/>
      <c r="AE6" s="130"/>
    </row>
    <row r="7" spans="1:31" ht="24">
      <c r="A7" s="2" t="s">
        <v>1053</v>
      </c>
      <c r="B7" s="163" t="s">
        <v>524</v>
      </c>
      <c r="C7" s="151" t="s">
        <v>525</v>
      </c>
      <c r="D7" s="152" t="s">
        <v>526</v>
      </c>
      <c r="E7" s="153" t="s">
        <v>402</v>
      </c>
      <c r="F7" s="144" t="s">
        <v>70</v>
      </c>
      <c r="G7" s="125" t="s">
        <v>1105</v>
      </c>
      <c r="H7" s="164" t="s">
        <v>402</v>
      </c>
      <c r="I7" s="123" t="s">
        <v>402</v>
      </c>
      <c r="J7" s="124">
        <v>0</v>
      </c>
      <c r="K7" s="125" t="s">
        <v>678</v>
      </c>
      <c r="L7" s="165">
        <v>0.04</v>
      </c>
      <c r="M7" s="29">
        <v>1</v>
      </c>
      <c r="N7" s="1">
        <v>1.2849840792941758</v>
      </c>
      <c r="O7" s="139" t="s">
        <v>71</v>
      </c>
      <c r="P7" s="165">
        <v>0.04</v>
      </c>
      <c r="Q7" s="29">
        <v>1</v>
      </c>
      <c r="R7" s="1">
        <v>1.2849840792941758</v>
      </c>
      <c r="S7" s="139" t="s">
        <v>71</v>
      </c>
      <c r="T7" s="165">
        <v>1.02</v>
      </c>
      <c r="U7" s="29">
        <v>1</v>
      </c>
      <c r="V7" s="1">
        <v>1.2849840792941758</v>
      </c>
      <c r="W7" s="139" t="s">
        <v>71</v>
      </c>
      <c r="X7" s="165">
        <v>0.23</v>
      </c>
      <c r="Y7" s="29">
        <v>1</v>
      </c>
      <c r="Z7" s="1">
        <v>1.2849840792941758</v>
      </c>
      <c r="AA7" s="139" t="s">
        <v>71</v>
      </c>
      <c r="AB7" s="165">
        <v>0.23</v>
      </c>
      <c r="AC7" s="29">
        <v>1</v>
      </c>
      <c r="AD7" s="1">
        <v>1.2849840792941758</v>
      </c>
      <c r="AE7" s="31" t="s">
        <v>71</v>
      </c>
    </row>
    <row r="8" spans="1:31" ht="12.75">
      <c r="A8" s="156">
        <v>4804</v>
      </c>
      <c r="B8" s="163" t="s">
        <v>525</v>
      </c>
      <c r="C8" s="151" t="s">
        <v>525</v>
      </c>
      <c r="D8" s="152" t="s">
        <v>526</v>
      </c>
      <c r="E8" s="153" t="s">
        <v>402</v>
      </c>
      <c r="F8" s="144" t="s">
        <v>72</v>
      </c>
      <c r="G8" s="125" t="s">
        <v>521</v>
      </c>
      <c r="H8" s="164" t="s">
        <v>402</v>
      </c>
      <c r="I8" s="123" t="s">
        <v>402</v>
      </c>
      <c r="J8" s="124">
        <v>1</v>
      </c>
      <c r="K8" s="125" t="s">
        <v>522</v>
      </c>
      <c r="L8" s="165">
        <v>2.4</v>
      </c>
      <c r="M8" s="29">
        <v>1</v>
      </c>
      <c r="N8" s="1">
        <v>1.2354522921220721</v>
      </c>
      <c r="O8" s="139" t="s">
        <v>73</v>
      </c>
      <c r="P8" s="165">
        <v>2.4</v>
      </c>
      <c r="Q8" s="29">
        <v>1</v>
      </c>
      <c r="R8" s="1">
        <v>1.2354522921220721</v>
      </c>
      <c r="S8" s="139" t="s">
        <v>73</v>
      </c>
      <c r="T8" s="165">
        <v>2.4</v>
      </c>
      <c r="U8" s="29">
        <v>1</v>
      </c>
      <c r="V8" s="1">
        <v>1.2354522921220721</v>
      </c>
      <c r="W8" s="139" t="s">
        <v>73</v>
      </c>
      <c r="X8" s="165">
        <v>2.4</v>
      </c>
      <c r="Y8" s="29">
        <v>1</v>
      </c>
      <c r="Z8" s="1">
        <v>1.2354522921220721</v>
      </c>
      <c r="AA8" s="139" t="s">
        <v>73</v>
      </c>
      <c r="AB8" s="165">
        <v>2.4</v>
      </c>
      <c r="AC8" s="29">
        <v>1</v>
      </c>
      <c r="AD8" s="1">
        <v>1.2354522921220721</v>
      </c>
      <c r="AE8" s="31" t="s">
        <v>73</v>
      </c>
    </row>
    <row r="9" spans="1:31" ht="12.75">
      <c r="A9" s="156">
        <v>1484</v>
      </c>
      <c r="B9" s="163"/>
      <c r="C9" s="151" t="s">
        <v>525</v>
      </c>
      <c r="D9" s="152" t="s">
        <v>526</v>
      </c>
      <c r="E9" s="153" t="s">
        <v>402</v>
      </c>
      <c r="F9" s="144" t="s">
        <v>74</v>
      </c>
      <c r="G9" s="125" t="s">
        <v>393</v>
      </c>
      <c r="H9" s="164" t="s">
        <v>402</v>
      </c>
      <c r="I9" s="123" t="s">
        <v>402</v>
      </c>
      <c r="J9" s="124">
        <v>1</v>
      </c>
      <c r="K9" s="125" t="s">
        <v>522</v>
      </c>
      <c r="L9" s="165">
        <v>1</v>
      </c>
      <c r="M9" s="29">
        <v>1</v>
      </c>
      <c r="N9" s="1">
        <v>2.0865051432908035</v>
      </c>
      <c r="O9" s="139" t="s">
        <v>75</v>
      </c>
      <c r="P9" s="165">
        <v>1</v>
      </c>
      <c r="Q9" s="29">
        <v>1</v>
      </c>
      <c r="R9" s="1">
        <v>2.0865051432908035</v>
      </c>
      <c r="S9" s="139" t="s">
        <v>75</v>
      </c>
      <c r="T9" s="165">
        <v>1</v>
      </c>
      <c r="U9" s="29">
        <v>1</v>
      </c>
      <c r="V9" s="1">
        <v>2.0865051432908035</v>
      </c>
      <c r="W9" s="139" t="s">
        <v>75</v>
      </c>
      <c r="X9" s="165">
        <v>1</v>
      </c>
      <c r="Y9" s="29">
        <v>1</v>
      </c>
      <c r="Z9" s="1">
        <v>2.0865051432908035</v>
      </c>
      <c r="AA9" s="139" t="s">
        <v>75</v>
      </c>
      <c r="AB9" s="165">
        <v>1</v>
      </c>
      <c r="AC9" s="29">
        <v>1</v>
      </c>
      <c r="AD9" s="1">
        <v>2.0865051432908035</v>
      </c>
      <c r="AE9" s="31" t="s">
        <v>75</v>
      </c>
    </row>
    <row r="10" spans="1:31" ht="12.75">
      <c r="A10" s="156">
        <v>1489</v>
      </c>
      <c r="B10" s="163" t="s">
        <v>525</v>
      </c>
      <c r="C10" s="151" t="s">
        <v>525</v>
      </c>
      <c r="D10" s="152" t="s">
        <v>526</v>
      </c>
      <c r="E10" s="153" t="s">
        <v>402</v>
      </c>
      <c r="F10" s="144" t="s">
        <v>52</v>
      </c>
      <c r="G10" s="125" t="s">
        <v>521</v>
      </c>
      <c r="H10" s="164" t="s">
        <v>402</v>
      </c>
      <c r="I10" s="123" t="s">
        <v>402</v>
      </c>
      <c r="J10" s="124">
        <v>1</v>
      </c>
      <c r="K10" s="125" t="s">
        <v>396</v>
      </c>
      <c r="L10" s="165">
        <v>0</v>
      </c>
      <c r="M10" s="29">
        <v>1</v>
      </c>
      <c r="N10" s="1">
        <v>1.2284225230179247</v>
      </c>
      <c r="O10" s="139" t="s">
        <v>76</v>
      </c>
      <c r="P10" s="165">
        <v>20.408163265306122</v>
      </c>
      <c r="Q10" s="29">
        <v>1</v>
      </c>
      <c r="R10" s="1">
        <v>1.2284225230179247</v>
      </c>
      <c r="S10" s="139" t="s">
        <v>76</v>
      </c>
      <c r="T10" s="165">
        <v>0</v>
      </c>
      <c r="U10" s="29">
        <v>1</v>
      </c>
      <c r="V10" s="1">
        <v>1.2284225230179247</v>
      </c>
      <c r="W10" s="139" t="s">
        <v>76</v>
      </c>
      <c r="X10" s="165">
        <v>0</v>
      </c>
      <c r="Y10" s="29">
        <v>1</v>
      </c>
      <c r="Z10" s="1">
        <v>1.2284225230179247</v>
      </c>
      <c r="AA10" s="139" t="s">
        <v>76</v>
      </c>
      <c r="AB10" s="165">
        <v>0</v>
      </c>
      <c r="AC10" s="29">
        <v>1</v>
      </c>
      <c r="AD10" s="1">
        <v>1.2284225230179247</v>
      </c>
      <c r="AE10" s="31" t="s">
        <v>76</v>
      </c>
    </row>
    <row r="11" spans="1:31" ht="12.75">
      <c r="A11" s="156">
        <v>1490</v>
      </c>
      <c r="B11" s="163" t="s">
        <v>525</v>
      </c>
      <c r="C11" s="151" t="s">
        <v>525</v>
      </c>
      <c r="D11" s="152" t="s">
        <v>526</v>
      </c>
      <c r="E11" s="153" t="s">
        <v>402</v>
      </c>
      <c r="F11" s="144" t="s">
        <v>53</v>
      </c>
      <c r="G11" s="125" t="s">
        <v>521</v>
      </c>
      <c r="H11" s="164" t="s">
        <v>402</v>
      </c>
      <c r="I11" s="123" t="s">
        <v>402</v>
      </c>
      <c r="J11" s="124">
        <v>1</v>
      </c>
      <c r="K11" s="125" t="s">
        <v>396</v>
      </c>
      <c r="L11" s="165">
        <v>20.408163265306122</v>
      </c>
      <c r="M11" s="29">
        <v>1</v>
      </c>
      <c r="N11" s="1">
        <v>1.2284225230179247</v>
      </c>
      <c r="O11" s="139" t="s">
        <v>76</v>
      </c>
      <c r="P11" s="165">
        <v>0</v>
      </c>
      <c r="Q11" s="29">
        <v>1</v>
      </c>
      <c r="R11" s="1">
        <v>1.2284225230179247</v>
      </c>
      <c r="S11" s="139" t="s">
        <v>76</v>
      </c>
      <c r="T11" s="165">
        <v>0</v>
      </c>
      <c r="U11" s="29">
        <v>1</v>
      </c>
      <c r="V11" s="1">
        <v>1.2284225230179247</v>
      </c>
      <c r="W11" s="139" t="s">
        <v>76</v>
      </c>
      <c r="X11" s="165">
        <v>0</v>
      </c>
      <c r="Y11" s="29">
        <v>1</v>
      </c>
      <c r="Z11" s="1">
        <v>1.2284225230179247</v>
      </c>
      <c r="AA11" s="139" t="s">
        <v>76</v>
      </c>
      <c r="AB11" s="165">
        <v>0</v>
      </c>
      <c r="AC11" s="29">
        <v>1</v>
      </c>
      <c r="AD11" s="1">
        <v>1.2284225230179247</v>
      </c>
      <c r="AE11" s="31" t="s">
        <v>76</v>
      </c>
    </row>
    <row r="12" spans="1:31" ht="12.75">
      <c r="A12" s="156">
        <v>1491</v>
      </c>
      <c r="B12" s="163" t="s">
        <v>525</v>
      </c>
      <c r="C12" s="151" t="s">
        <v>525</v>
      </c>
      <c r="D12" s="152" t="s">
        <v>526</v>
      </c>
      <c r="E12" s="153" t="s">
        <v>402</v>
      </c>
      <c r="F12" s="144" t="s">
        <v>663</v>
      </c>
      <c r="G12" s="125" t="s">
        <v>521</v>
      </c>
      <c r="H12" s="164" t="s">
        <v>402</v>
      </c>
      <c r="I12" s="123" t="s">
        <v>402</v>
      </c>
      <c r="J12" s="124">
        <v>1</v>
      </c>
      <c r="K12" s="125" t="s">
        <v>396</v>
      </c>
      <c r="L12" s="165">
        <v>0</v>
      </c>
      <c r="M12" s="29">
        <v>1</v>
      </c>
      <c r="N12" s="1">
        <v>1.2284225230179247</v>
      </c>
      <c r="O12" s="139" t="s">
        <v>76</v>
      </c>
      <c r="P12" s="165">
        <v>0</v>
      </c>
      <c r="Q12" s="29">
        <v>1</v>
      </c>
      <c r="R12" s="1">
        <v>1.2284225230179247</v>
      </c>
      <c r="S12" s="139" t="s">
        <v>76</v>
      </c>
      <c r="T12" s="165">
        <v>20.408163265306122</v>
      </c>
      <c r="U12" s="29">
        <v>1</v>
      </c>
      <c r="V12" s="1">
        <v>1.2284225230179247</v>
      </c>
      <c r="W12" s="139" t="s">
        <v>76</v>
      </c>
      <c r="X12" s="165">
        <v>0</v>
      </c>
      <c r="Y12" s="29">
        <v>1</v>
      </c>
      <c r="Z12" s="1">
        <v>1.2284225230179247</v>
      </c>
      <c r="AA12" s="139" t="s">
        <v>76</v>
      </c>
      <c r="AB12" s="165">
        <v>0</v>
      </c>
      <c r="AC12" s="29">
        <v>1</v>
      </c>
      <c r="AD12" s="1">
        <v>1.2284225230179247</v>
      </c>
      <c r="AE12" s="31" t="s">
        <v>76</v>
      </c>
    </row>
    <row r="13" spans="1:31" ht="12.75">
      <c r="A13" s="156">
        <v>1645</v>
      </c>
      <c r="B13" s="163" t="s">
        <v>525</v>
      </c>
      <c r="C13" s="151" t="s">
        <v>525</v>
      </c>
      <c r="D13" s="152" t="s">
        <v>526</v>
      </c>
      <c r="E13" s="153" t="s">
        <v>402</v>
      </c>
      <c r="F13" s="144" t="s">
        <v>664</v>
      </c>
      <c r="G13" s="125" t="s">
        <v>521</v>
      </c>
      <c r="H13" s="164" t="s">
        <v>402</v>
      </c>
      <c r="I13" s="123" t="s">
        <v>402</v>
      </c>
      <c r="J13" s="124">
        <v>1</v>
      </c>
      <c r="K13" s="125" t="s">
        <v>396</v>
      </c>
      <c r="L13" s="165">
        <v>0</v>
      </c>
      <c r="M13" s="29">
        <v>1</v>
      </c>
      <c r="N13" s="1">
        <v>1.2284225230179247</v>
      </c>
      <c r="O13" s="139" t="s">
        <v>76</v>
      </c>
      <c r="P13" s="165">
        <v>0</v>
      </c>
      <c r="Q13" s="29">
        <v>1</v>
      </c>
      <c r="R13" s="1">
        <v>1.2284225230179247</v>
      </c>
      <c r="S13" s="139" t="s">
        <v>76</v>
      </c>
      <c r="T13" s="165">
        <v>0</v>
      </c>
      <c r="U13" s="29">
        <v>1</v>
      </c>
      <c r="V13" s="1">
        <v>1.2284225230179247</v>
      </c>
      <c r="W13" s="139" t="s">
        <v>76</v>
      </c>
      <c r="X13" s="165">
        <v>0</v>
      </c>
      <c r="Y13" s="29">
        <v>1</v>
      </c>
      <c r="Z13" s="1">
        <v>1.2284225230179247</v>
      </c>
      <c r="AA13" s="139" t="s">
        <v>76</v>
      </c>
      <c r="AB13" s="165">
        <v>20.408163265306122</v>
      </c>
      <c r="AC13" s="29">
        <v>1</v>
      </c>
      <c r="AD13" s="1">
        <v>1.2284225230179247</v>
      </c>
      <c r="AE13" s="31" t="s">
        <v>76</v>
      </c>
    </row>
    <row r="14" spans="1:31" ht="12.75">
      <c r="A14" s="156">
        <v>1646</v>
      </c>
      <c r="B14" s="163" t="s">
        <v>525</v>
      </c>
      <c r="C14" s="151" t="s">
        <v>525</v>
      </c>
      <c r="D14" s="152" t="s">
        <v>526</v>
      </c>
      <c r="E14" s="153" t="s">
        <v>402</v>
      </c>
      <c r="F14" s="144" t="s">
        <v>665</v>
      </c>
      <c r="G14" s="125" t="s">
        <v>521</v>
      </c>
      <c r="H14" s="164" t="s">
        <v>402</v>
      </c>
      <c r="I14" s="123" t="s">
        <v>402</v>
      </c>
      <c r="J14" s="124">
        <v>1</v>
      </c>
      <c r="K14" s="125" t="s">
        <v>396</v>
      </c>
      <c r="L14" s="165">
        <v>0</v>
      </c>
      <c r="M14" s="29">
        <v>1</v>
      </c>
      <c r="N14" s="1">
        <v>1.2284225230179247</v>
      </c>
      <c r="O14" s="139" t="s">
        <v>76</v>
      </c>
      <c r="P14" s="165">
        <v>0</v>
      </c>
      <c r="Q14" s="29">
        <v>1</v>
      </c>
      <c r="R14" s="1">
        <v>1.2284225230179247</v>
      </c>
      <c r="S14" s="139" t="s">
        <v>76</v>
      </c>
      <c r="T14" s="165">
        <v>0</v>
      </c>
      <c r="U14" s="29">
        <v>1</v>
      </c>
      <c r="V14" s="1">
        <v>1.2284225230179247</v>
      </c>
      <c r="W14" s="139" t="s">
        <v>76</v>
      </c>
      <c r="X14" s="165">
        <v>20.408163265306122</v>
      </c>
      <c r="Y14" s="29">
        <v>1</v>
      </c>
      <c r="Z14" s="1">
        <v>1.2284225230179247</v>
      </c>
      <c r="AA14" s="139" t="s">
        <v>76</v>
      </c>
      <c r="AB14" s="165">
        <v>0</v>
      </c>
      <c r="AC14" s="29">
        <v>1</v>
      </c>
      <c r="AD14" s="1">
        <v>1.2284225230179247</v>
      </c>
      <c r="AE14" s="31" t="s">
        <v>76</v>
      </c>
    </row>
    <row r="15" spans="1:31" ht="24">
      <c r="A15" s="614" t="s">
        <v>780</v>
      </c>
      <c r="B15" s="163" t="s">
        <v>525</v>
      </c>
      <c r="C15" s="151" t="s">
        <v>525</v>
      </c>
      <c r="D15" s="152" t="s">
        <v>526</v>
      </c>
      <c r="E15" s="153" t="s">
        <v>402</v>
      </c>
      <c r="F15" s="144" t="s">
        <v>1296</v>
      </c>
      <c r="G15" s="125" t="s">
        <v>1105</v>
      </c>
      <c r="H15" s="164" t="s">
        <v>402</v>
      </c>
      <c r="I15" s="123" t="s">
        <v>402</v>
      </c>
      <c r="J15" s="124">
        <v>1</v>
      </c>
      <c r="K15" s="125" t="s">
        <v>396</v>
      </c>
      <c r="L15" s="165">
        <v>21.020408163265305</v>
      </c>
      <c r="M15" s="29">
        <v>1</v>
      </c>
      <c r="N15" s="1">
        <v>1.3582005896413567</v>
      </c>
      <c r="O15" s="139" t="s">
        <v>78</v>
      </c>
      <c r="P15" s="165">
        <v>0</v>
      </c>
      <c r="Q15" s="29">
        <v>1</v>
      </c>
      <c r="R15" s="1">
        <v>1.3582005896413567</v>
      </c>
      <c r="S15" s="139" t="s">
        <v>78</v>
      </c>
      <c r="T15" s="165">
        <v>0</v>
      </c>
      <c r="U15" s="29">
        <v>1</v>
      </c>
      <c r="V15" s="1">
        <v>1.3582005896413567</v>
      </c>
      <c r="W15" s="139" t="s">
        <v>78</v>
      </c>
      <c r="X15" s="165">
        <v>21.020408163265305</v>
      </c>
      <c r="Y15" s="29">
        <v>1</v>
      </c>
      <c r="Z15" s="1">
        <v>1.3582005896413567</v>
      </c>
      <c r="AA15" s="139" t="s">
        <v>78</v>
      </c>
      <c r="AB15" s="165">
        <v>0</v>
      </c>
      <c r="AC15" s="29">
        <v>1</v>
      </c>
      <c r="AD15" s="1">
        <v>1.3582005896413567</v>
      </c>
      <c r="AE15" s="31" t="s">
        <v>78</v>
      </c>
    </row>
    <row r="16" spans="1:31" ht="24">
      <c r="A16" s="614" t="s">
        <v>762</v>
      </c>
      <c r="B16" s="163" t="s">
        <v>525</v>
      </c>
      <c r="C16" s="151" t="s">
        <v>525</v>
      </c>
      <c r="D16" s="152" t="s">
        <v>526</v>
      </c>
      <c r="E16" s="153" t="s">
        <v>402</v>
      </c>
      <c r="F16" s="144" t="s">
        <v>1123</v>
      </c>
      <c r="G16" s="125" t="s">
        <v>1105</v>
      </c>
      <c r="H16" s="164" t="s">
        <v>402</v>
      </c>
      <c r="I16" s="123" t="s">
        <v>402</v>
      </c>
      <c r="J16" s="124">
        <v>1</v>
      </c>
      <c r="K16" s="125" t="s">
        <v>396</v>
      </c>
      <c r="L16" s="165">
        <v>0</v>
      </c>
      <c r="M16" s="29">
        <v>1</v>
      </c>
      <c r="N16" s="1">
        <v>1.3582005896413567</v>
      </c>
      <c r="O16" s="139" t="s">
        <v>78</v>
      </c>
      <c r="P16" s="165">
        <v>21.020408163265305</v>
      </c>
      <c r="Q16" s="29">
        <v>1</v>
      </c>
      <c r="R16" s="1">
        <v>1.3582005896413567</v>
      </c>
      <c r="S16" s="139" t="s">
        <v>78</v>
      </c>
      <c r="T16" s="165">
        <v>21.020408163265305</v>
      </c>
      <c r="U16" s="29">
        <v>1</v>
      </c>
      <c r="V16" s="1">
        <v>1.3582005896413567</v>
      </c>
      <c r="W16" s="139" t="s">
        <v>78</v>
      </c>
      <c r="X16" s="165">
        <v>0</v>
      </c>
      <c r="Y16" s="29">
        <v>1</v>
      </c>
      <c r="Z16" s="1">
        <v>1.3582005896413567</v>
      </c>
      <c r="AA16" s="139" t="s">
        <v>78</v>
      </c>
      <c r="AB16" s="165">
        <v>21.020408163265305</v>
      </c>
      <c r="AC16" s="29">
        <v>1</v>
      </c>
      <c r="AD16" s="1">
        <v>1.3582005896413567</v>
      </c>
      <c r="AE16" s="31" t="s">
        <v>78</v>
      </c>
    </row>
    <row r="17" spans="1:31" ht="12.75">
      <c r="A17" s="157">
        <v>1802</v>
      </c>
      <c r="B17" s="163" t="s">
        <v>525</v>
      </c>
      <c r="C17" s="151" t="s">
        <v>525</v>
      </c>
      <c r="D17" s="152" t="s">
        <v>526</v>
      </c>
      <c r="E17" s="153" t="s">
        <v>402</v>
      </c>
      <c r="F17" s="144" t="s">
        <v>80</v>
      </c>
      <c r="G17" s="125" t="s">
        <v>393</v>
      </c>
      <c r="H17" s="164" t="s">
        <v>402</v>
      </c>
      <c r="I17" s="123" t="s">
        <v>402</v>
      </c>
      <c r="J17" s="124">
        <v>0</v>
      </c>
      <c r="K17" s="125" t="s">
        <v>81</v>
      </c>
      <c r="L17" s="165">
        <v>0</v>
      </c>
      <c r="M17" s="29">
        <v>1</v>
      </c>
      <c r="N17" s="1">
        <v>2.0865051432908035</v>
      </c>
      <c r="O17" s="139" t="s">
        <v>82</v>
      </c>
      <c r="P17" s="165">
        <v>0</v>
      </c>
      <c r="Q17" s="29">
        <v>1</v>
      </c>
      <c r="R17" s="1">
        <v>2.0865051432908035</v>
      </c>
      <c r="S17" s="139" t="s">
        <v>82</v>
      </c>
      <c r="T17" s="165">
        <v>80</v>
      </c>
      <c r="U17" s="29">
        <v>1</v>
      </c>
      <c r="V17" s="1">
        <v>2.0865051432908035</v>
      </c>
      <c r="W17" s="139" t="s">
        <v>82</v>
      </c>
      <c r="X17" s="165">
        <v>0</v>
      </c>
      <c r="Y17" s="29">
        <v>1</v>
      </c>
      <c r="Z17" s="1">
        <v>2.0865051432908035</v>
      </c>
      <c r="AA17" s="139" t="s">
        <v>82</v>
      </c>
      <c r="AB17" s="165">
        <v>0</v>
      </c>
      <c r="AC17" s="29">
        <v>1</v>
      </c>
      <c r="AD17" s="1">
        <v>2.0865051432908035</v>
      </c>
      <c r="AE17" s="31" t="s">
        <v>82</v>
      </c>
    </row>
    <row r="18" spans="1:31" ht="24">
      <c r="A18" s="157">
        <v>2988</v>
      </c>
      <c r="B18" s="163" t="s">
        <v>525</v>
      </c>
      <c r="C18" s="151" t="s">
        <v>525</v>
      </c>
      <c r="D18" s="152" t="s">
        <v>526</v>
      </c>
      <c r="E18" s="153" t="s">
        <v>402</v>
      </c>
      <c r="F18" s="144" t="s">
        <v>63</v>
      </c>
      <c r="G18" s="125" t="s">
        <v>393</v>
      </c>
      <c r="H18" s="164" t="s">
        <v>402</v>
      </c>
      <c r="I18" s="123" t="s">
        <v>402</v>
      </c>
      <c r="J18" s="124">
        <v>0</v>
      </c>
      <c r="K18" s="125" t="s">
        <v>397</v>
      </c>
      <c r="L18" s="165">
        <v>48.884752176699742</v>
      </c>
      <c r="M18" s="29">
        <v>1</v>
      </c>
      <c r="N18" s="1">
        <v>2.0865051432908035</v>
      </c>
      <c r="O18" s="139" t="s">
        <v>83</v>
      </c>
      <c r="P18" s="165">
        <v>53.35158891139362</v>
      </c>
      <c r="Q18" s="29">
        <v>1</v>
      </c>
      <c r="R18" s="1">
        <v>2.0865051432908035</v>
      </c>
      <c r="S18" s="139" t="s">
        <v>83</v>
      </c>
      <c r="T18" s="165">
        <v>53.35158891139362</v>
      </c>
      <c r="U18" s="29">
        <v>1</v>
      </c>
      <c r="V18" s="1">
        <v>2.0865051432908035</v>
      </c>
      <c r="W18" s="139" t="s">
        <v>83</v>
      </c>
      <c r="X18" s="165">
        <v>48.884752176699742</v>
      </c>
      <c r="Y18" s="29">
        <v>1</v>
      </c>
      <c r="Z18" s="1">
        <v>2.0865051432908035</v>
      </c>
      <c r="AA18" s="139" t="s">
        <v>83</v>
      </c>
      <c r="AB18" s="165">
        <v>53.35158891139362</v>
      </c>
      <c r="AC18" s="29">
        <v>1</v>
      </c>
      <c r="AD18" s="1">
        <v>2.0865051432908035</v>
      </c>
      <c r="AE18" s="31" t="s">
        <v>83</v>
      </c>
    </row>
    <row r="19" spans="1:31" ht="24">
      <c r="A19" s="2">
        <v>2987</v>
      </c>
      <c r="B19" s="163" t="s">
        <v>525</v>
      </c>
      <c r="C19" s="151" t="s">
        <v>525</v>
      </c>
      <c r="D19" s="152" t="s">
        <v>526</v>
      </c>
      <c r="E19" s="153" t="s">
        <v>402</v>
      </c>
      <c r="F19" s="144" t="s">
        <v>59</v>
      </c>
      <c r="G19" s="125" t="s">
        <v>521</v>
      </c>
      <c r="H19" s="164" t="s">
        <v>402</v>
      </c>
      <c r="I19" s="123" t="s">
        <v>402</v>
      </c>
      <c r="J19" s="124">
        <v>0</v>
      </c>
      <c r="K19" s="125" t="s">
        <v>397</v>
      </c>
      <c r="L19" s="165">
        <v>205.91776088349869</v>
      </c>
      <c r="M19" s="29">
        <v>1</v>
      </c>
      <c r="N19" s="1">
        <v>2.0865051432908035</v>
      </c>
      <c r="O19" s="139" t="s">
        <v>84</v>
      </c>
      <c r="P19" s="165">
        <v>228.25194455696808</v>
      </c>
      <c r="Q19" s="29">
        <v>1</v>
      </c>
      <c r="R19" s="1">
        <v>2.0865051432908035</v>
      </c>
      <c r="S19" s="139" t="s">
        <v>84</v>
      </c>
      <c r="T19" s="165">
        <v>228.25194455696808</v>
      </c>
      <c r="U19" s="29">
        <v>1</v>
      </c>
      <c r="V19" s="1">
        <v>2.0865051432908035</v>
      </c>
      <c r="W19" s="139" t="s">
        <v>84</v>
      </c>
      <c r="X19" s="165">
        <v>205.91776088349869</v>
      </c>
      <c r="Y19" s="29">
        <v>1</v>
      </c>
      <c r="Z19" s="1">
        <v>2.0865051432908035</v>
      </c>
      <c r="AA19" s="139" t="s">
        <v>84</v>
      </c>
      <c r="AB19" s="165">
        <v>228.25194455696808</v>
      </c>
      <c r="AC19" s="29">
        <v>1</v>
      </c>
      <c r="AD19" s="1">
        <v>2.0865051432908035</v>
      </c>
      <c r="AE19" s="31" t="s">
        <v>84</v>
      </c>
    </row>
    <row r="20" spans="1:31" ht="12.75">
      <c r="A20" s="156">
        <v>1824</v>
      </c>
      <c r="B20" s="163" t="s">
        <v>525</v>
      </c>
      <c r="C20" s="151" t="s">
        <v>525</v>
      </c>
      <c r="D20" s="152" t="s">
        <v>526</v>
      </c>
      <c r="E20" s="153" t="s">
        <v>402</v>
      </c>
      <c r="F20" s="144" t="s">
        <v>85</v>
      </c>
      <c r="G20" s="125" t="s">
        <v>86</v>
      </c>
      <c r="H20" s="164" t="s">
        <v>402</v>
      </c>
      <c r="I20" s="123" t="s">
        <v>402</v>
      </c>
      <c r="J20" s="124">
        <v>0</v>
      </c>
      <c r="K20" s="125" t="s">
        <v>397</v>
      </c>
      <c r="L20" s="165">
        <v>0</v>
      </c>
      <c r="M20" s="29">
        <v>1</v>
      </c>
      <c r="N20" s="1">
        <v>2.0865051432908035</v>
      </c>
      <c r="O20" s="139" t="s">
        <v>1672</v>
      </c>
      <c r="P20" s="165">
        <v>0</v>
      </c>
      <c r="Q20" s="29">
        <v>1</v>
      </c>
      <c r="R20" s="1">
        <v>2.0865051432908035</v>
      </c>
      <c r="S20" s="139" t="s">
        <v>1672</v>
      </c>
      <c r="T20" s="165">
        <v>0</v>
      </c>
      <c r="U20" s="29">
        <v>1</v>
      </c>
      <c r="V20" s="1">
        <v>2.0865051432908035</v>
      </c>
      <c r="W20" s="139" t="s">
        <v>1672</v>
      </c>
      <c r="X20" s="165">
        <v>0</v>
      </c>
      <c r="Y20" s="29">
        <v>1</v>
      </c>
      <c r="Z20" s="1">
        <v>2.0865051432908035</v>
      </c>
      <c r="AA20" s="139" t="s">
        <v>1672</v>
      </c>
      <c r="AB20" s="165">
        <v>0</v>
      </c>
      <c r="AC20" s="29">
        <v>1</v>
      </c>
      <c r="AD20" s="1">
        <v>2.0865051432908035</v>
      </c>
      <c r="AE20" s="31" t="s">
        <v>1672</v>
      </c>
    </row>
    <row r="21" spans="1:31" ht="12.75">
      <c r="A21" s="214">
        <v>490</v>
      </c>
      <c r="B21" s="296" t="s">
        <v>692</v>
      </c>
      <c r="C21" s="169" t="s">
        <v>525</v>
      </c>
      <c r="D21" s="11" t="s">
        <v>402</v>
      </c>
      <c r="E21" s="170" t="s">
        <v>527</v>
      </c>
      <c r="F21" s="144" t="s">
        <v>324</v>
      </c>
      <c r="G21" s="125" t="s">
        <v>402</v>
      </c>
      <c r="H21" s="164" t="s">
        <v>325</v>
      </c>
      <c r="I21" s="123" t="s">
        <v>685</v>
      </c>
      <c r="J21" s="124" t="s">
        <v>402</v>
      </c>
      <c r="K21" s="125" t="s">
        <v>677</v>
      </c>
      <c r="L21" s="165">
        <v>0.14400000000000002</v>
      </c>
      <c r="M21" s="29">
        <v>1</v>
      </c>
      <c r="N21" s="1">
        <v>1.2849840792941758</v>
      </c>
      <c r="O21" s="139" t="s">
        <v>88</v>
      </c>
      <c r="P21" s="165">
        <v>0.14400000000000002</v>
      </c>
      <c r="Q21" s="29">
        <v>1</v>
      </c>
      <c r="R21" s="1">
        <v>1.2849840792941758</v>
      </c>
      <c r="S21" s="139" t="s">
        <v>88</v>
      </c>
      <c r="T21" s="165">
        <v>3.6720000000000002</v>
      </c>
      <c r="U21" s="29">
        <v>1</v>
      </c>
      <c r="V21" s="1">
        <v>1.2849840792941758</v>
      </c>
      <c r="W21" s="139" t="s">
        <v>88</v>
      </c>
      <c r="X21" s="165">
        <v>0.82800000000000007</v>
      </c>
      <c r="Y21" s="29">
        <v>1</v>
      </c>
      <c r="Z21" s="1">
        <v>1.2849840792941758</v>
      </c>
      <c r="AA21" s="139" t="s">
        <v>88</v>
      </c>
      <c r="AB21" s="165">
        <v>0.82800000000000007</v>
      </c>
      <c r="AC21" s="29">
        <v>1</v>
      </c>
      <c r="AD21" s="1">
        <v>1.2849840792941758</v>
      </c>
      <c r="AE21" s="31" t="s">
        <v>88</v>
      </c>
    </row>
    <row r="22" spans="1:31" ht="24">
      <c r="A22" s="6" t="s">
        <v>1045</v>
      </c>
      <c r="B22" s="168" t="s">
        <v>523</v>
      </c>
      <c r="C22" s="169"/>
      <c r="D22" s="11" t="s">
        <v>402</v>
      </c>
      <c r="E22" s="170">
        <v>0</v>
      </c>
      <c r="F22" s="145" t="s">
        <v>123</v>
      </c>
      <c r="G22" s="16" t="s">
        <v>1105</v>
      </c>
      <c r="H22" s="14" t="s">
        <v>402</v>
      </c>
      <c r="I22" s="14" t="s">
        <v>402</v>
      </c>
      <c r="J22" s="15">
        <v>1</v>
      </c>
      <c r="K22" s="16" t="s">
        <v>522</v>
      </c>
      <c r="L22" s="149">
        <v>1</v>
      </c>
      <c r="M22" s="40"/>
      <c r="N22" s="89"/>
      <c r="O22" s="202"/>
      <c r="P22" s="149">
        <v>0</v>
      </c>
      <c r="Q22" s="40"/>
      <c r="R22" s="89"/>
      <c r="S22" s="202"/>
      <c r="T22" s="149">
        <v>0</v>
      </c>
      <c r="U22" s="40"/>
      <c r="V22" s="89"/>
      <c r="W22" s="202"/>
      <c r="X22" s="149">
        <v>0</v>
      </c>
      <c r="Y22" s="40"/>
      <c r="Z22" s="89"/>
      <c r="AA22" s="202"/>
      <c r="AB22" s="149">
        <v>0</v>
      </c>
      <c r="AC22" s="40"/>
      <c r="AD22" s="89"/>
      <c r="AE22" s="193"/>
    </row>
    <row r="23" spans="1:31" ht="24">
      <c r="A23" s="6" t="s">
        <v>1046</v>
      </c>
      <c r="B23" s="168"/>
      <c r="C23" s="169"/>
      <c r="D23" s="11" t="s">
        <v>402</v>
      </c>
      <c r="E23" s="170">
        <v>0</v>
      </c>
      <c r="F23" s="145" t="s">
        <v>124</v>
      </c>
      <c r="G23" s="16" t="s">
        <v>1105</v>
      </c>
      <c r="H23" s="14" t="s">
        <v>402</v>
      </c>
      <c r="I23" s="14" t="s">
        <v>402</v>
      </c>
      <c r="J23" s="15">
        <v>1</v>
      </c>
      <c r="K23" s="16" t="s">
        <v>522</v>
      </c>
      <c r="L23" s="149">
        <v>0</v>
      </c>
      <c r="M23" s="40"/>
      <c r="N23" s="89"/>
      <c r="O23" s="202"/>
      <c r="P23" s="149">
        <v>1</v>
      </c>
      <c r="Q23" s="40"/>
      <c r="R23" s="89"/>
      <c r="S23" s="202"/>
      <c r="T23" s="149">
        <v>0</v>
      </c>
      <c r="U23" s="40"/>
      <c r="V23" s="89"/>
      <c r="W23" s="202"/>
      <c r="X23" s="149">
        <v>0</v>
      </c>
      <c r="Y23" s="40"/>
      <c r="Z23" s="89"/>
      <c r="AA23" s="202"/>
      <c r="AB23" s="149">
        <v>0</v>
      </c>
      <c r="AC23" s="40"/>
      <c r="AD23" s="89"/>
      <c r="AE23" s="193"/>
    </row>
    <row r="24" spans="1:31">
      <c r="A24" s="6" t="s">
        <v>1047</v>
      </c>
      <c r="B24" s="168"/>
      <c r="C24" s="169"/>
      <c r="D24" s="11" t="s">
        <v>402</v>
      </c>
      <c r="E24" s="170">
        <v>0</v>
      </c>
      <c r="F24" s="145" t="s">
        <v>126</v>
      </c>
      <c r="G24" s="16" t="s">
        <v>1105</v>
      </c>
      <c r="H24" s="14" t="s">
        <v>402</v>
      </c>
      <c r="I24" s="14" t="s">
        <v>402</v>
      </c>
      <c r="J24" s="15">
        <v>1</v>
      </c>
      <c r="K24" s="16" t="s">
        <v>522</v>
      </c>
      <c r="L24" s="149">
        <v>0</v>
      </c>
      <c r="M24" s="40"/>
      <c r="N24" s="89"/>
      <c r="O24" s="202"/>
      <c r="P24" s="149">
        <v>0</v>
      </c>
      <c r="Q24" s="40"/>
      <c r="R24" s="89"/>
      <c r="S24" s="202"/>
      <c r="T24" s="149">
        <v>1</v>
      </c>
      <c r="U24" s="40"/>
      <c r="V24" s="89"/>
      <c r="W24" s="202"/>
      <c r="X24" s="149">
        <v>0</v>
      </c>
      <c r="Y24" s="40"/>
      <c r="Z24" s="89"/>
      <c r="AA24" s="202"/>
      <c r="AB24" s="149">
        <v>0</v>
      </c>
      <c r="AC24" s="40"/>
      <c r="AD24" s="89"/>
      <c r="AE24" s="193"/>
    </row>
    <row r="25" spans="1:31" ht="24">
      <c r="A25" s="6" t="s">
        <v>1048</v>
      </c>
      <c r="B25" s="168"/>
      <c r="C25" s="169"/>
      <c r="D25" s="11" t="s">
        <v>402</v>
      </c>
      <c r="E25" s="170">
        <v>0</v>
      </c>
      <c r="F25" s="145" t="s">
        <v>129</v>
      </c>
      <c r="G25" s="16" t="s">
        <v>1105</v>
      </c>
      <c r="H25" s="14" t="s">
        <v>402</v>
      </c>
      <c r="I25" s="14" t="s">
        <v>402</v>
      </c>
      <c r="J25" s="15">
        <v>1</v>
      </c>
      <c r="K25" s="16" t="s">
        <v>522</v>
      </c>
      <c r="L25" s="149">
        <v>0</v>
      </c>
      <c r="M25" s="40"/>
      <c r="N25" s="89"/>
      <c r="O25" s="202"/>
      <c r="P25" s="149">
        <v>0</v>
      </c>
      <c r="Q25" s="40"/>
      <c r="R25" s="89"/>
      <c r="S25" s="202"/>
      <c r="T25" s="149">
        <v>0</v>
      </c>
      <c r="U25" s="40"/>
      <c r="V25" s="89"/>
      <c r="W25" s="202"/>
      <c r="X25" s="149">
        <v>1</v>
      </c>
      <c r="Y25" s="40"/>
      <c r="Z25" s="89"/>
      <c r="AA25" s="202"/>
      <c r="AB25" s="149">
        <v>0</v>
      </c>
      <c r="AC25" s="40"/>
      <c r="AD25" s="89"/>
      <c r="AE25" s="193"/>
    </row>
    <row r="26" spans="1:31" ht="24">
      <c r="A26" s="5" t="s">
        <v>1049</v>
      </c>
      <c r="B26" s="168"/>
      <c r="C26" s="169"/>
      <c r="D26" s="11" t="s">
        <v>402</v>
      </c>
      <c r="E26" s="170">
        <v>0</v>
      </c>
      <c r="F26" s="145" t="s">
        <v>130</v>
      </c>
      <c r="G26" s="16" t="s">
        <v>1105</v>
      </c>
      <c r="H26" s="14" t="s">
        <v>402</v>
      </c>
      <c r="I26" s="14" t="s">
        <v>402</v>
      </c>
      <c r="J26" s="15">
        <v>1</v>
      </c>
      <c r="K26" s="16" t="s">
        <v>522</v>
      </c>
      <c r="L26" s="149">
        <v>0</v>
      </c>
      <c r="M26" s="29"/>
      <c r="N26" s="1"/>
      <c r="O26" s="139"/>
      <c r="P26" s="149">
        <v>0</v>
      </c>
      <c r="Q26" s="29"/>
      <c r="R26" s="1"/>
      <c r="S26" s="139"/>
      <c r="T26" s="149">
        <v>0</v>
      </c>
      <c r="U26" s="29"/>
      <c r="V26" s="1"/>
      <c r="W26" s="139"/>
      <c r="X26" s="149">
        <v>0</v>
      </c>
      <c r="Y26" s="29"/>
      <c r="Z26" s="1"/>
      <c r="AA26" s="139"/>
      <c r="AB26" s="149">
        <v>1</v>
      </c>
      <c r="AC26" s="29"/>
      <c r="AD26" s="1"/>
      <c r="AE26" s="31"/>
    </row>
  </sheetData>
  <pageMargins left="0.78740157499999996" right="0.78740157499999996" top="0.984251969" bottom="0.984251969" header="0.4921259845" footer="0.4921259845"/>
  <pageSetup paperSize="9" scale="67"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enableFormatConditionsCalculation="0">
    <tabColor indexed="20"/>
    <pageSetUpPr fitToPage="1"/>
  </sheetPr>
  <dimension ref="A1:AK64"/>
  <sheetViews>
    <sheetView zoomScale="85" zoomScaleNormal="85" workbookViewId="0">
      <pane xSplit="11" ySplit="6" topLeftCell="L19" activePane="bottomRight" state="frozen"/>
      <selection activeCell="L25" sqref="L25"/>
      <selection pane="topRight" activeCell="L25" sqref="L25"/>
      <selection pane="bottomLeft" activeCell="L25" sqref="L25"/>
      <selection pane="bottomRight" activeCell="F34" sqref="F34"/>
    </sheetView>
  </sheetViews>
  <sheetFormatPr defaultColWidth="11.42578125" defaultRowHeight="12" outlineLevelRow="1" outlineLevelCol="1"/>
  <cols>
    <col min="1" max="1" width="8.42578125" style="7" hidden="1" customWidth="1" outlineLevel="1"/>
    <col min="2" max="2" width="12.7109375" style="158" bestFit="1" customWidth="1" collapsed="1"/>
    <col min="3" max="3" width="4.7109375" style="159" hidden="1" customWidth="1" outlineLevel="1"/>
    <col min="4" max="4" width="3.140625" style="7" hidden="1" customWidth="1" outlineLevel="1"/>
    <col min="5" max="5" width="2.7109375" style="7" hidden="1" customWidth="1" outlineLevel="1"/>
    <col min="6" max="6" width="54.140625" style="8" customWidth="1" collapsed="1"/>
    <col min="7" max="7" width="5" style="7" customWidth="1"/>
    <col min="8" max="8" width="5.7109375" style="7" hidden="1" customWidth="1" outlineLevel="1"/>
    <col min="9" max="9" width="19.42578125" style="7" hidden="1" customWidth="1" outlineLevel="1"/>
    <col min="10" max="10" width="2.42578125" style="7" hidden="1" customWidth="1" outlineLevel="1" collapsed="1"/>
    <col min="11" max="11" width="4.5703125" style="7" customWidth="1" collapsed="1"/>
    <col min="12" max="12" width="8.5703125" style="7" customWidth="1"/>
    <col min="13" max="13" width="2.140625" style="32" customWidth="1"/>
    <col min="14" max="14" width="4.28515625" style="32" customWidth="1"/>
    <col min="15" max="15" width="73" style="33" customWidth="1"/>
    <col min="16" max="18" width="5.7109375" style="198" customWidth="1"/>
    <col min="19" max="19" width="23.140625" style="79" customWidth="1"/>
    <col min="20" max="20" width="4" style="47" bestFit="1" customWidth="1"/>
    <col min="21" max="21" width="6.28515625" style="39" bestFit="1" customWidth="1"/>
    <col min="22" max="22" width="5.85546875" style="39" bestFit="1" customWidth="1"/>
    <col min="23" max="23" width="4.7109375" style="39" bestFit="1" customWidth="1"/>
    <col min="24" max="24" width="5.28515625" style="39" bestFit="1" customWidth="1"/>
    <col min="25" max="25" width="5.85546875" style="39" bestFit="1" customWidth="1"/>
    <col min="26" max="27" width="6.85546875" style="39" bestFit="1" customWidth="1"/>
    <col min="28" max="28" width="8.28515625" style="39" bestFit="1" customWidth="1"/>
    <col min="29" max="29" width="9.140625" style="39" bestFit="1" customWidth="1"/>
    <col min="30" max="30" width="12.140625" style="39" customWidth="1"/>
    <col min="31" max="31" width="11.42578125" style="7"/>
    <col min="32" max="34" width="5.42578125" style="7" customWidth="1"/>
    <col min="35" max="35" width="5.85546875" style="7" customWidth="1"/>
    <col min="36" max="36" width="5.42578125" style="7" customWidth="1"/>
    <col min="37" max="37" width="5.28515625" style="7" customWidth="1"/>
    <col min="38" max="16384" width="11.42578125" style="7"/>
  </cols>
  <sheetData>
    <row r="1" spans="1:37">
      <c r="A1" s="36"/>
      <c r="B1" s="34"/>
      <c r="C1" s="35"/>
      <c r="D1" s="36"/>
      <c r="E1" s="36"/>
      <c r="F1" s="37" t="s">
        <v>510</v>
      </c>
      <c r="G1" s="36"/>
      <c r="H1" s="36"/>
      <c r="I1" s="36"/>
      <c r="J1" s="36"/>
      <c r="K1" s="36"/>
      <c r="L1" s="3">
        <v>4853</v>
      </c>
      <c r="M1" s="22"/>
      <c r="N1" s="22"/>
      <c r="O1" s="22"/>
      <c r="P1" s="195"/>
      <c r="Q1" s="195"/>
      <c r="R1" s="195"/>
      <c r="T1" s="80"/>
      <c r="U1" s="81"/>
      <c r="V1" s="81"/>
      <c r="W1" s="81"/>
      <c r="X1" s="81"/>
      <c r="Y1" s="81"/>
    </row>
    <row r="2" spans="1:37" ht="36">
      <c r="A2" s="36"/>
      <c r="B2" s="147"/>
      <c r="C2" s="35" t="s">
        <v>511</v>
      </c>
      <c r="D2" s="147">
        <v>3503</v>
      </c>
      <c r="E2" s="147">
        <v>3504</v>
      </c>
      <c r="F2" s="147">
        <v>3702</v>
      </c>
      <c r="G2" s="147">
        <v>3703</v>
      </c>
      <c r="H2" s="147">
        <v>3506</v>
      </c>
      <c r="I2" s="147">
        <v>3507</v>
      </c>
      <c r="J2" s="147">
        <v>3508</v>
      </c>
      <c r="K2" s="147">
        <v>3706</v>
      </c>
      <c r="L2" s="147">
        <v>3707</v>
      </c>
      <c r="M2" s="23">
        <v>3708</v>
      </c>
      <c r="N2" s="23">
        <v>3709</v>
      </c>
      <c r="O2" s="24">
        <v>3792</v>
      </c>
      <c r="P2" s="119"/>
      <c r="Q2" s="119"/>
      <c r="R2" s="119"/>
      <c r="S2" s="112" t="s">
        <v>264</v>
      </c>
      <c r="T2" s="10" t="s">
        <v>249</v>
      </c>
      <c r="U2" s="10" t="s">
        <v>250</v>
      </c>
      <c r="V2" s="10" t="s">
        <v>251</v>
      </c>
      <c r="W2" s="10" t="s">
        <v>252</v>
      </c>
      <c r="X2" s="10" t="s">
        <v>253</v>
      </c>
      <c r="Y2" s="10" t="s">
        <v>254</v>
      </c>
      <c r="Z2" s="82" t="s">
        <v>255</v>
      </c>
      <c r="AA2" s="82" t="s">
        <v>256</v>
      </c>
      <c r="AB2" s="11" t="s">
        <v>257</v>
      </c>
      <c r="AC2" s="12" t="s">
        <v>390</v>
      </c>
      <c r="AD2" s="43" t="s">
        <v>263</v>
      </c>
      <c r="AF2" s="40" t="s">
        <v>249</v>
      </c>
      <c r="AG2" s="40" t="s">
        <v>250</v>
      </c>
      <c r="AH2" s="40" t="s">
        <v>251</v>
      </c>
      <c r="AI2" s="40" t="s">
        <v>252</v>
      </c>
      <c r="AJ2" s="40" t="s">
        <v>253</v>
      </c>
      <c r="AK2" s="40" t="s">
        <v>254</v>
      </c>
    </row>
    <row r="3" spans="1:37" ht="101.25">
      <c r="A3" s="36" t="s">
        <v>398</v>
      </c>
      <c r="B3" s="166"/>
      <c r="C3" s="35">
        <v>401</v>
      </c>
      <c r="D3" s="167" t="s">
        <v>514</v>
      </c>
      <c r="E3" s="167" t="s">
        <v>515</v>
      </c>
      <c r="F3" s="43" t="s">
        <v>516</v>
      </c>
      <c r="G3" s="41" t="s">
        <v>517</v>
      </c>
      <c r="H3" s="41" t="s">
        <v>518</v>
      </c>
      <c r="I3" s="41" t="s">
        <v>519</v>
      </c>
      <c r="J3" s="41" t="s">
        <v>520</v>
      </c>
      <c r="K3" s="41" t="s">
        <v>394</v>
      </c>
      <c r="L3" s="322" t="s">
        <v>106</v>
      </c>
      <c r="M3" s="25" t="s">
        <v>265</v>
      </c>
      <c r="N3" s="25" t="s">
        <v>266</v>
      </c>
      <c r="O3" s="26" t="s">
        <v>548</v>
      </c>
      <c r="P3" s="196" t="s">
        <v>453</v>
      </c>
      <c r="Q3" s="196" t="s">
        <v>711</v>
      </c>
      <c r="R3" s="196" t="s">
        <v>459</v>
      </c>
      <c r="S3" s="113"/>
      <c r="T3" s="42"/>
      <c r="U3" s="10"/>
      <c r="V3" s="10"/>
      <c r="W3" s="10"/>
      <c r="X3" s="10"/>
      <c r="Y3" s="10"/>
      <c r="Z3" s="9"/>
      <c r="AA3" s="9"/>
      <c r="AB3" s="11" t="s">
        <v>267</v>
      </c>
      <c r="AC3" s="12" t="s">
        <v>267</v>
      </c>
      <c r="AD3" s="83"/>
    </row>
    <row r="4" spans="1:37" ht="12.75" customHeight="1">
      <c r="A4" s="36"/>
      <c r="B4" s="166"/>
      <c r="C4" s="35">
        <v>662</v>
      </c>
      <c r="D4" s="13"/>
      <c r="E4" s="13"/>
      <c r="F4" s="43" t="s">
        <v>517</v>
      </c>
      <c r="G4" s="43"/>
      <c r="H4" s="43"/>
      <c r="I4" s="43"/>
      <c r="J4" s="43"/>
      <c r="K4" s="43"/>
      <c r="L4" s="177" t="s">
        <v>393</v>
      </c>
      <c r="M4" s="27"/>
      <c r="N4" s="27"/>
      <c r="O4" s="28"/>
      <c r="P4" s="196"/>
      <c r="Q4" s="196"/>
      <c r="R4" s="196"/>
      <c r="S4" s="114"/>
      <c r="T4" s="44" t="s">
        <v>269</v>
      </c>
      <c r="AB4" s="45"/>
      <c r="AC4" s="45"/>
      <c r="AD4" s="46"/>
    </row>
    <row r="5" spans="1:37">
      <c r="A5" s="36"/>
      <c r="B5" s="166"/>
      <c r="C5" s="35">
        <v>493</v>
      </c>
      <c r="D5" s="13"/>
      <c r="E5" s="13"/>
      <c r="F5" s="43" t="s">
        <v>520</v>
      </c>
      <c r="G5" s="43"/>
      <c r="H5" s="43"/>
      <c r="I5" s="43"/>
      <c r="J5" s="43"/>
      <c r="K5" s="43"/>
      <c r="L5" s="177">
        <v>0</v>
      </c>
      <c r="M5" s="27"/>
      <c r="N5" s="27"/>
      <c r="O5" s="28"/>
      <c r="P5" s="196"/>
      <c r="Q5" s="196"/>
      <c r="R5" s="196"/>
    </row>
    <row r="6" spans="1:37">
      <c r="A6" s="36"/>
      <c r="B6" s="166"/>
      <c r="C6" s="35">
        <v>403</v>
      </c>
      <c r="D6" s="13"/>
      <c r="E6" s="13"/>
      <c r="F6" s="43" t="s">
        <v>394</v>
      </c>
      <c r="G6" s="351"/>
      <c r="H6" s="43"/>
      <c r="I6" s="43"/>
      <c r="J6" s="43"/>
      <c r="K6" s="43"/>
      <c r="L6" s="177" t="s">
        <v>678</v>
      </c>
      <c r="M6" s="27"/>
      <c r="N6" s="27"/>
      <c r="O6" s="28"/>
      <c r="P6" s="196" t="s">
        <v>403</v>
      </c>
      <c r="Q6" s="196" t="s">
        <v>396</v>
      </c>
      <c r="R6" s="196" t="s">
        <v>403</v>
      </c>
      <c r="T6" s="48"/>
      <c r="U6" s="48"/>
      <c r="V6" s="48"/>
      <c r="W6" s="48"/>
      <c r="X6" s="48"/>
      <c r="Y6" s="48"/>
      <c r="AB6" s="49"/>
      <c r="AC6" s="49"/>
      <c r="AD6" s="85"/>
    </row>
    <row r="7" spans="1:37" ht="12.75">
      <c r="A7" s="156">
        <v>1289</v>
      </c>
      <c r="B7" s="168" t="s">
        <v>406</v>
      </c>
      <c r="C7" s="151" t="s">
        <v>525</v>
      </c>
      <c r="D7" s="152" t="s">
        <v>527</v>
      </c>
      <c r="E7" s="153" t="s">
        <v>402</v>
      </c>
      <c r="F7" s="144" t="s">
        <v>107</v>
      </c>
      <c r="G7" s="125" t="s">
        <v>402</v>
      </c>
      <c r="H7" s="154" t="s">
        <v>273</v>
      </c>
      <c r="I7" s="123" t="s">
        <v>108</v>
      </c>
      <c r="J7" s="124" t="s">
        <v>402</v>
      </c>
      <c r="K7" s="125" t="s">
        <v>677</v>
      </c>
      <c r="L7" s="155">
        <v>3.8502673796791442</v>
      </c>
      <c r="M7" s="29">
        <v>1</v>
      </c>
      <c r="N7" s="1">
        <v>1.0906744032152329</v>
      </c>
      <c r="O7" s="31" t="s">
        <v>109</v>
      </c>
      <c r="P7" s="197"/>
      <c r="Q7" s="197"/>
      <c r="R7" s="197"/>
      <c r="S7" s="115" t="s">
        <v>716</v>
      </c>
      <c r="T7" s="10">
        <v>2</v>
      </c>
      <c r="U7" s="50">
        <v>2</v>
      </c>
      <c r="V7" s="50">
        <v>1</v>
      </c>
      <c r="W7" s="50">
        <v>1</v>
      </c>
      <c r="X7" s="50">
        <v>1</v>
      </c>
      <c r="Y7" s="50">
        <v>3</v>
      </c>
      <c r="Z7" s="50">
        <v>11</v>
      </c>
      <c r="AA7" s="51">
        <v>1.05</v>
      </c>
      <c r="AB7" s="87">
        <v>1.0744244531716256</v>
      </c>
      <c r="AC7" s="88">
        <v>1.0906744032152329</v>
      </c>
      <c r="AD7" s="89" t="s">
        <v>110</v>
      </c>
      <c r="AF7" s="52">
        <v>1.05</v>
      </c>
      <c r="AG7" s="52">
        <v>1.02</v>
      </c>
      <c r="AH7" s="52">
        <v>1</v>
      </c>
      <c r="AI7" s="52">
        <v>1</v>
      </c>
      <c r="AJ7" s="52">
        <v>1</v>
      </c>
      <c r="AK7" s="52">
        <v>1.05</v>
      </c>
    </row>
    <row r="8" spans="1:37" ht="25.5" customHeight="1">
      <c r="A8" s="226">
        <v>678</v>
      </c>
      <c r="B8" s="168" t="s">
        <v>524</v>
      </c>
      <c r="C8" s="151"/>
      <c r="D8" s="152" t="s">
        <v>526</v>
      </c>
      <c r="E8" s="153" t="s">
        <v>402</v>
      </c>
      <c r="F8" s="144" t="s">
        <v>111</v>
      </c>
      <c r="G8" s="125" t="s">
        <v>393</v>
      </c>
      <c r="H8" s="154" t="s">
        <v>402</v>
      </c>
      <c r="I8" s="123" t="s">
        <v>402</v>
      </c>
      <c r="J8" s="124">
        <v>0</v>
      </c>
      <c r="K8" s="125" t="s">
        <v>395</v>
      </c>
      <c r="L8" s="155">
        <v>5.8651555007098958E-3</v>
      </c>
      <c r="M8" s="29">
        <v>1</v>
      </c>
      <c r="N8" s="1">
        <v>1.0906744032152329</v>
      </c>
      <c r="O8" s="31" t="s">
        <v>112</v>
      </c>
      <c r="P8" s="199"/>
      <c r="Q8" s="199"/>
      <c r="R8" s="199"/>
      <c r="S8" s="115" t="s">
        <v>23</v>
      </c>
      <c r="T8" s="10">
        <v>2</v>
      </c>
      <c r="U8" s="50">
        <v>2</v>
      </c>
      <c r="V8" s="50">
        <v>1</v>
      </c>
      <c r="W8" s="50">
        <v>1</v>
      </c>
      <c r="X8" s="50">
        <v>1</v>
      </c>
      <c r="Y8" s="50">
        <v>3</v>
      </c>
      <c r="Z8" s="50">
        <v>3</v>
      </c>
      <c r="AA8" s="51">
        <v>1.05</v>
      </c>
      <c r="AB8" s="87">
        <v>1.0744244531716256</v>
      </c>
      <c r="AC8" s="88">
        <v>1.0906744032152329</v>
      </c>
      <c r="AD8" s="89" t="s">
        <v>110</v>
      </c>
      <c r="AF8" s="52">
        <v>1.05</v>
      </c>
      <c r="AG8" s="52">
        <v>1.02</v>
      </c>
      <c r="AH8" s="52">
        <v>1</v>
      </c>
      <c r="AI8" s="52">
        <v>1</v>
      </c>
      <c r="AJ8" s="52">
        <v>1</v>
      </c>
      <c r="AK8" s="52">
        <v>1.05</v>
      </c>
    </row>
    <row r="9" spans="1:37" ht="27" customHeight="1">
      <c r="A9" s="2">
        <v>1750</v>
      </c>
      <c r="B9" s="168"/>
      <c r="C9" s="151"/>
      <c r="D9" s="152" t="s">
        <v>526</v>
      </c>
      <c r="E9" s="153" t="s">
        <v>402</v>
      </c>
      <c r="F9" s="144" t="s">
        <v>113</v>
      </c>
      <c r="G9" s="125" t="s">
        <v>393</v>
      </c>
      <c r="H9" s="154" t="s">
        <v>402</v>
      </c>
      <c r="I9" s="123" t="s">
        <v>402</v>
      </c>
      <c r="J9" s="124">
        <v>0</v>
      </c>
      <c r="K9" s="125" t="s">
        <v>409</v>
      </c>
      <c r="L9" s="155">
        <v>5.8651555007098959E-6</v>
      </c>
      <c r="M9" s="29">
        <v>1</v>
      </c>
      <c r="N9" s="1">
        <v>1.0906744032152329</v>
      </c>
      <c r="O9" s="31" t="s">
        <v>112</v>
      </c>
      <c r="P9" s="199"/>
      <c r="Q9" s="199"/>
      <c r="R9" s="199"/>
      <c r="S9" s="115" t="s">
        <v>23</v>
      </c>
      <c r="T9" s="10">
        <v>2</v>
      </c>
      <c r="U9" s="50">
        <v>2</v>
      </c>
      <c r="V9" s="50">
        <v>1</v>
      </c>
      <c r="W9" s="50">
        <v>1</v>
      </c>
      <c r="X9" s="50">
        <v>1</v>
      </c>
      <c r="Y9" s="50">
        <v>3</v>
      </c>
      <c r="Z9" s="50">
        <v>6</v>
      </c>
      <c r="AA9" s="51">
        <v>1.05</v>
      </c>
      <c r="AB9" s="87">
        <v>1.0744244531716256</v>
      </c>
      <c r="AC9" s="88">
        <v>1.0906744032152329</v>
      </c>
      <c r="AD9" s="89" t="s">
        <v>110</v>
      </c>
      <c r="AF9" s="52">
        <v>1.05</v>
      </c>
      <c r="AG9" s="52">
        <v>1.02</v>
      </c>
      <c r="AH9" s="52">
        <v>1</v>
      </c>
      <c r="AI9" s="52">
        <v>1</v>
      </c>
      <c r="AJ9" s="52">
        <v>1</v>
      </c>
      <c r="AK9" s="52">
        <v>1.05</v>
      </c>
    </row>
    <row r="10" spans="1:37" ht="18" customHeight="1">
      <c r="A10" s="464" t="s">
        <v>370</v>
      </c>
      <c r="B10" s="168"/>
      <c r="C10" s="151"/>
      <c r="D10" s="152" t="s">
        <v>526</v>
      </c>
      <c r="E10" s="153" t="s">
        <v>402</v>
      </c>
      <c r="F10" s="144" t="s">
        <v>114</v>
      </c>
      <c r="G10" s="125" t="s">
        <v>393</v>
      </c>
      <c r="H10" s="154" t="s">
        <v>402</v>
      </c>
      <c r="I10" s="123" t="s">
        <v>402</v>
      </c>
      <c r="J10" s="124">
        <v>1</v>
      </c>
      <c r="K10" s="125" t="s">
        <v>522</v>
      </c>
      <c r="L10" s="155">
        <v>9.9800399201596805E-10</v>
      </c>
      <c r="M10" s="29">
        <v>1</v>
      </c>
      <c r="N10" s="1">
        <v>1.2365959919080913</v>
      </c>
      <c r="O10" s="31" t="s">
        <v>115</v>
      </c>
      <c r="P10" s="287">
        <v>1.6766467065868262E-2</v>
      </c>
      <c r="Q10" s="468">
        <v>4576</v>
      </c>
      <c r="R10" s="287"/>
      <c r="S10" s="115"/>
      <c r="T10" s="10">
        <v>3</v>
      </c>
      <c r="U10" s="50">
        <v>2</v>
      </c>
      <c r="V10" s="50">
        <v>1</v>
      </c>
      <c r="W10" s="50">
        <v>1</v>
      </c>
      <c r="X10" s="50">
        <v>1</v>
      </c>
      <c r="Y10" s="50">
        <v>3</v>
      </c>
      <c r="Z10" s="50">
        <v>3</v>
      </c>
      <c r="AA10" s="312">
        <v>1.2</v>
      </c>
      <c r="AB10" s="87">
        <v>1.1150377561073679</v>
      </c>
      <c r="AC10" s="88">
        <v>1.2365959919080913</v>
      </c>
      <c r="AD10" s="89" t="s">
        <v>116</v>
      </c>
      <c r="AF10" s="52">
        <v>1.1000000000000001</v>
      </c>
      <c r="AG10" s="52">
        <v>1.02</v>
      </c>
      <c r="AH10" s="52">
        <v>1</v>
      </c>
      <c r="AI10" s="52">
        <v>1</v>
      </c>
      <c r="AJ10" s="52">
        <v>1</v>
      </c>
      <c r="AK10" s="52">
        <v>1.05</v>
      </c>
    </row>
    <row r="11" spans="1:37" ht="27" customHeight="1">
      <c r="A11" s="464" t="s">
        <v>723</v>
      </c>
      <c r="B11" s="168"/>
      <c r="C11" s="151"/>
      <c r="D11" s="152" t="s">
        <v>526</v>
      </c>
      <c r="E11" s="153" t="s">
        <v>402</v>
      </c>
      <c r="F11" s="144" t="s">
        <v>117</v>
      </c>
      <c r="G11" s="125" t="s">
        <v>393</v>
      </c>
      <c r="H11" s="154" t="s">
        <v>402</v>
      </c>
      <c r="I11" s="123" t="s">
        <v>402</v>
      </c>
      <c r="J11" s="124">
        <v>1</v>
      </c>
      <c r="K11" s="125" t="s">
        <v>522</v>
      </c>
      <c r="L11" s="155">
        <v>3.8595800975575016E-9</v>
      </c>
      <c r="M11" s="29">
        <v>1</v>
      </c>
      <c r="N11" s="1">
        <v>1.2365959919080913</v>
      </c>
      <c r="O11" s="31" t="s">
        <v>115</v>
      </c>
      <c r="P11" s="287">
        <v>1.0073504054625079E-2</v>
      </c>
      <c r="Q11" s="468">
        <v>664.07766990291259</v>
      </c>
      <c r="R11" s="287"/>
      <c r="S11" s="115"/>
      <c r="T11" s="10">
        <v>3</v>
      </c>
      <c r="U11" s="50">
        <v>2</v>
      </c>
      <c r="V11" s="50">
        <v>1</v>
      </c>
      <c r="W11" s="50">
        <v>1</v>
      </c>
      <c r="X11" s="50">
        <v>1</v>
      </c>
      <c r="Y11" s="50">
        <v>3</v>
      </c>
      <c r="Z11" s="50">
        <v>9</v>
      </c>
      <c r="AA11" s="312">
        <v>1.2</v>
      </c>
      <c r="AB11" s="87">
        <v>1.1150377561073679</v>
      </c>
      <c r="AC11" s="88">
        <v>1.2365959919080913</v>
      </c>
      <c r="AD11" s="89" t="s">
        <v>116</v>
      </c>
      <c r="AF11" s="52">
        <v>1.1000000000000001</v>
      </c>
      <c r="AG11" s="52">
        <v>1.02</v>
      </c>
      <c r="AH11" s="52">
        <v>1</v>
      </c>
      <c r="AI11" s="52">
        <v>1</v>
      </c>
      <c r="AJ11" s="52">
        <v>1</v>
      </c>
      <c r="AK11" s="52">
        <v>1.05</v>
      </c>
    </row>
    <row r="12" spans="1:37" ht="18" customHeight="1">
      <c r="A12" s="464" t="s">
        <v>724</v>
      </c>
      <c r="B12" s="168"/>
      <c r="C12" s="151"/>
      <c r="D12" s="152" t="s">
        <v>526</v>
      </c>
      <c r="E12" s="153" t="s">
        <v>402</v>
      </c>
      <c r="F12" s="144" t="s">
        <v>118</v>
      </c>
      <c r="G12" s="125" t="s">
        <v>393</v>
      </c>
      <c r="H12" s="154" t="s">
        <v>402</v>
      </c>
      <c r="I12" s="123" t="s">
        <v>402</v>
      </c>
      <c r="J12" s="124">
        <v>1</v>
      </c>
      <c r="K12" s="125" t="s">
        <v>522</v>
      </c>
      <c r="L12" s="155">
        <v>1.0667305147652497E-8</v>
      </c>
      <c r="M12" s="29">
        <v>1</v>
      </c>
      <c r="N12" s="1">
        <v>1.2365959919080913</v>
      </c>
      <c r="O12" s="31" t="s">
        <v>115</v>
      </c>
      <c r="P12" s="287">
        <v>4.4802681620140491E-2</v>
      </c>
      <c r="Q12" s="468">
        <v>1170</v>
      </c>
      <c r="R12" s="287"/>
      <c r="S12" s="115"/>
      <c r="T12" s="10">
        <v>3</v>
      </c>
      <c r="U12" s="50">
        <v>2</v>
      </c>
      <c r="V12" s="50">
        <v>1</v>
      </c>
      <c r="W12" s="50">
        <v>1</v>
      </c>
      <c r="X12" s="50">
        <v>1</v>
      </c>
      <c r="Y12" s="50">
        <v>3</v>
      </c>
      <c r="Z12" s="50">
        <v>9</v>
      </c>
      <c r="AA12" s="312">
        <v>1.2</v>
      </c>
      <c r="AB12" s="87">
        <v>1.1150377561073679</v>
      </c>
      <c r="AC12" s="88">
        <v>1.2365959919080913</v>
      </c>
      <c r="AD12" s="89" t="s">
        <v>116</v>
      </c>
      <c r="AF12" s="52">
        <v>1.1000000000000001</v>
      </c>
      <c r="AG12" s="52">
        <v>1.02</v>
      </c>
      <c r="AH12" s="52">
        <v>1</v>
      </c>
      <c r="AI12" s="52">
        <v>1</v>
      </c>
      <c r="AJ12" s="52">
        <v>1</v>
      </c>
      <c r="AK12" s="52">
        <v>1.05</v>
      </c>
    </row>
    <row r="13" spans="1:37" ht="18" customHeight="1">
      <c r="A13" s="464" t="s">
        <v>721</v>
      </c>
      <c r="B13" s="168"/>
      <c r="C13" s="151"/>
      <c r="D13" s="152" t="s">
        <v>526</v>
      </c>
      <c r="E13" s="153" t="s">
        <v>402</v>
      </c>
      <c r="F13" s="144" t="s">
        <v>119</v>
      </c>
      <c r="G13" s="125" t="s">
        <v>393</v>
      </c>
      <c r="H13" s="154" t="s">
        <v>402</v>
      </c>
      <c r="I13" s="123" t="s">
        <v>402</v>
      </c>
      <c r="J13" s="124">
        <v>1</v>
      </c>
      <c r="K13" s="125" t="s">
        <v>522</v>
      </c>
      <c r="L13" s="155">
        <v>3.1187319054566804E-9</v>
      </c>
      <c r="M13" s="29">
        <v>1</v>
      </c>
      <c r="N13" s="1">
        <v>1.2365959919080913</v>
      </c>
      <c r="O13" s="31" t="s">
        <v>115</v>
      </c>
      <c r="P13" s="287">
        <v>3.0220512163875231E-2</v>
      </c>
      <c r="Q13" s="468">
        <v>2077.4</v>
      </c>
      <c r="R13" s="287"/>
      <c r="S13" s="115"/>
      <c r="T13" s="10">
        <v>3</v>
      </c>
      <c r="U13" s="50">
        <v>2</v>
      </c>
      <c r="V13" s="50">
        <v>1</v>
      </c>
      <c r="W13" s="50">
        <v>1</v>
      </c>
      <c r="X13" s="50">
        <v>1</v>
      </c>
      <c r="Y13" s="50">
        <v>3</v>
      </c>
      <c r="Z13" s="50">
        <v>9</v>
      </c>
      <c r="AA13" s="312">
        <v>1.2</v>
      </c>
      <c r="AB13" s="87">
        <v>1.1150377561073679</v>
      </c>
      <c r="AC13" s="88">
        <v>1.2365959919080913</v>
      </c>
      <c r="AD13" s="89" t="s">
        <v>116</v>
      </c>
      <c r="AF13" s="52">
        <v>1.1000000000000001</v>
      </c>
      <c r="AG13" s="52">
        <v>1.02</v>
      </c>
      <c r="AH13" s="52">
        <v>1</v>
      </c>
      <c r="AI13" s="52">
        <v>1</v>
      </c>
      <c r="AJ13" s="52">
        <v>1</v>
      </c>
      <c r="AK13" s="52">
        <v>1.05</v>
      </c>
    </row>
    <row r="14" spans="1:37" ht="18" customHeight="1">
      <c r="A14" s="464" t="s">
        <v>722</v>
      </c>
      <c r="B14" s="168"/>
      <c r="C14" s="151"/>
      <c r="D14" s="152" t="s">
        <v>526</v>
      </c>
      <c r="E14" s="153" t="s">
        <v>402</v>
      </c>
      <c r="F14" s="144" t="s">
        <v>120</v>
      </c>
      <c r="G14" s="125" t="s">
        <v>393</v>
      </c>
      <c r="H14" s="154" t="s">
        <v>402</v>
      </c>
      <c r="I14" s="123" t="s">
        <v>402</v>
      </c>
      <c r="J14" s="124">
        <v>1</v>
      </c>
      <c r="K14" s="125" t="s">
        <v>522</v>
      </c>
      <c r="L14" s="155">
        <v>9.9800399201596805E-10</v>
      </c>
      <c r="M14" s="29">
        <v>1</v>
      </c>
      <c r="N14" s="1">
        <v>1.2365959919080913</v>
      </c>
      <c r="O14" s="31" t="s">
        <v>115</v>
      </c>
      <c r="P14" s="287">
        <v>3.8922155688622756E-2</v>
      </c>
      <c r="Q14" s="468">
        <v>10126</v>
      </c>
      <c r="R14" s="287"/>
      <c r="S14" s="115"/>
      <c r="T14" s="10">
        <v>3</v>
      </c>
      <c r="U14" s="50">
        <v>2</v>
      </c>
      <c r="V14" s="50">
        <v>1</v>
      </c>
      <c r="W14" s="50">
        <v>1</v>
      </c>
      <c r="X14" s="50">
        <v>1</v>
      </c>
      <c r="Y14" s="50">
        <v>3</v>
      </c>
      <c r="Z14" s="50">
        <v>9</v>
      </c>
      <c r="AA14" s="312">
        <v>1.2</v>
      </c>
      <c r="AB14" s="87">
        <v>1.1150377561073679</v>
      </c>
      <c r="AC14" s="88">
        <v>1.2365959919080913</v>
      </c>
      <c r="AD14" s="89" t="s">
        <v>116</v>
      </c>
      <c r="AF14" s="52">
        <v>1.1000000000000001</v>
      </c>
      <c r="AG14" s="52">
        <v>1.02</v>
      </c>
      <c r="AH14" s="52">
        <v>1</v>
      </c>
      <c r="AI14" s="52">
        <v>1</v>
      </c>
      <c r="AJ14" s="52">
        <v>1</v>
      </c>
      <c r="AK14" s="52">
        <v>1.05</v>
      </c>
    </row>
    <row r="15" spans="1:37" ht="18" customHeight="1">
      <c r="A15" s="156">
        <v>1310</v>
      </c>
      <c r="B15" s="168"/>
      <c r="C15" s="151"/>
      <c r="D15" s="152" t="s">
        <v>526</v>
      </c>
      <c r="E15" s="153" t="s">
        <v>402</v>
      </c>
      <c r="F15" s="144" t="s">
        <v>121</v>
      </c>
      <c r="G15" s="125" t="s">
        <v>393</v>
      </c>
      <c r="H15" s="154" t="s">
        <v>402</v>
      </c>
      <c r="I15" s="123" t="s">
        <v>402</v>
      </c>
      <c r="J15" s="124">
        <v>1</v>
      </c>
      <c r="K15" s="125" t="s">
        <v>522</v>
      </c>
      <c r="L15" s="155">
        <v>3.2061135404350144E-7</v>
      </c>
      <c r="M15" s="29">
        <v>1</v>
      </c>
      <c r="N15" s="1">
        <v>1.2365959919080913</v>
      </c>
      <c r="O15" s="31" t="s">
        <v>115</v>
      </c>
      <c r="P15" s="287">
        <v>1.6389652418703781E-2</v>
      </c>
      <c r="Q15" s="289">
        <v>21.428571428571434</v>
      </c>
      <c r="R15" s="287">
        <v>0.1531508875739645</v>
      </c>
      <c r="S15" s="115" t="s">
        <v>488</v>
      </c>
      <c r="T15" s="10">
        <v>3</v>
      </c>
      <c r="U15" s="50">
        <v>2</v>
      </c>
      <c r="V15" s="50">
        <v>1</v>
      </c>
      <c r="W15" s="50">
        <v>1</v>
      </c>
      <c r="X15" s="50">
        <v>1</v>
      </c>
      <c r="Y15" s="50">
        <v>3</v>
      </c>
      <c r="Z15" s="50">
        <v>9</v>
      </c>
      <c r="AA15" s="312">
        <v>1.2</v>
      </c>
      <c r="AB15" s="87">
        <v>1.1150377561073679</v>
      </c>
      <c r="AC15" s="88">
        <v>1.2365959919080913</v>
      </c>
      <c r="AD15" s="89" t="s">
        <v>116</v>
      </c>
      <c r="AF15" s="52">
        <v>1.1000000000000001</v>
      </c>
      <c r="AG15" s="52">
        <v>1.02</v>
      </c>
      <c r="AH15" s="52">
        <v>1</v>
      </c>
      <c r="AI15" s="52">
        <v>1</v>
      </c>
      <c r="AJ15" s="52">
        <v>1</v>
      </c>
      <c r="AK15" s="52">
        <v>1.05</v>
      </c>
    </row>
    <row r="16" spans="1:37" ht="18" customHeight="1">
      <c r="A16" s="156">
        <v>1312</v>
      </c>
      <c r="B16" s="168" t="s">
        <v>525</v>
      </c>
      <c r="C16" s="151"/>
      <c r="D16" s="152" t="s">
        <v>526</v>
      </c>
      <c r="E16" s="153" t="s">
        <v>402</v>
      </c>
      <c r="F16" s="144" t="s">
        <v>122</v>
      </c>
      <c r="G16" s="125" t="s">
        <v>393</v>
      </c>
      <c r="H16" s="154" t="s">
        <v>402</v>
      </c>
      <c r="I16" s="123" t="s">
        <v>402</v>
      </c>
      <c r="J16" s="124">
        <v>1</v>
      </c>
      <c r="K16" s="125" t="s">
        <v>522</v>
      </c>
      <c r="L16" s="155">
        <v>3.2061135404350144E-7</v>
      </c>
      <c r="M16" s="29">
        <v>1</v>
      </c>
      <c r="N16" s="1">
        <v>1.2365959919080913</v>
      </c>
      <c r="O16" s="31" t="s">
        <v>115</v>
      </c>
      <c r="P16" s="287">
        <v>1.6389652418703781E-2</v>
      </c>
      <c r="Q16" s="289">
        <v>21.428571428571434</v>
      </c>
      <c r="R16" s="287">
        <v>0.1531508875739645</v>
      </c>
      <c r="S16" s="115" t="s">
        <v>488</v>
      </c>
      <c r="T16" s="10">
        <v>3</v>
      </c>
      <c r="U16" s="50">
        <v>2</v>
      </c>
      <c r="V16" s="50">
        <v>1</v>
      </c>
      <c r="W16" s="50">
        <v>1</v>
      </c>
      <c r="X16" s="50">
        <v>1</v>
      </c>
      <c r="Y16" s="50">
        <v>3</v>
      </c>
      <c r="Z16" s="50">
        <v>9</v>
      </c>
      <c r="AA16" s="312">
        <v>1.2</v>
      </c>
      <c r="AB16" s="87">
        <v>1.1150377561073679</v>
      </c>
      <c r="AC16" s="88">
        <v>1.2365959919080913</v>
      </c>
      <c r="AD16" s="89" t="s">
        <v>116</v>
      </c>
      <c r="AF16" s="52">
        <v>1.1000000000000001</v>
      </c>
      <c r="AG16" s="52">
        <v>1.02</v>
      </c>
      <c r="AH16" s="52">
        <v>1</v>
      </c>
      <c r="AI16" s="52">
        <v>1</v>
      </c>
      <c r="AJ16" s="52">
        <v>1</v>
      </c>
      <c r="AK16" s="52">
        <v>1.05</v>
      </c>
    </row>
    <row r="17" spans="1:37" ht="18" customHeight="1">
      <c r="A17" s="156">
        <v>1314</v>
      </c>
      <c r="B17" s="168" t="s">
        <v>525</v>
      </c>
      <c r="C17" s="151"/>
      <c r="D17" s="152" t="s">
        <v>526</v>
      </c>
      <c r="E17" s="153" t="s">
        <v>402</v>
      </c>
      <c r="F17" s="144" t="s">
        <v>123</v>
      </c>
      <c r="G17" s="125" t="s">
        <v>393</v>
      </c>
      <c r="H17" s="154" t="s">
        <v>402</v>
      </c>
      <c r="I17" s="123" t="s">
        <v>402</v>
      </c>
      <c r="J17" s="124">
        <v>1</v>
      </c>
      <c r="K17" s="125" t="s">
        <v>522</v>
      </c>
      <c r="L17" s="155">
        <v>4.7531452614439021E-7</v>
      </c>
      <c r="M17" s="29">
        <v>1</v>
      </c>
      <c r="N17" s="1">
        <v>1.2365959919080913</v>
      </c>
      <c r="O17" s="31" t="s">
        <v>115</v>
      </c>
      <c r="P17" s="287">
        <v>2.4298078576501209E-2</v>
      </c>
      <c r="Q17" s="289">
        <v>22.790310650887573</v>
      </c>
      <c r="R17" s="287">
        <v>0.14400000000000002</v>
      </c>
      <c r="S17" s="115" t="s">
        <v>488</v>
      </c>
      <c r="T17" s="10">
        <v>3</v>
      </c>
      <c r="U17" s="50">
        <v>2</v>
      </c>
      <c r="V17" s="50">
        <v>1</v>
      </c>
      <c r="W17" s="50">
        <v>1</v>
      </c>
      <c r="X17" s="50">
        <v>1</v>
      </c>
      <c r="Y17" s="50">
        <v>3</v>
      </c>
      <c r="Z17" s="50">
        <v>9</v>
      </c>
      <c r="AA17" s="312">
        <v>1.2</v>
      </c>
      <c r="AB17" s="87">
        <v>1.1150377561073679</v>
      </c>
      <c r="AC17" s="88">
        <v>1.2365959919080913</v>
      </c>
      <c r="AD17" s="89" t="s">
        <v>116</v>
      </c>
      <c r="AF17" s="52">
        <v>1.1000000000000001</v>
      </c>
      <c r="AG17" s="52">
        <v>1.02</v>
      </c>
      <c r="AH17" s="52">
        <v>1</v>
      </c>
      <c r="AI17" s="52">
        <v>1</v>
      </c>
      <c r="AJ17" s="52">
        <v>1</v>
      </c>
      <c r="AK17" s="52">
        <v>1.05</v>
      </c>
    </row>
    <row r="18" spans="1:37" ht="18" customHeight="1">
      <c r="A18" s="156">
        <v>1316</v>
      </c>
      <c r="B18" s="168" t="s">
        <v>525</v>
      </c>
      <c r="C18" s="151"/>
      <c r="D18" s="152" t="s">
        <v>526</v>
      </c>
      <c r="E18" s="153" t="s">
        <v>402</v>
      </c>
      <c r="F18" s="144" t="s">
        <v>124</v>
      </c>
      <c r="G18" s="125" t="s">
        <v>393</v>
      </c>
      <c r="H18" s="154" t="s">
        <v>402</v>
      </c>
      <c r="I18" s="123" t="s">
        <v>402</v>
      </c>
      <c r="J18" s="124">
        <v>1</v>
      </c>
      <c r="K18" s="125" t="s">
        <v>522</v>
      </c>
      <c r="L18" s="155">
        <v>4.7531452614439021E-7</v>
      </c>
      <c r="M18" s="29">
        <v>1</v>
      </c>
      <c r="N18" s="1">
        <v>1.2365959919080913</v>
      </c>
      <c r="O18" s="31" t="s">
        <v>115</v>
      </c>
      <c r="P18" s="287">
        <v>2.4298078576501209E-2</v>
      </c>
      <c r="Q18" s="289">
        <v>22.790310650887573</v>
      </c>
      <c r="R18" s="287">
        <v>0.14400000000000002</v>
      </c>
      <c r="S18" s="115" t="s">
        <v>488</v>
      </c>
      <c r="T18" s="10">
        <v>3</v>
      </c>
      <c r="U18" s="50">
        <v>2</v>
      </c>
      <c r="V18" s="50">
        <v>1</v>
      </c>
      <c r="W18" s="50">
        <v>1</v>
      </c>
      <c r="X18" s="50">
        <v>1</v>
      </c>
      <c r="Y18" s="50">
        <v>3</v>
      </c>
      <c r="Z18" s="50">
        <v>9</v>
      </c>
      <c r="AA18" s="312">
        <v>1.2</v>
      </c>
      <c r="AB18" s="87">
        <v>1.1150377561073679</v>
      </c>
      <c r="AC18" s="88">
        <v>1.2365959919080913</v>
      </c>
      <c r="AD18" s="89" t="s">
        <v>116</v>
      </c>
      <c r="AF18" s="52">
        <v>1.1000000000000001</v>
      </c>
      <c r="AG18" s="52">
        <v>1.02</v>
      </c>
      <c r="AH18" s="52">
        <v>1</v>
      </c>
      <c r="AI18" s="52">
        <v>1</v>
      </c>
      <c r="AJ18" s="52">
        <v>1</v>
      </c>
      <c r="AK18" s="52">
        <v>1.05</v>
      </c>
    </row>
    <row r="19" spans="1:37" ht="18" customHeight="1">
      <c r="A19" s="156">
        <v>1318</v>
      </c>
      <c r="B19" s="168" t="s">
        <v>525</v>
      </c>
      <c r="C19" s="151"/>
      <c r="D19" s="152" t="s">
        <v>526</v>
      </c>
      <c r="E19" s="153" t="s">
        <v>402</v>
      </c>
      <c r="F19" s="144" t="s">
        <v>125</v>
      </c>
      <c r="G19" s="125" t="s">
        <v>393</v>
      </c>
      <c r="H19" s="154" t="s">
        <v>402</v>
      </c>
      <c r="I19" s="123" t="s">
        <v>402</v>
      </c>
      <c r="J19" s="124">
        <v>1</v>
      </c>
      <c r="K19" s="125" t="s">
        <v>522</v>
      </c>
      <c r="L19" s="155">
        <v>2.4827627217290486E-7</v>
      </c>
      <c r="M19" s="29">
        <v>1</v>
      </c>
      <c r="N19" s="1">
        <v>1.2365959919080913</v>
      </c>
      <c r="O19" s="31" t="s">
        <v>115</v>
      </c>
      <c r="P19" s="287">
        <v>1.8948445092236102E-2</v>
      </c>
      <c r="Q19" s="289">
        <v>21.428571428571434</v>
      </c>
      <c r="R19" s="287">
        <v>0.1531508875739645</v>
      </c>
      <c r="S19" s="115" t="s">
        <v>488</v>
      </c>
      <c r="T19" s="10">
        <v>3</v>
      </c>
      <c r="U19" s="50">
        <v>2</v>
      </c>
      <c r="V19" s="50">
        <v>1</v>
      </c>
      <c r="W19" s="50">
        <v>1</v>
      </c>
      <c r="X19" s="50">
        <v>1</v>
      </c>
      <c r="Y19" s="50">
        <v>3</v>
      </c>
      <c r="Z19" s="50">
        <v>9</v>
      </c>
      <c r="AA19" s="312">
        <v>1.2</v>
      </c>
      <c r="AB19" s="87">
        <v>1.1150377561073679</v>
      </c>
      <c r="AC19" s="88">
        <v>1.2365959919080913</v>
      </c>
      <c r="AD19" s="89" t="s">
        <v>116</v>
      </c>
      <c r="AF19" s="52">
        <v>1.1000000000000001</v>
      </c>
      <c r="AG19" s="52">
        <v>1.02</v>
      </c>
      <c r="AH19" s="52">
        <v>1</v>
      </c>
      <c r="AI19" s="52">
        <v>1</v>
      </c>
      <c r="AJ19" s="52">
        <v>1</v>
      </c>
      <c r="AK19" s="52">
        <v>1.05</v>
      </c>
    </row>
    <row r="20" spans="1:37" ht="18" customHeight="1">
      <c r="A20" s="156">
        <v>1320</v>
      </c>
      <c r="B20" s="168" t="s">
        <v>525</v>
      </c>
      <c r="C20" s="151"/>
      <c r="D20" s="152" t="s">
        <v>526</v>
      </c>
      <c r="E20" s="153" t="s">
        <v>402</v>
      </c>
      <c r="F20" s="144" t="s">
        <v>126</v>
      </c>
      <c r="G20" s="125" t="s">
        <v>393</v>
      </c>
      <c r="H20" s="154" t="s">
        <v>402</v>
      </c>
      <c r="I20" s="123" t="s">
        <v>402</v>
      </c>
      <c r="J20" s="124">
        <v>1</v>
      </c>
      <c r="K20" s="125" t="s">
        <v>522</v>
      </c>
      <c r="L20" s="155">
        <v>3.6807591862373072E-7</v>
      </c>
      <c r="M20" s="29">
        <v>1</v>
      </c>
      <c r="N20" s="1">
        <v>1.2365959919080913</v>
      </c>
      <c r="O20" s="31" t="s">
        <v>115</v>
      </c>
      <c r="P20" s="287">
        <v>2.8091554109363131E-2</v>
      </c>
      <c r="Q20" s="289">
        <v>22.790310650887573</v>
      </c>
      <c r="R20" s="287">
        <v>0.14400000000000002</v>
      </c>
      <c r="S20" s="115" t="s">
        <v>488</v>
      </c>
      <c r="T20" s="10">
        <v>3</v>
      </c>
      <c r="U20" s="50">
        <v>2</v>
      </c>
      <c r="V20" s="50">
        <v>1</v>
      </c>
      <c r="W20" s="50">
        <v>1</v>
      </c>
      <c r="X20" s="50">
        <v>1</v>
      </c>
      <c r="Y20" s="50">
        <v>3</v>
      </c>
      <c r="Z20" s="50">
        <v>9</v>
      </c>
      <c r="AA20" s="312">
        <v>1.2</v>
      </c>
      <c r="AB20" s="87">
        <v>1.1150377561073679</v>
      </c>
      <c r="AC20" s="88">
        <v>1.2365959919080913</v>
      </c>
      <c r="AD20" s="89" t="s">
        <v>116</v>
      </c>
      <c r="AF20" s="52">
        <v>1.1000000000000001</v>
      </c>
      <c r="AG20" s="52">
        <v>1.02</v>
      </c>
      <c r="AH20" s="52">
        <v>1</v>
      </c>
      <c r="AI20" s="52">
        <v>1</v>
      </c>
      <c r="AJ20" s="52">
        <v>1</v>
      </c>
      <c r="AK20" s="52">
        <v>1.05</v>
      </c>
    </row>
    <row r="21" spans="1:37" ht="30.75" customHeight="1">
      <c r="A21" s="156">
        <v>1322</v>
      </c>
      <c r="B21" s="168" t="s">
        <v>525</v>
      </c>
      <c r="C21" s="151"/>
      <c r="D21" s="152" t="s">
        <v>526</v>
      </c>
      <c r="E21" s="153" t="s">
        <v>402</v>
      </c>
      <c r="F21" s="144" t="s">
        <v>127</v>
      </c>
      <c r="G21" s="125" t="s">
        <v>393</v>
      </c>
      <c r="H21" s="154" t="s">
        <v>402</v>
      </c>
      <c r="I21" s="123" t="s">
        <v>402</v>
      </c>
      <c r="J21" s="124">
        <v>1</v>
      </c>
      <c r="K21" s="125" t="s">
        <v>522</v>
      </c>
      <c r="L21" s="155">
        <v>8.2758757390968305E-8</v>
      </c>
      <c r="M21" s="29">
        <v>1</v>
      </c>
      <c r="N21" s="1">
        <v>1.2365959919080913</v>
      </c>
      <c r="O21" s="31" t="s">
        <v>115</v>
      </c>
      <c r="P21" s="287">
        <v>6.3161483640787018E-3</v>
      </c>
      <c r="Q21" s="289">
        <v>21.428571428571434</v>
      </c>
      <c r="R21" s="287">
        <v>0.1531508875739645</v>
      </c>
      <c r="S21" s="115" t="s">
        <v>488</v>
      </c>
      <c r="T21" s="10">
        <v>3</v>
      </c>
      <c r="U21" s="50">
        <v>2</v>
      </c>
      <c r="V21" s="50">
        <v>1</v>
      </c>
      <c r="W21" s="50">
        <v>1</v>
      </c>
      <c r="X21" s="50">
        <v>1</v>
      </c>
      <c r="Y21" s="50">
        <v>3</v>
      </c>
      <c r="Z21" s="50">
        <v>9</v>
      </c>
      <c r="AA21" s="312">
        <v>1.2</v>
      </c>
      <c r="AB21" s="87">
        <v>1.1150377561073679</v>
      </c>
      <c r="AC21" s="88">
        <v>1.2365959919080913</v>
      </c>
      <c r="AD21" s="89" t="s">
        <v>116</v>
      </c>
      <c r="AF21" s="52">
        <v>1.1000000000000001</v>
      </c>
      <c r="AG21" s="52">
        <v>1.02</v>
      </c>
      <c r="AH21" s="52">
        <v>1</v>
      </c>
      <c r="AI21" s="52">
        <v>1</v>
      </c>
      <c r="AJ21" s="52">
        <v>1</v>
      </c>
      <c r="AK21" s="52">
        <v>1.05</v>
      </c>
    </row>
    <row r="22" spans="1:37" ht="18" customHeight="1">
      <c r="A22" s="156">
        <v>1324</v>
      </c>
      <c r="B22" s="168" t="s">
        <v>525</v>
      </c>
      <c r="C22" s="151"/>
      <c r="D22" s="152" t="s">
        <v>526</v>
      </c>
      <c r="E22" s="153" t="s">
        <v>402</v>
      </c>
      <c r="F22" s="144" t="s">
        <v>128</v>
      </c>
      <c r="G22" s="125" t="s">
        <v>393</v>
      </c>
      <c r="H22" s="154" t="s">
        <v>402</v>
      </c>
      <c r="I22" s="123" t="s">
        <v>402</v>
      </c>
      <c r="J22" s="124">
        <v>1</v>
      </c>
      <c r="K22" s="125" t="s">
        <v>522</v>
      </c>
      <c r="L22" s="155">
        <v>3.0064876030116992E-6</v>
      </c>
      <c r="M22" s="29">
        <v>1</v>
      </c>
      <c r="N22" s="1">
        <v>1.2365959919080913</v>
      </c>
      <c r="O22" s="31" t="s">
        <v>115</v>
      </c>
      <c r="P22" s="287">
        <v>0.2294551338618529</v>
      </c>
      <c r="Q22" s="289">
        <v>21.428571428571434</v>
      </c>
      <c r="R22" s="287">
        <v>0.1531508875739645</v>
      </c>
      <c r="S22" s="115" t="s">
        <v>488</v>
      </c>
      <c r="T22" s="10">
        <v>3</v>
      </c>
      <c r="U22" s="50">
        <v>2</v>
      </c>
      <c r="V22" s="50">
        <v>1</v>
      </c>
      <c r="W22" s="50">
        <v>1</v>
      </c>
      <c r="X22" s="50">
        <v>1</v>
      </c>
      <c r="Y22" s="50">
        <v>3</v>
      </c>
      <c r="Z22" s="50">
        <v>9</v>
      </c>
      <c r="AA22" s="312">
        <v>1.2</v>
      </c>
      <c r="AB22" s="87">
        <v>1.1150377561073679</v>
      </c>
      <c r="AC22" s="88">
        <v>1.2365959919080913</v>
      </c>
      <c r="AD22" s="89" t="s">
        <v>116</v>
      </c>
      <c r="AF22" s="52">
        <v>1.1000000000000001</v>
      </c>
      <c r="AG22" s="52">
        <v>1.02</v>
      </c>
      <c r="AH22" s="52">
        <v>1</v>
      </c>
      <c r="AI22" s="52">
        <v>1</v>
      </c>
      <c r="AJ22" s="52">
        <v>1</v>
      </c>
      <c r="AK22" s="52">
        <v>1.05</v>
      </c>
    </row>
    <row r="23" spans="1:37" ht="36" customHeight="1">
      <c r="A23" s="156">
        <v>1326</v>
      </c>
      <c r="B23" s="168" t="s">
        <v>525</v>
      </c>
      <c r="C23" s="151"/>
      <c r="D23" s="152" t="s">
        <v>526</v>
      </c>
      <c r="E23" s="153" t="s">
        <v>402</v>
      </c>
      <c r="F23" s="144" t="s">
        <v>129</v>
      </c>
      <c r="G23" s="125" t="s">
        <v>393</v>
      </c>
      <c r="H23" s="154" t="s">
        <v>402</v>
      </c>
      <c r="I23" s="123" t="s">
        <v>402</v>
      </c>
      <c r="J23" s="124">
        <v>1</v>
      </c>
      <c r="K23" s="125" t="s">
        <v>522</v>
      </c>
      <c r="L23" s="155">
        <v>3.1837105053067621E-7</v>
      </c>
      <c r="M23" s="29">
        <v>1</v>
      </c>
      <c r="N23" s="1">
        <v>1.2365959919080913</v>
      </c>
      <c r="O23" s="31" t="s">
        <v>115</v>
      </c>
      <c r="P23" s="287">
        <v>2.4298078576501209E-2</v>
      </c>
      <c r="Q23" s="289">
        <v>22.790310650887573</v>
      </c>
      <c r="R23" s="287">
        <v>0.14400000000000002</v>
      </c>
      <c r="S23" s="115" t="s">
        <v>488</v>
      </c>
      <c r="T23" s="10">
        <v>3</v>
      </c>
      <c r="U23" s="50">
        <v>2</v>
      </c>
      <c r="V23" s="50">
        <v>1</v>
      </c>
      <c r="W23" s="50">
        <v>1</v>
      </c>
      <c r="X23" s="50">
        <v>1</v>
      </c>
      <c r="Y23" s="50">
        <v>3</v>
      </c>
      <c r="Z23" s="50">
        <v>9</v>
      </c>
      <c r="AA23" s="312">
        <v>1.2</v>
      </c>
      <c r="AB23" s="87">
        <v>1.1150377561073679</v>
      </c>
      <c r="AC23" s="88">
        <v>1.2365959919080913</v>
      </c>
      <c r="AD23" s="89" t="s">
        <v>116</v>
      </c>
      <c r="AF23" s="52">
        <v>1.1000000000000001</v>
      </c>
      <c r="AG23" s="52">
        <v>1.02</v>
      </c>
      <c r="AH23" s="52">
        <v>1</v>
      </c>
      <c r="AI23" s="52">
        <v>1</v>
      </c>
      <c r="AJ23" s="52">
        <v>1</v>
      </c>
      <c r="AK23" s="52">
        <v>1.05</v>
      </c>
    </row>
    <row r="24" spans="1:37" ht="18" customHeight="1" outlineLevel="1">
      <c r="A24" s="156">
        <v>1328</v>
      </c>
      <c r="B24" s="168" t="s">
        <v>525</v>
      </c>
      <c r="C24" s="151"/>
      <c r="D24" s="152" t="s">
        <v>526</v>
      </c>
      <c r="E24" s="153" t="s">
        <v>402</v>
      </c>
      <c r="F24" s="144" t="s">
        <v>130</v>
      </c>
      <c r="G24" s="125" t="s">
        <v>393</v>
      </c>
      <c r="H24" s="154" t="s">
        <v>402</v>
      </c>
      <c r="I24" s="123" t="s">
        <v>402</v>
      </c>
      <c r="J24" s="124">
        <v>1</v>
      </c>
      <c r="K24" s="125" t="s">
        <v>522</v>
      </c>
      <c r="L24" s="155">
        <v>4.4571947074294667E-6</v>
      </c>
      <c r="M24" s="29">
        <v>1</v>
      </c>
      <c r="N24" s="1">
        <v>1.2365959919080913</v>
      </c>
      <c r="O24" s="31" t="s">
        <v>115</v>
      </c>
      <c r="P24" s="287">
        <v>0.34017310007101692</v>
      </c>
      <c r="Q24" s="289">
        <v>22.790310650887573</v>
      </c>
      <c r="R24" s="287">
        <v>0.14400000000000002</v>
      </c>
      <c r="S24" s="115" t="s">
        <v>488</v>
      </c>
      <c r="T24" s="10">
        <v>3</v>
      </c>
      <c r="U24" s="50">
        <v>2</v>
      </c>
      <c r="V24" s="50">
        <v>1</v>
      </c>
      <c r="W24" s="50">
        <v>1</v>
      </c>
      <c r="X24" s="50">
        <v>1</v>
      </c>
      <c r="Y24" s="50">
        <v>3</v>
      </c>
      <c r="Z24" s="50">
        <v>9</v>
      </c>
      <c r="AA24" s="312">
        <v>1.2</v>
      </c>
      <c r="AB24" s="87">
        <v>1.1150377561073679</v>
      </c>
      <c r="AC24" s="88">
        <v>1.2365959919080913</v>
      </c>
      <c r="AD24" s="89" t="s">
        <v>116</v>
      </c>
      <c r="AF24" s="52">
        <v>1.1000000000000001</v>
      </c>
      <c r="AG24" s="52">
        <v>1.02</v>
      </c>
      <c r="AH24" s="52">
        <v>1</v>
      </c>
      <c r="AI24" s="52">
        <v>1</v>
      </c>
      <c r="AJ24" s="52">
        <v>1</v>
      </c>
      <c r="AK24" s="52">
        <v>1.05</v>
      </c>
    </row>
    <row r="25" spans="1:37" ht="18" customHeight="1" outlineLevel="1">
      <c r="A25" s="120">
        <v>32066</v>
      </c>
      <c r="B25" s="168" t="s">
        <v>525</v>
      </c>
      <c r="C25" s="151"/>
      <c r="D25" s="152" t="s">
        <v>526</v>
      </c>
      <c r="E25" s="153" t="s">
        <v>402</v>
      </c>
      <c r="F25" s="144" t="s">
        <v>65</v>
      </c>
      <c r="G25" s="125" t="s">
        <v>393</v>
      </c>
      <c r="H25" s="154" t="s">
        <v>402</v>
      </c>
      <c r="I25" s="123" t="s">
        <v>402</v>
      </c>
      <c r="J25" s="124">
        <v>1</v>
      </c>
      <c r="K25" s="125" t="s">
        <v>522</v>
      </c>
      <c r="L25" s="155">
        <v>3.6589749726584271E-7</v>
      </c>
      <c r="M25" s="29">
        <v>1</v>
      </c>
      <c r="N25" s="1">
        <v>1.2365959919080913</v>
      </c>
      <c r="O25" s="31" t="s">
        <v>115</v>
      </c>
      <c r="P25" s="287">
        <v>2.7925296991329118E-2</v>
      </c>
      <c r="Q25" s="289">
        <v>25</v>
      </c>
      <c r="R25" s="287">
        <v>0.13127218934911242</v>
      </c>
      <c r="S25" s="115" t="s">
        <v>488</v>
      </c>
      <c r="T25" s="10">
        <v>3</v>
      </c>
      <c r="U25" s="50">
        <v>2</v>
      </c>
      <c r="V25" s="50">
        <v>1</v>
      </c>
      <c r="W25" s="50">
        <v>1</v>
      </c>
      <c r="X25" s="50">
        <v>1</v>
      </c>
      <c r="Y25" s="50">
        <v>3</v>
      </c>
      <c r="Z25" s="50">
        <v>9</v>
      </c>
      <c r="AA25" s="312">
        <v>1.2</v>
      </c>
      <c r="AB25" s="87">
        <v>1.1150377561073679</v>
      </c>
      <c r="AC25" s="88">
        <v>1.2365959919080913</v>
      </c>
      <c r="AD25" s="89" t="s">
        <v>116</v>
      </c>
      <c r="AF25" s="52">
        <v>1.1000000000000001</v>
      </c>
      <c r="AG25" s="52">
        <v>1.02</v>
      </c>
      <c r="AH25" s="52">
        <v>1</v>
      </c>
      <c r="AI25" s="52">
        <v>1</v>
      </c>
      <c r="AJ25" s="52">
        <v>1</v>
      </c>
      <c r="AK25" s="52">
        <v>1.05</v>
      </c>
    </row>
    <row r="26" spans="1:37" ht="30.75" customHeight="1" outlineLevel="1">
      <c r="A26" s="120">
        <v>32068</v>
      </c>
      <c r="B26" s="168" t="s">
        <v>525</v>
      </c>
      <c r="C26" s="151"/>
      <c r="D26" s="152" t="s">
        <v>526</v>
      </c>
      <c r="E26" s="153" t="s">
        <v>402</v>
      </c>
      <c r="F26" s="144" t="s">
        <v>67</v>
      </c>
      <c r="G26" s="125" t="s">
        <v>393</v>
      </c>
      <c r="H26" s="154" t="s">
        <v>402</v>
      </c>
      <c r="I26" s="123" t="s">
        <v>402</v>
      </c>
      <c r="J26" s="124">
        <v>1</v>
      </c>
      <c r="K26" s="125" t="s">
        <v>522</v>
      </c>
      <c r="L26" s="155">
        <v>2.6135535518988767E-8</v>
      </c>
      <c r="M26" s="29">
        <v>1</v>
      </c>
      <c r="N26" s="1">
        <v>1.2365959919080913</v>
      </c>
      <c r="O26" s="31" t="s">
        <v>115</v>
      </c>
      <c r="P26" s="287">
        <v>1.9946640708092228E-3</v>
      </c>
      <c r="Q26" s="289">
        <v>25</v>
      </c>
      <c r="R26" s="287">
        <v>0.13127218934911242</v>
      </c>
      <c r="S26" s="115" t="s">
        <v>488</v>
      </c>
      <c r="T26" s="10">
        <v>3</v>
      </c>
      <c r="U26" s="50">
        <v>2</v>
      </c>
      <c r="V26" s="50">
        <v>1</v>
      </c>
      <c r="W26" s="50">
        <v>1</v>
      </c>
      <c r="X26" s="50">
        <v>1</v>
      </c>
      <c r="Y26" s="50">
        <v>3</v>
      </c>
      <c r="Z26" s="50">
        <v>9</v>
      </c>
      <c r="AA26" s="312">
        <v>1.2</v>
      </c>
      <c r="AB26" s="87">
        <v>1.1150377561073679</v>
      </c>
      <c r="AC26" s="88">
        <v>1.2365959919080913</v>
      </c>
      <c r="AD26" s="89" t="s">
        <v>116</v>
      </c>
      <c r="AF26" s="52">
        <v>1.1000000000000001</v>
      </c>
      <c r="AG26" s="52">
        <v>1.02</v>
      </c>
      <c r="AH26" s="52">
        <v>1</v>
      </c>
      <c r="AI26" s="52">
        <v>1</v>
      </c>
      <c r="AJ26" s="52">
        <v>1</v>
      </c>
      <c r="AK26" s="52">
        <v>1.05</v>
      </c>
    </row>
    <row r="27" spans="1:37" ht="18" customHeight="1" outlineLevel="1">
      <c r="A27" s="417">
        <v>32076</v>
      </c>
      <c r="B27" s="168" t="s">
        <v>525</v>
      </c>
      <c r="C27" s="151"/>
      <c r="D27" s="152" t="s">
        <v>526</v>
      </c>
      <c r="E27" s="153" t="s">
        <v>402</v>
      </c>
      <c r="F27" s="144" t="s">
        <v>66</v>
      </c>
      <c r="G27" s="125" t="s">
        <v>393</v>
      </c>
      <c r="H27" s="154" t="s">
        <v>402</v>
      </c>
      <c r="I27" s="123" t="s">
        <v>402</v>
      </c>
      <c r="J27" s="124">
        <v>1</v>
      </c>
      <c r="K27" s="125" t="s">
        <v>522</v>
      </c>
      <c r="L27" s="155">
        <v>6.304769831365635E-7</v>
      </c>
      <c r="M27" s="29">
        <v>1</v>
      </c>
      <c r="N27" s="1">
        <v>1.2365959919080913</v>
      </c>
      <c r="O27" s="31" t="s">
        <v>115</v>
      </c>
      <c r="P27" s="287">
        <v>4.8118003352982532E-2</v>
      </c>
      <c r="Q27" s="289">
        <v>33.333333333333336</v>
      </c>
      <c r="R27" s="287">
        <v>0.09</v>
      </c>
      <c r="S27" s="115" t="s">
        <v>488</v>
      </c>
      <c r="T27" s="10">
        <v>3</v>
      </c>
      <c r="U27" s="50">
        <v>2</v>
      </c>
      <c r="V27" s="50">
        <v>1</v>
      </c>
      <c r="W27" s="50">
        <v>1</v>
      </c>
      <c r="X27" s="50">
        <v>1</v>
      </c>
      <c r="Y27" s="50">
        <v>3</v>
      </c>
      <c r="Z27" s="50">
        <v>9</v>
      </c>
      <c r="AA27" s="312">
        <v>1.2</v>
      </c>
      <c r="AB27" s="87">
        <v>1.1150377561073679</v>
      </c>
      <c r="AC27" s="88">
        <v>1.2365959919080913</v>
      </c>
      <c r="AD27" s="89" t="s">
        <v>116</v>
      </c>
      <c r="AF27" s="52">
        <v>1.1000000000000001</v>
      </c>
      <c r="AG27" s="52">
        <v>1.02</v>
      </c>
      <c r="AH27" s="52">
        <v>1</v>
      </c>
      <c r="AI27" s="52">
        <v>1</v>
      </c>
      <c r="AJ27" s="52">
        <v>1</v>
      </c>
      <c r="AK27" s="52">
        <v>1.05</v>
      </c>
    </row>
    <row r="28" spans="1:37" ht="18" customHeight="1" outlineLevel="1">
      <c r="A28" s="120">
        <v>32080</v>
      </c>
      <c r="B28" s="168" t="s">
        <v>525</v>
      </c>
      <c r="C28" s="151"/>
      <c r="D28" s="152" t="s">
        <v>526</v>
      </c>
      <c r="E28" s="153" t="s">
        <v>402</v>
      </c>
      <c r="F28" s="144" t="s">
        <v>64</v>
      </c>
      <c r="G28" s="125" t="s">
        <v>393</v>
      </c>
      <c r="H28" s="154" t="s">
        <v>402</v>
      </c>
      <c r="I28" s="123" t="s">
        <v>402</v>
      </c>
      <c r="J28" s="124">
        <v>1</v>
      </c>
      <c r="K28" s="125" t="s">
        <v>522</v>
      </c>
      <c r="L28" s="155">
        <v>7.466874076764865E-8</v>
      </c>
      <c r="M28" s="29">
        <v>1</v>
      </c>
      <c r="N28" s="1">
        <v>1.2365959919080913</v>
      </c>
      <c r="O28" s="31" t="s">
        <v>115</v>
      </c>
      <c r="P28" s="287">
        <v>5.6987182953869451E-3</v>
      </c>
      <c r="Q28" s="289">
        <v>28.078438106415156</v>
      </c>
      <c r="R28" s="287">
        <v>0.10684354979540625</v>
      </c>
      <c r="S28" s="115" t="s">
        <v>488</v>
      </c>
      <c r="T28" s="10">
        <v>3</v>
      </c>
      <c r="U28" s="50">
        <v>2</v>
      </c>
      <c r="V28" s="50">
        <v>1</v>
      </c>
      <c r="W28" s="50">
        <v>1</v>
      </c>
      <c r="X28" s="50">
        <v>1</v>
      </c>
      <c r="Y28" s="50">
        <v>3</v>
      </c>
      <c r="Z28" s="50">
        <v>9</v>
      </c>
      <c r="AA28" s="312">
        <v>1.2</v>
      </c>
      <c r="AB28" s="87">
        <v>1.1150377561073679</v>
      </c>
      <c r="AC28" s="88">
        <v>1.2365959919080913</v>
      </c>
      <c r="AD28" s="89" t="s">
        <v>116</v>
      </c>
      <c r="AF28" s="52">
        <v>1.1000000000000001</v>
      </c>
      <c r="AG28" s="52">
        <v>1.02</v>
      </c>
      <c r="AH28" s="52">
        <v>1</v>
      </c>
      <c r="AI28" s="52">
        <v>1</v>
      </c>
      <c r="AJ28" s="52">
        <v>1</v>
      </c>
      <c r="AK28" s="52">
        <v>1.05</v>
      </c>
    </row>
    <row r="29" spans="1:37" ht="18" customHeight="1" outlineLevel="1">
      <c r="A29" s="120">
        <v>32130</v>
      </c>
      <c r="B29" s="168" t="s">
        <v>525</v>
      </c>
      <c r="C29" s="151"/>
      <c r="D29" s="152" t="s">
        <v>526</v>
      </c>
      <c r="E29" s="153" t="s">
        <v>402</v>
      </c>
      <c r="F29" s="144" t="s">
        <v>68</v>
      </c>
      <c r="G29" s="125" t="s">
        <v>393</v>
      </c>
      <c r="H29" s="154" t="s">
        <v>402</v>
      </c>
      <c r="I29" s="123" t="s">
        <v>402</v>
      </c>
      <c r="J29" s="124">
        <v>1</v>
      </c>
      <c r="K29" s="125" t="s">
        <v>522</v>
      </c>
      <c r="L29" s="155">
        <v>4.0898038636357019E-8</v>
      </c>
      <c r="M29" s="29">
        <v>1</v>
      </c>
      <c r="N29" s="1">
        <v>1.2365959919080913</v>
      </c>
      <c r="O29" s="31" t="s">
        <v>115</v>
      </c>
      <c r="P29" s="287">
        <v>3.1213383087267677E-3</v>
      </c>
      <c r="Q29" s="289">
        <v>46.511627906976742</v>
      </c>
      <c r="R29" s="287">
        <v>6.4500000000000002E-2</v>
      </c>
      <c r="S29" s="115" t="s">
        <v>488</v>
      </c>
      <c r="T29" s="10">
        <v>3</v>
      </c>
      <c r="U29" s="50">
        <v>2</v>
      </c>
      <c r="V29" s="50">
        <v>1</v>
      </c>
      <c r="W29" s="50">
        <v>1</v>
      </c>
      <c r="X29" s="50">
        <v>1</v>
      </c>
      <c r="Y29" s="50">
        <v>3</v>
      </c>
      <c r="Z29" s="50">
        <v>9</v>
      </c>
      <c r="AA29" s="312">
        <v>1.2</v>
      </c>
      <c r="AB29" s="87">
        <v>1.1150377561073679</v>
      </c>
      <c r="AC29" s="88">
        <v>1.2365959919080913</v>
      </c>
      <c r="AD29" s="89" t="s">
        <v>116</v>
      </c>
      <c r="AF29" s="52">
        <v>1.1000000000000001</v>
      </c>
      <c r="AG29" s="52">
        <v>1.02</v>
      </c>
      <c r="AH29" s="52">
        <v>1</v>
      </c>
      <c r="AI29" s="52">
        <v>1</v>
      </c>
      <c r="AJ29" s="52">
        <v>1</v>
      </c>
      <c r="AK29" s="52">
        <v>1.05</v>
      </c>
    </row>
    <row r="30" spans="1:37" ht="18" customHeight="1" outlineLevel="1">
      <c r="A30" s="120">
        <v>32131</v>
      </c>
      <c r="B30" s="168" t="s">
        <v>525</v>
      </c>
      <c r="C30" s="151"/>
      <c r="D30" s="152" t="s">
        <v>526</v>
      </c>
      <c r="E30" s="153" t="s">
        <v>402</v>
      </c>
      <c r="F30" s="144" t="s">
        <v>69</v>
      </c>
      <c r="G30" s="125" t="s">
        <v>393</v>
      </c>
      <c r="H30" s="154" t="s">
        <v>402</v>
      </c>
      <c r="I30" s="123" t="s">
        <v>402</v>
      </c>
      <c r="J30" s="124">
        <v>1</v>
      </c>
      <c r="K30" s="125" t="s">
        <v>522</v>
      </c>
      <c r="L30" s="155">
        <v>5.7257254090899823E-7</v>
      </c>
      <c r="M30" s="29">
        <v>1</v>
      </c>
      <c r="N30" s="1">
        <v>1.2365959919080913</v>
      </c>
      <c r="O30" s="31" t="s">
        <v>115</v>
      </c>
      <c r="P30" s="287">
        <v>4.3698736322174747E-2</v>
      </c>
      <c r="Q30" s="289">
        <v>46.511627906976742</v>
      </c>
      <c r="R30" s="287">
        <v>6.4500000000000002E-2</v>
      </c>
      <c r="S30" s="115" t="s">
        <v>488</v>
      </c>
      <c r="T30" s="10">
        <v>3</v>
      </c>
      <c r="U30" s="50">
        <v>2</v>
      </c>
      <c r="V30" s="50">
        <v>1</v>
      </c>
      <c r="W30" s="50">
        <v>1</v>
      </c>
      <c r="X30" s="50">
        <v>1</v>
      </c>
      <c r="Y30" s="50">
        <v>3</v>
      </c>
      <c r="Z30" s="50">
        <v>9</v>
      </c>
      <c r="AA30" s="312">
        <v>1.2</v>
      </c>
      <c r="AB30" s="87">
        <v>1.1150377561073679</v>
      </c>
      <c r="AC30" s="88">
        <v>1.2365959919080913</v>
      </c>
      <c r="AD30" s="89" t="s">
        <v>116</v>
      </c>
      <c r="AF30" s="52">
        <v>1.1000000000000001</v>
      </c>
      <c r="AG30" s="52">
        <v>1.02</v>
      </c>
      <c r="AH30" s="52">
        <v>1</v>
      </c>
      <c r="AI30" s="52">
        <v>1</v>
      </c>
      <c r="AJ30" s="52">
        <v>1</v>
      </c>
      <c r="AK30" s="52">
        <v>1.05</v>
      </c>
    </row>
    <row r="31" spans="1:37" ht="18" customHeight="1">
      <c r="A31" s="156"/>
      <c r="B31" s="163" t="s">
        <v>692</v>
      </c>
      <c r="C31" s="151"/>
      <c r="D31" s="153" t="s">
        <v>402</v>
      </c>
      <c r="E31" s="152">
        <v>4</v>
      </c>
      <c r="F31" s="126" t="s">
        <v>324</v>
      </c>
      <c r="G31" s="125" t="s">
        <v>402</v>
      </c>
      <c r="H31" s="126" t="s">
        <v>325</v>
      </c>
      <c r="I31" s="126" t="s">
        <v>685</v>
      </c>
      <c r="J31" s="124" t="s">
        <v>402</v>
      </c>
      <c r="K31" s="125" t="s">
        <v>677</v>
      </c>
      <c r="L31" s="155">
        <v>0.25026737967914414</v>
      </c>
      <c r="M31" s="29">
        <v>1</v>
      </c>
      <c r="N31" s="1">
        <v>1.05</v>
      </c>
      <c r="O31" s="31" t="s">
        <v>131</v>
      </c>
      <c r="P31" s="180"/>
      <c r="Q31" s="180"/>
      <c r="R31" s="180"/>
      <c r="S31" s="115" t="s">
        <v>401</v>
      </c>
      <c r="T31" s="152">
        <v>1</v>
      </c>
      <c r="U31" s="152" t="s">
        <v>271</v>
      </c>
      <c r="V31" s="152" t="s">
        <v>271</v>
      </c>
      <c r="W31" s="152" t="s">
        <v>271</v>
      </c>
      <c r="X31" s="152" t="s">
        <v>271</v>
      </c>
      <c r="Y31" s="152" t="s">
        <v>271</v>
      </c>
      <c r="Z31" s="50">
        <v>13</v>
      </c>
      <c r="AA31" s="51">
        <v>1.05</v>
      </c>
      <c r="AB31" s="87">
        <v>1</v>
      </c>
      <c r="AC31" s="88">
        <v>1.05</v>
      </c>
      <c r="AD31" s="89" t="s">
        <v>132</v>
      </c>
      <c r="AF31" s="52">
        <v>1</v>
      </c>
      <c r="AG31" s="52">
        <v>1</v>
      </c>
      <c r="AH31" s="52">
        <v>1</v>
      </c>
      <c r="AI31" s="52">
        <v>1</v>
      </c>
      <c r="AJ31" s="52">
        <v>1</v>
      </c>
      <c r="AK31" s="52">
        <v>1</v>
      </c>
    </row>
    <row r="32" spans="1:37" outlineLevel="1">
      <c r="A32" s="5">
        <v>1459</v>
      </c>
      <c r="B32" s="168" t="s">
        <v>523</v>
      </c>
      <c r="C32" s="169"/>
      <c r="D32" s="11" t="s">
        <v>402</v>
      </c>
      <c r="E32" s="170">
        <v>0</v>
      </c>
      <c r="F32" s="145" t="s">
        <v>90</v>
      </c>
      <c r="G32" s="16" t="s">
        <v>393</v>
      </c>
      <c r="H32" s="14" t="s">
        <v>402</v>
      </c>
      <c r="I32" s="14" t="s">
        <v>402</v>
      </c>
      <c r="J32" s="15">
        <v>0</v>
      </c>
      <c r="K32" s="16" t="s">
        <v>678</v>
      </c>
      <c r="L32" s="149">
        <v>0</v>
      </c>
      <c r="M32" s="29"/>
      <c r="N32" s="1"/>
      <c r="O32" s="31"/>
      <c r="P32" s="180"/>
      <c r="Q32" s="180"/>
      <c r="R32" s="287">
        <v>0.1531508875739645</v>
      </c>
      <c r="S32" s="115"/>
      <c r="T32" s="10">
        <v>1</v>
      </c>
      <c r="U32" s="50">
        <v>1</v>
      </c>
      <c r="V32" s="50">
        <v>1</v>
      </c>
      <c r="W32" s="50">
        <v>1</v>
      </c>
      <c r="X32" s="50">
        <v>1</v>
      </c>
      <c r="Y32" s="50">
        <v>1</v>
      </c>
      <c r="Z32" s="50">
        <v>45</v>
      </c>
      <c r="AA32" s="51">
        <v>1</v>
      </c>
      <c r="AB32" s="87">
        <v>1</v>
      </c>
      <c r="AC32" s="88">
        <v>1</v>
      </c>
      <c r="AD32" s="89" t="s">
        <v>89</v>
      </c>
      <c r="AF32" s="52">
        <v>1</v>
      </c>
      <c r="AG32" s="52">
        <v>1</v>
      </c>
      <c r="AH32" s="52">
        <v>1</v>
      </c>
      <c r="AI32" s="52">
        <v>1</v>
      </c>
      <c r="AJ32" s="52">
        <v>1</v>
      </c>
      <c r="AK32" s="52">
        <v>1</v>
      </c>
    </row>
    <row r="33" spans="1:37" ht="24" outlineLevel="1">
      <c r="A33" s="6">
        <v>1460</v>
      </c>
      <c r="B33" s="168"/>
      <c r="C33" s="169"/>
      <c r="D33" s="11" t="s">
        <v>402</v>
      </c>
      <c r="E33" s="170">
        <v>0</v>
      </c>
      <c r="F33" s="145" t="s">
        <v>91</v>
      </c>
      <c r="G33" s="16" t="s">
        <v>393</v>
      </c>
      <c r="H33" s="14" t="s">
        <v>402</v>
      </c>
      <c r="I33" s="14" t="s">
        <v>402</v>
      </c>
      <c r="J33" s="15">
        <v>0</v>
      </c>
      <c r="K33" s="16" t="s">
        <v>678</v>
      </c>
      <c r="L33" s="149">
        <v>0</v>
      </c>
      <c r="M33" s="40"/>
      <c r="N33" s="89"/>
      <c r="O33" s="193"/>
      <c r="P33" s="180"/>
      <c r="Q33" s="180"/>
      <c r="R33" s="287">
        <v>0.1531508875739645</v>
      </c>
    </row>
    <row r="34" spans="1:37" outlineLevel="1">
      <c r="A34" s="6">
        <v>1461</v>
      </c>
      <c r="B34" s="168"/>
      <c r="C34" s="169"/>
      <c r="D34" s="11" t="s">
        <v>402</v>
      </c>
      <c r="E34" s="170">
        <v>0</v>
      </c>
      <c r="F34" s="145" t="s">
        <v>92</v>
      </c>
      <c r="G34" s="16" t="s">
        <v>393</v>
      </c>
      <c r="H34" s="14" t="s">
        <v>402</v>
      </c>
      <c r="I34" s="14" t="s">
        <v>402</v>
      </c>
      <c r="J34" s="15">
        <v>0</v>
      </c>
      <c r="K34" s="16" t="s">
        <v>678</v>
      </c>
      <c r="L34" s="149">
        <v>0</v>
      </c>
      <c r="M34" s="40"/>
      <c r="N34" s="89"/>
      <c r="O34" s="193"/>
      <c r="P34" s="180"/>
      <c r="Q34" s="180"/>
      <c r="R34" s="287">
        <v>0.14400000000000002</v>
      </c>
    </row>
    <row r="35" spans="1:37" ht="24" outlineLevel="1">
      <c r="A35" s="6">
        <v>1462</v>
      </c>
      <c r="B35" s="168"/>
      <c r="C35" s="169"/>
      <c r="D35" s="11" t="s">
        <v>402</v>
      </c>
      <c r="E35" s="170">
        <v>0</v>
      </c>
      <c r="F35" s="145" t="s">
        <v>93</v>
      </c>
      <c r="G35" s="16" t="s">
        <v>393</v>
      </c>
      <c r="H35" s="14" t="s">
        <v>402</v>
      </c>
      <c r="I35" s="14" t="s">
        <v>402</v>
      </c>
      <c r="J35" s="15">
        <v>0</v>
      </c>
      <c r="K35" s="16" t="s">
        <v>678</v>
      </c>
      <c r="L35" s="149">
        <v>0</v>
      </c>
      <c r="M35" s="40"/>
      <c r="N35" s="89"/>
      <c r="O35" s="193"/>
      <c r="R35" s="287">
        <v>0.14400000000000002</v>
      </c>
    </row>
    <row r="36" spans="1:37" outlineLevel="1">
      <c r="A36" s="6">
        <v>1463</v>
      </c>
      <c r="B36" s="168"/>
      <c r="C36" s="169"/>
      <c r="D36" s="11" t="s">
        <v>402</v>
      </c>
      <c r="E36" s="170">
        <v>0</v>
      </c>
      <c r="F36" s="145" t="s">
        <v>94</v>
      </c>
      <c r="G36" s="16" t="s">
        <v>393</v>
      </c>
      <c r="H36" s="14" t="s">
        <v>402</v>
      </c>
      <c r="I36" s="14" t="s">
        <v>402</v>
      </c>
      <c r="J36" s="15">
        <v>0</v>
      </c>
      <c r="K36" s="16" t="s">
        <v>678</v>
      </c>
      <c r="L36" s="149">
        <v>0</v>
      </c>
      <c r="M36" s="40"/>
      <c r="N36" s="89"/>
      <c r="O36" s="193"/>
      <c r="R36" s="287">
        <v>0.1531508875739645</v>
      </c>
    </row>
    <row r="37" spans="1:37" outlineLevel="1">
      <c r="A37" s="5">
        <v>1464</v>
      </c>
      <c r="B37" s="168"/>
      <c r="C37" s="169"/>
      <c r="D37" s="11" t="s">
        <v>402</v>
      </c>
      <c r="E37" s="170">
        <v>0</v>
      </c>
      <c r="F37" s="145" t="s">
        <v>95</v>
      </c>
      <c r="G37" s="16" t="s">
        <v>393</v>
      </c>
      <c r="H37" s="14" t="s">
        <v>402</v>
      </c>
      <c r="I37" s="14" t="s">
        <v>402</v>
      </c>
      <c r="J37" s="15">
        <v>0</v>
      </c>
      <c r="K37" s="16" t="s">
        <v>678</v>
      </c>
      <c r="L37" s="149">
        <v>0</v>
      </c>
      <c r="M37" s="29"/>
      <c r="N37" s="1"/>
      <c r="O37" s="31"/>
      <c r="R37" s="287">
        <v>0.14400000000000002</v>
      </c>
      <c r="S37" s="115"/>
      <c r="T37" s="10"/>
      <c r="U37" s="50"/>
      <c r="V37" s="50"/>
      <c r="W37" s="50"/>
      <c r="X37" s="50"/>
      <c r="Y37" s="50"/>
      <c r="Z37" s="50"/>
      <c r="AA37" s="51"/>
      <c r="AB37" s="87"/>
      <c r="AC37" s="88"/>
      <c r="AD37" s="89"/>
      <c r="AF37" s="52"/>
      <c r="AG37" s="52"/>
      <c r="AH37" s="52"/>
      <c r="AI37" s="52"/>
      <c r="AJ37" s="52"/>
      <c r="AK37" s="52"/>
    </row>
    <row r="38" spans="1:37" ht="24" outlineLevel="1">
      <c r="A38" s="6">
        <v>1465</v>
      </c>
      <c r="B38" s="168"/>
      <c r="C38" s="169"/>
      <c r="D38" s="11" t="s">
        <v>402</v>
      </c>
      <c r="E38" s="170">
        <v>0</v>
      </c>
      <c r="F38" s="145" t="s">
        <v>96</v>
      </c>
      <c r="G38" s="16" t="s">
        <v>393</v>
      </c>
      <c r="H38" s="14" t="s">
        <v>402</v>
      </c>
      <c r="I38" s="14" t="s">
        <v>402</v>
      </c>
      <c r="J38" s="15">
        <v>0</v>
      </c>
      <c r="K38" s="16" t="s">
        <v>678</v>
      </c>
      <c r="L38" s="149">
        <v>0</v>
      </c>
      <c r="M38" s="40"/>
      <c r="N38" s="89"/>
      <c r="O38" s="193"/>
      <c r="R38" s="287">
        <v>0.1531508875739645</v>
      </c>
    </row>
    <row r="39" spans="1:37" outlineLevel="1">
      <c r="A39" s="6">
        <v>1466</v>
      </c>
      <c r="B39" s="168"/>
      <c r="C39" s="169"/>
      <c r="D39" s="11" t="s">
        <v>402</v>
      </c>
      <c r="E39" s="170">
        <v>0</v>
      </c>
      <c r="F39" s="145" t="s">
        <v>97</v>
      </c>
      <c r="G39" s="16" t="s">
        <v>393</v>
      </c>
      <c r="H39" s="14" t="s">
        <v>402</v>
      </c>
      <c r="I39" s="14" t="s">
        <v>402</v>
      </c>
      <c r="J39" s="15">
        <v>0</v>
      </c>
      <c r="K39" s="16" t="s">
        <v>678</v>
      </c>
      <c r="L39" s="149">
        <v>0</v>
      </c>
      <c r="M39" s="40"/>
      <c r="N39" s="89"/>
      <c r="O39" s="193"/>
      <c r="R39" s="287">
        <v>0.1531508875739645</v>
      </c>
    </row>
    <row r="40" spans="1:37" outlineLevel="1">
      <c r="A40" s="6">
        <v>1467</v>
      </c>
      <c r="B40" s="168"/>
      <c r="C40" s="169"/>
      <c r="D40" s="11" t="s">
        <v>402</v>
      </c>
      <c r="E40" s="170">
        <v>0</v>
      </c>
      <c r="F40" s="145" t="s">
        <v>98</v>
      </c>
      <c r="G40" s="16" t="s">
        <v>393</v>
      </c>
      <c r="H40" s="14" t="s">
        <v>402</v>
      </c>
      <c r="I40" s="14" t="s">
        <v>402</v>
      </c>
      <c r="J40" s="15">
        <v>0</v>
      </c>
      <c r="K40" s="16" t="s">
        <v>678</v>
      </c>
      <c r="L40" s="149">
        <v>0</v>
      </c>
      <c r="M40" s="40"/>
      <c r="N40" s="89"/>
      <c r="O40" s="193"/>
      <c r="R40" s="287">
        <v>0.14400000000000002</v>
      </c>
    </row>
    <row r="41" spans="1:37" outlineLevel="1">
      <c r="A41" s="6">
        <v>1468</v>
      </c>
      <c r="B41" s="168"/>
      <c r="C41" s="169"/>
      <c r="D41" s="11" t="s">
        <v>402</v>
      </c>
      <c r="E41" s="170">
        <v>0</v>
      </c>
      <c r="F41" s="145" t="s">
        <v>99</v>
      </c>
      <c r="G41" s="16" t="s">
        <v>393</v>
      </c>
      <c r="H41" s="14" t="s">
        <v>402</v>
      </c>
      <c r="I41" s="14" t="s">
        <v>402</v>
      </c>
      <c r="J41" s="15">
        <v>0</v>
      </c>
      <c r="K41" s="16" t="s">
        <v>678</v>
      </c>
      <c r="L41" s="149">
        <v>0</v>
      </c>
      <c r="M41" s="40"/>
      <c r="N41" s="89"/>
      <c r="O41" s="193"/>
      <c r="R41" s="287">
        <v>0.14400000000000002</v>
      </c>
    </row>
    <row r="42" spans="1:37" outlineLevel="1">
      <c r="A42" s="6">
        <v>32067</v>
      </c>
      <c r="B42" s="168"/>
      <c r="C42" s="169"/>
      <c r="D42" s="11" t="s">
        <v>402</v>
      </c>
      <c r="E42" s="170">
        <v>0</v>
      </c>
      <c r="F42" s="145" t="s">
        <v>100</v>
      </c>
      <c r="G42" s="16" t="s">
        <v>393</v>
      </c>
      <c r="H42" s="14" t="s">
        <v>402</v>
      </c>
      <c r="I42" s="14" t="s">
        <v>402</v>
      </c>
      <c r="J42" s="15">
        <v>0</v>
      </c>
      <c r="K42" s="16" t="s">
        <v>678</v>
      </c>
      <c r="L42" s="149">
        <v>0</v>
      </c>
      <c r="M42" s="40"/>
      <c r="N42" s="89"/>
      <c r="O42" s="193"/>
      <c r="R42" s="287">
        <v>0.13127218934911242</v>
      </c>
    </row>
    <row r="43" spans="1:37" outlineLevel="1">
      <c r="A43" s="6">
        <v>32125</v>
      </c>
      <c r="B43" s="168"/>
      <c r="C43" s="169"/>
      <c r="D43" s="11" t="s">
        <v>402</v>
      </c>
      <c r="E43" s="170">
        <v>0</v>
      </c>
      <c r="F43" s="145" t="s">
        <v>101</v>
      </c>
      <c r="G43" s="16" t="s">
        <v>393</v>
      </c>
      <c r="H43" s="14" t="s">
        <v>402</v>
      </c>
      <c r="I43" s="14" t="s">
        <v>402</v>
      </c>
      <c r="J43" s="15">
        <v>0</v>
      </c>
      <c r="K43" s="16" t="s">
        <v>678</v>
      </c>
      <c r="L43" s="149">
        <v>0</v>
      </c>
      <c r="M43" s="40"/>
      <c r="N43" s="89"/>
      <c r="O43" s="193"/>
      <c r="R43" s="287">
        <v>0.13127218934911242</v>
      </c>
    </row>
    <row r="44" spans="1:37" outlineLevel="1">
      <c r="A44" s="417">
        <v>32077</v>
      </c>
      <c r="B44" s="168"/>
      <c r="C44" s="169"/>
      <c r="D44" s="11" t="s">
        <v>402</v>
      </c>
      <c r="E44" s="170">
        <v>0</v>
      </c>
      <c r="F44" s="145" t="s">
        <v>102</v>
      </c>
      <c r="G44" s="16" t="s">
        <v>393</v>
      </c>
      <c r="H44" s="14" t="s">
        <v>402</v>
      </c>
      <c r="I44" s="14" t="s">
        <v>402</v>
      </c>
      <c r="J44" s="15">
        <v>0</v>
      </c>
      <c r="K44" s="16" t="s">
        <v>678</v>
      </c>
      <c r="L44" s="149">
        <v>0</v>
      </c>
      <c r="M44" s="40"/>
      <c r="N44" s="89"/>
      <c r="O44" s="193"/>
      <c r="R44" s="287">
        <v>0.09</v>
      </c>
    </row>
    <row r="45" spans="1:37" outlineLevel="1">
      <c r="A45" s="6">
        <v>32081</v>
      </c>
      <c r="B45" s="168"/>
      <c r="C45" s="169"/>
      <c r="D45" s="11" t="s">
        <v>402</v>
      </c>
      <c r="E45" s="170">
        <v>0</v>
      </c>
      <c r="F45" s="145" t="s">
        <v>103</v>
      </c>
      <c r="G45" s="16" t="s">
        <v>393</v>
      </c>
      <c r="H45" s="14" t="s">
        <v>402</v>
      </c>
      <c r="I45" s="14" t="s">
        <v>402</v>
      </c>
      <c r="J45" s="15">
        <v>0</v>
      </c>
      <c r="K45" s="16" t="s">
        <v>678</v>
      </c>
      <c r="L45" s="149">
        <v>0</v>
      </c>
      <c r="M45" s="40"/>
      <c r="N45" s="89"/>
      <c r="O45" s="193"/>
      <c r="R45" s="287">
        <v>0.10684354979540625</v>
      </c>
    </row>
    <row r="46" spans="1:37" outlineLevel="1">
      <c r="A46" s="6">
        <v>32133</v>
      </c>
      <c r="B46" s="168"/>
      <c r="C46" s="169"/>
      <c r="D46" s="11" t="s">
        <v>402</v>
      </c>
      <c r="E46" s="170">
        <v>0</v>
      </c>
      <c r="F46" s="145" t="s">
        <v>104</v>
      </c>
      <c r="G46" s="16" t="s">
        <v>393</v>
      </c>
      <c r="H46" s="14" t="s">
        <v>402</v>
      </c>
      <c r="I46" s="14" t="s">
        <v>402</v>
      </c>
      <c r="J46" s="15">
        <v>0</v>
      </c>
      <c r="K46" s="16" t="s">
        <v>678</v>
      </c>
      <c r="L46" s="149">
        <v>0</v>
      </c>
      <c r="M46" s="40"/>
      <c r="N46" s="89"/>
      <c r="O46" s="193"/>
      <c r="R46" s="287">
        <v>6.4500000000000002E-2</v>
      </c>
    </row>
    <row r="47" spans="1:37" outlineLevel="1">
      <c r="A47" s="6">
        <v>32132</v>
      </c>
      <c r="B47" s="168"/>
      <c r="C47" s="169"/>
      <c r="D47" s="11" t="s">
        <v>402</v>
      </c>
      <c r="E47" s="170">
        <v>0</v>
      </c>
      <c r="F47" s="145" t="s">
        <v>105</v>
      </c>
      <c r="G47" s="16" t="s">
        <v>393</v>
      </c>
      <c r="H47" s="14" t="s">
        <v>402</v>
      </c>
      <c r="I47" s="14" t="s">
        <v>402</v>
      </c>
      <c r="J47" s="15">
        <v>0</v>
      </c>
      <c r="K47" s="16" t="s">
        <v>678</v>
      </c>
      <c r="L47" s="149">
        <v>0</v>
      </c>
      <c r="M47" s="40"/>
      <c r="N47" s="89"/>
      <c r="O47" s="193"/>
      <c r="R47" s="287">
        <v>6.4500000000000002E-2</v>
      </c>
    </row>
    <row r="48" spans="1:37" outlineLevel="1">
      <c r="A48" s="6">
        <v>4853</v>
      </c>
      <c r="B48" s="168"/>
      <c r="C48" s="169"/>
      <c r="D48" s="11" t="s">
        <v>402</v>
      </c>
      <c r="E48" s="170">
        <v>0</v>
      </c>
      <c r="F48" s="145" t="s">
        <v>106</v>
      </c>
      <c r="G48" s="16" t="s">
        <v>393</v>
      </c>
      <c r="H48" s="14" t="s">
        <v>402</v>
      </c>
      <c r="I48" s="14" t="s">
        <v>402</v>
      </c>
      <c r="J48" s="15">
        <v>0</v>
      </c>
      <c r="K48" s="16" t="s">
        <v>678</v>
      </c>
      <c r="L48" s="149">
        <v>1</v>
      </c>
      <c r="M48" s="40"/>
      <c r="N48" s="89"/>
      <c r="O48" s="193"/>
      <c r="R48" s="287">
        <v>0.1194446572995972</v>
      </c>
    </row>
    <row r="51" spans="6:18">
      <c r="P51" s="288">
        <v>1</v>
      </c>
      <c r="Q51" s="288"/>
      <c r="R51" s="288"/>
    </row>
    <row r="52" spans="6:18">
      <c r="F52" s="8" t="s">
        <v>454</v>
      </c>
      <c r="K52" s="291" t="s">
        <v>455</v>
      </c>
      <c r="L52" s="7">
        <v>1117</v>
      </c>
      <c r="O52" s="294">
        <v>0.8123946047759667</v>
      </c>
    </row>
    <row r="53" spans="6:18">
      <c r="F53" s="8" t="s">
        <v>457</v>
      </c>
      <c r="K53" s="291" t="s">
        <v>456</v>
      </c>
      <c r="L53" s="7">
        <v>922</v>
      </c>
    </row>
    <row r="54" spans="6:18">
      <c r="F54" s="8" t="s">
        <v>458</v>
      </c>
      <c r="K54" s="291" t="s">
        <v>456</v>
      </c>
      <c r="L54" s="7">
        <v>620</v>
      </c>
    </row>
    <row r="56" spans="6:18">
      <c r="L56" s="290">
        <v>0.93500000000000005</v>
      </c>
    </row>
    <row r="58" spans="6:18">
      <c r="F58" s="404" t="s">
        <v>207</v>
      </c>
      <c r="G58" s="405"/>
      <c r="H58" s="405"/>
      <c r="I58" s="405"/>
      <c r="J58" s="405"/>
      <c r="K58" s="405" t="s">
        <v>528</v>
      </c>
    </row>
    <row r="59" spans="6:18">
      <c r="F59" s="8" t="s">
        <v>463</v>
      </c>
      <c r="K59" s="7" t="s">
        <v>528</v>
      </c>
    </row>
    <row r="60" spans="6:18">
      <c r="F60" s="8" t="s">
        <v>451</v>
      </c>
      <c r="K60" s="7" t="s">
        <v>528</v>
      </c>
    </row>
    <row r="61" spans="6:18">
      <c r="F61" s="8" t="s">
        <v>173</v>
      </c>
      <c r="K61" s="7" t="s">
        <v>528</v>
      </c>
    </row>
    <row r="62" spans="6:18">
      <c r="F62" s="8" t="s">
        <v>452</v>
      </c>
      <c r="K62" s="7" t="s">
        <v>528</v>
      </c>
    </row>
    <row r="63" spans="6:18">
      <c r="F63" s="8" t="s">
        <v>174</v>
      </c>
      <c r="K63" s="7" t="s">
        <v>528</v>
      </c>
    </row>
    <row r="64" spans="6:18">
      <c r="F64" s="8" t="s">
        <v>477</v>
      </c>
      <c r="K64" s="7" t="s">
        <v>528</v>
      </c>
    </row>
  </sheetData>
  <phoneticPr fontId="0" type="noConversion"/>
  <conditionalFormatting sqref="T37:Y37 T31:Y32">
    <cfRule type="cellIs" dxfId="145" priority="1" stopIfTrue="1" operator="notBetween">
      <formula>1</formula>
      <formula>5</formula>
    </cfRule>
  </conditionalFormatting>
  <conditionalFormatting sqref="AF37:AK37 AF7:AK32">
    <cfRule type="cellIs" dxfId="144" priority="2" stopIfTrue="1" operator="equal">
      <formula>0</formula>
    </cfRule>
  </conditionalFormatting>
  <conditionalFormatting sqref="B31">
    <cfRule type="cellIs" dxfId="143" priority="3" stopIfTrue="1" operator="notEqual">
      <formula>""</formula>
    </cfRule>
  </conditionalFormatting>
  <dataValidations disablePrompts="1" count="1">
    <dataValidation allowBlank="1" showInputMessage="1" showErrorMessage="1" promptTitle="Do not change" prompt="This field is automatically updated from the names-list" sqref="Z7:Z31"/>
  </dataValidations>
  <pageMargins left="0.78740157499999996" right="0.78740157499999996" top="0.984251969" bottom="0.984251969" header="0.4921259845" footer="0.4921259845"/>
  <pageSetup paperSize="9" scale="23"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enableFormatConditionsCalculation="0">
    <tabColor indexed="53"/>
    <pageSetUpPr fitToPage="1"/>
  </sheetPr>
  <dimension ref="A1:DX77"/>
  <sheetViews>
    <sheetView zoomScale="75" workbookViewId="0">
      <pane xSplit="12" ySplit="6" topLeftCell="BD13" activePane="bottomRight" state="frozen"/>
      <selection activeCell="L25" sqref="L25"/>
      <selection pane="topRight" activeCell="L25" sqref="L25"/>
      <selection pane="bottomLeft" activeCell="L25" sqref="L25"/>
      <selection pane="bottomRight" activeCell="F28" sqref="F28"/>
    </sheetView>
  </sheetViews>
  <sheetFormatPr defaultColWidth="11.42578125" defaultRowHeight="12" outlineLevelRow="1" outlineLevelCol="4"/>
  <cols>
    <col min="1" max="1" width="8.42578125" style="7" hidden="1" customWidth="1" outlineLevel="1"/>
    <col min="2" max="2" width="12.7109375" style="158" bestFit="1" customWidth="1" collapsed="1"/>
    <col min="3" max="3" width="4.7109375" style="159" hidden="1" customWidth="1" outlineLevel="1"/>
    <col min="4" max="4" width="3.140625" style="7" hidden="1" customWidth="1" outlineLevel="1"/>
    <col min="5" max="5" width="2.7109375" style="7" hidden="1" customWidth="1" outlineLevel="1"/>
    <col min="6" max="6" width="54.140625" style="8" customWidth="1" collapsed="1"/>
    <col min="7" max="7" width="5" style="7" customWidth="1"/>
    <col min="8" max="8" width="5.7109375" style="7" hidden="1" customWidth="1" outlineLevel="1"/>
    <col min="9" max="9" width="19.42578125" style="7" hidden="1" customWidth="1" outlineLevel="1"/>
    <col min="10" max="10" width="2.42578125" style="7" hidden="1" customWidth="1" outlineLevel="1" collapsed="1"/>
    <col min="11" max="11" width="4.5703125" style="7" customWidth="1" collapsed="1"/>
    <col min="12" max="12" width="8.7109375" style="7" hidden="1" customWidth="1" outlineLevel="1"/>
    <col min="13" max="13" width="2.140625" style="140" hidden="1" customWidth="1" outlineLevel="2"/>
    <col min="14" max="14" width="4.28515625" style="140" hidden="1" customWidth="1" outlineLevel="2"/>
    <col min="15" max="15" width="31.140625" style="140" hidden="1" customWidth="1" outlineLevel="2"/>
    <col min="16" max="16" width="10.28515625" style="7" hidden="1" customWidth="1" outlineLevel="1" collapsed="1"/>
    <col min="17" max="17" width="2.140625" style="140" hidden="1" customWidth="1" outlineLevel="2"/>
    <col min="18" max="18" width="4.28515625" style="140" hidden="1" customWidth="1" outlineLevel="2"/>
    <col min="19" max="19" width="31.140625" style="140" hidden="1" customWidth="1" outlineLevel="2"/>
    <col min="20" max="20" width="10.28515625" style="7" hidden="1" customWidth="1" outlineLevel="1" collapsed="1"/>
    <col min="21" max="21" width="2.140625" style="140" hidden="1" customWidth="1" outlineLevel="2"/>
    <col min="22" max="22" width="4.28515625" style="140" hidden="1" customWidth="1" outlineLevel="2"/>
    <col min="23" max="23" width="31.140625" style="140" hidden="1" customWidth="1" outlineLevel="2"/>
    <col min="24" max="24" width="10.28515625" style="7" hidden="1" customWidth="1" outlineLevel="1" collapsed="1"/>
    <col min="25" max="25" width="2.140625" style="140" hidden="1" customWidth="1" outlineLevel="2"/>
    <col min="26" max="26" width="4.28515625" style="140" hidden="1" customWidth="1" outlineLevel="2"/>
    <col min="27" max="27" width="31.140625" style="140" hidden="1" customWidth="1" outlineLevel="2"/>
    <col min="28" max="28" width="10.28515625" style="7" hidden="1" customWidth="1" outlineLevel="1" collapsed="1"/>
    <col min="29" max="29" width="2.140625" style="140" hidden="1" customWidth="1" outlineLevel="2"/>
    <col min="30" max="30" width="4.28515625" style="140" hidden="1" customWidth="1" outlineLevel="2"/>
    <col min="31" max="31" width="31.140625" style="140" hidden="1" customWidth="1" outlineLevel="2"/>
    <col min="32" max="32" width="10.28515625" style="7" hidden="1" customWidth="1" outlineLevel="1" collapsed="1"/>
    <col min="33" max="33" width="2.140625" style="140" hidden="1" customWidth="1" outlineLevel="2"/>
    <col min="34" max="34" width="4.28515625" style="140" hidden="1" customWidth="1" outlineLevel="2"/>
    <col min="35" max="35" width="31.140625" style="140" hidden="1" customWidth="1" outlineLevel="2"/>
    <col min="36" max="36" width="10.28515625" style="7" hidden="1" customWidth="1" outlineLevel="1" collapsed="1"/>
    <col min="37" max="37" width="2.140625" style="140" hidden="1" customWidth="1" outlineLevel="2"/>
    <col min="38" max="38" width="4.28515625" style="140" hidden="1" customWidth="1" outlineLevel="2"/>
    <col min="39" max="39" width="30.7109375" style="33" hidden="1" customWidth="1" outlineLevel="2"/>
    <col min="40" max="40" width="10.28515625" style="7" hidden="1" customWidth="1" outlineLevel="1"/>
    <col min="41" max="41" width="2.140625" style="140" hidden="1" customWidth="1" outlineLevel="2"/>
    <col min="42" max="42" width="4.28515625" style="140" hidden="1" customWidth="1" outlineLevel="2"/>
    <col min="43" max="43" width="31.140625" style="140" hidden="1" customWidth="1" outlineLevel="2"/>
    <col min="44" max="44" width="10.28515625" style="7" hidden="1" customWidth="1" outlineLevel="1"/>
    <col min="45" max="45" width="2.140625" style="140" hidden="1" customWidth="1" outlineLevel="4"/>
    <col min="46" max="46" width="4.28515625" style="140" hidden="1" customWidth="1" outlineLevel="3"/>
    <col min="47" max="47" width="30.28515625" style="33" hidden="1" customWidth="1" outlineLevel="3"/>
    <col min="48" max="48" width="10.28515625" style="7" bestFit="1" customWidth="1" collapsed="1"/>
    <col min="49" max="49" width="2.140625" style="140" hidden="1" customWidth="1" outlineLevel="1"/>
    <col min="50" max="50" width="4.28515625" style="140" hidden="1" customWidth="1" outlineLevel="1"/>
    <col min="51" max="51" width="31.140625" style="140" hidden="1" customWidth="1" outlineLevel="1"/>
    <col min="52" max="52" width="10.28515625" style="7" bestFit="1" customWidth="1" collapsed="1"/>
    <col min="53" max="53" width="2.140625" style="140" hidden="1" customWidth="1" outlineLevel="1"/>
    <col min="54" max="54" width="4.28515625" style="140" hidden="1" customWidth="1" outlineLevel="1"/>
    <col min="55" max="55" width="31.140625" style="140" hidden="1" customWidth="1" outlineLevel="1"/>
    <col min="56" max="56" width="10.28515625" style="7" bestFit="1" customWidth="1" collapsed="1"/>
    <col min="57" max="57" width="2.140625" style="140" hidden="1" customWidth="1" outlineLevel="1"/>
    <col min="58" max="58" width="4.28515625" style="140" hidden="1" customWidth="1" outlineLevel="1"/>
    <col min="59" max="59" width="31.140625" style="140" hidden="1" customWidth="1" outlineLevel="1"/>
    <col min="60" max="60" width="2.140625" style="140" hidden="1" customWidth="1" outlineLevel="1"/>
    <col min="61" max="61" width="4.28515625" style="140" hidden="1" customWidth="1" outlineLevel="1"/>
    <col min="62" max="62" width="31.140625" style="140" hidden="1" customWidth="1" outlineLevel="1"/>
    <col min="63" max="63" width="10.28515625" style="7" bestFit="1" customWidth="1" collapsed="1"/>
    <col min="64" max="64" width="2.140625" style="140" hidden="1" customWidth="1" outlineLevel="1"/>
    <col min="65" max="65" width="4.28515625" style="140" hidden="1" customWidth="1" outlineLevel="1"/>
    <col min="66" max="66" width="31.140625" style="140" hidden="1" customWidth="1" outlineLevel="1"/>
    <col min="67" max="67" width="10.28515625" style="7" bestFit="1" customWidth="1" collapsed="1"/>
    <col min="68" max="68" width="2.140625" style="140" hidden="1" customWidth="1" outlineLevel="1"/>
    <col min="69" max="69" width="4.28515625" style="140" hidden="1" customWidth="1" outlineLevel="1"/>
    <col min="70" max="70" width="31.140625" style="140" hidden="1" customWidth="1" outlineLevel="1"/>
    <col min="71" max="71" width="10.28515625" style="7" bestFit="1" customWidth="1" collapsed="1"/>
    <col min="72" max="72" width="2.140625" style="140" hidden="1" customWidth="1" outlineLevel="1"/>
    <col min="73" max="73" width="4.28515625" style="140" hidden="1" customWidth="1" outlineLevel="1"/>
    <col min="74" max="74" width="31.140625" style="140" hidden="1" customWidth="1" outlineLevel="1"/>
    <col min="75" max="75" width="10.28515625" style="7" bestFit="1" customWidth="1" collapsed="1"/>
    <col min="76" max="76" width="2.140625" style="140" hidden="1" customWidth="1" outlineLevel="1"/>
    <col min="77" max="77" width="4.28515625" style="140" hidden="1" customWidth="1" outlineLevel="1"/>
    <col min="78" max="78" width="27.28515625" style="33" hidden="1" customWidth="1" outlineLevel="1" collapsed="1"/>
    <col min="79" max="79" width="10.28515625" style="7" bestFit="1" customWidth="1" collapsed="1"/>
    <col min="80" max="80" width="2.140625" style="140" hidden="1" customWidth="1" outlineLevel="1"/>
    <col min="81" max="81" width="4.28515625" style="140" hidden="1" customWidth="1" outlineLevel="1"/>
    <col min="82" max="82" width="27.28515625" style="33" hidden="1" customWidth="1" outlineLevel="1" collapsed="1"/>
    <col min="83" max="83" width="10.28515625" style="7" bestFit="1" customWidth="1" collapsed="1"/>
    <col min="84" max="84" width="2.140625" style="140" hidden="1" customWidth="1" outlineLevel="1"/>
    <col min="85" max="85" width="4.28515625" style="140" hidden="1" customWidth="1" outlineLevel="1"/>
    <col min="86" max="86" width="27.28515625" style="33" hidden="1" customWidth="1" outlineLevel="1" collapsed="1"/>
    <col min="87" max="87" width="10.28515625" style="7" bestFit="1" customWidth="1" collapsed="1"/>
    <col min="88" max="88" width="2.140625" style="140" hidden="1" customWidth="1" outlineLevel="1"/>
    <col min="89" max="89" width="4.28515625" style="140" hidden="1" customWidth="1" outlineLevel="1"/>
    <col min="90" max="90" width="27.28515625" style="33" hidden="1" customWidth="1" outlineLevel="1" collapsed="1"/>
    <col min="91" max="91" width="10.28515625" style="7" bestFit="1" customWidth="1" collapsed="1"/>
    <col min="92" max="92" width="2.140625" style="140" hidden="1" customWidth="1" outlineLevel="1"/>
    <col min="93" max="93" width="4.28515625" style="140" hidden="1" customWidth="1" outlineLevel="1"/>
    <col min="94" max="94" width="27.28515625" style="33" hidden="1" customWidth="1" outlineLevel="1" collapsed="1"/>
    <col min="95" max="95" width="10.28515625" style="7" bestFit="1" customWidth="1" collapsed="1"/>
    <col min="96" max="96" width="2.140625" style="140" hidden="1" customWidth="1" outlineLevel="1"/>
    <col min="97" max="97" width="4.28515625" style="140" hidden="1" customWidth="1" outlineLevel="1"/>
    <col min="98" max="98" width="27.28515625" style="33" hidden="1" customWidth="1" outlineLevel="1" collapsed="1"/>
    <col min="99" max="99" width="10.28515625" style="7" bestFit="1" customWidth="1" collapsed="1"/>
    <col min="100" max="100" width="2.140625" style="140" customWidth="1" outlineLevel="1"/>
    <col min="101" max="101" width="4.28515625" style="140" customWidth="1" outlineLevel="1"/>
    <col min="102" max="102" width="27.28515625" style="33" customWidth="1" outlineLevel="1" collapsed="1"/>
    <col min="103" max="103" width="8.5703125" style="7" customWidth="1"/>
    <col min="104" max="104" width="2.140625" style="32" customWidth="1"/>
    <col min="105" max="105" width="4.28515625" style="32" customWidth="1"/>
    <col min="106" max="106" width="73" style="33" customWidth="1"/>
    <col min="107" max="107" width="7" style="198" customWidth="1"/>
    <col min="108" max="109" width="5.7109375" style="198" customWidth="1"/>
    <col min="110" max="110" width="23.140625" style="79" customWidth="1"/>
    <col min="111" max="111" width="4" style="47" bestFit="1" customWidth="1"/>
    <col min="112" max="112" width="6.28515625" style="39" bestFit="1" customWidth="1"/>
    <col min="113" max="113" width="5.85546875" style="39" bestFit="1" customWidth="1"/>
    <col min="114" max="114" width="4.7109375" style="39" bestFit="1" customWidth="1"/>
    <col min="115" max="115" width="5.28515625" style="39" bestFit="1" customWidth="1"/>
    <col min="116" max="116" width="5.85546875" style="39" bestFit="1" customWidth="1"/>
    <col min="117" max="118" width="6.85546875" style="39" bestFit="1" customWidth="1"/>
    <col min="119" max="119" width="8.28515625" style="39" bestFit="1" customWidth="1"/>
    <col min="120" max="120" width="9.140625" style="39" bestFit="1" customWidth="1"/>
    <col min="121" max="121" width="12.140625" style="39" customWidth="1"/>
    <col min="122" max="122" width="11.42578125" style="7"/>
    <col min="123" max="125" width="5.42578125" style="7" customWidth="1"/>
    <col min="126" max="126" width="5.85546875" style="7" customWidth="1"/>
    <col min="127" max="127" width="5.42578125" style="7" customWidth="1"/>
    <col min="128" max="128" width="5.28515625" style="7" customWidth="1"/>
    <col min="129" max="16384" width="11.42578125" style="7"/>
  </cols>
  <sheetData>
    <row r="1" spans="1:128">
      <c r="A1" s="36"/>
      <c r="B1" s="34"/>
      <c r="C1" s="35"/>
      <c r="D1" s="36"/>
      <c r="E1" s="36"/>
      <c r="F1" s="37" t="s">
        <v>510</v>
      </c>
      <c r="G1" s="36"/>
      <c r="H1" s="36"/>
      <c r="I1" s="36"/>
      <c r="J1" s="36"/>
      <c r="K1" s="36"/>
      <c r="L1" s="189">
        <v>1459</v>
      </c>
      <c r="M1" s="22"/>
      <c r="N1" s="22"/>
      <c r="O1" s="22"/>
      <c r="P1" s="189">
        <v>1460</v>
      </c>
      <c r="Q1" s="22"/>
      <c r="R1" s="22"/>
      <c r="S1" s="22"/>
      <c r="T1" s="189">
        <v>1461</v>
      </c>
      <c r="U1" s="22"/>
      <c r="V1" s="22"/>
      <c r="W1" s="22"/>
      <c r="X1" s="189">
        <v>1462</v>
      </c>
      <c r="Y1" s="22"/>
      <c r="Z1" s="22"/>
      <c r="AA1" s="22"/>
      <c r="AB1" s="189">
        <v>1463</v>
      </c>
      <c r="AC1" s="22"/>
      <c r="AD1" s="22"/>
      <c r="AE1" s="22"/>
      <c r="AF1" s="189">
        <v>1464</v>
      </c>
      <c r="AG1" s="22"/>
      <c r="AH1" s="22"/>
      <c r="AI1" s="22"/>
      <c r="AJ1" s="189">
        <v>1465</v>
      </c>
      <c r="AK1" s="22"/>
      <c r="AL1" s="22"/>
      <c r="AM1" s="324"/>
      <c r="AN1" s="189">
        <v>1466</v>
      </c>
      <c r="AO1" s="22"/>
      <c r="AP1" s="22"/>
      <c r="AQ1" s="22"/>
      <c r="AR1" s="189">
        <v>1467</v>
      </c>
      <c r="AS1" s="22"/>
      <c r="AT1" s="22"/>
      <c r="AU1" s="324"/>
      <c r="AV1" s="189">
        <v>1468</v>
      </c>
      <c r="AW1" s="22"/>
      <c r="AX1" s="22"/>
      <c r="AY1" s="22"/>
      <c r="AZ1" s="226">
        <v>32067</v>
      </c>
      <c r="BA1" s="22"/>
      <c r="BB1" s="22"/>
      <c r="BC1" s="22"/>
      <c r="BD1" s="120">
        <v>32125</v>
      </c>
      <c r="BE1" s="22"/>
      <c r="BF1" s="22"/>
      <c r="BG1" s="22"/>
      <c r="BH1" s="22"/>
      <c r="BI1" s="22"/>
      <c r="BJ1" s="22"/>
      <c r="BK1" s="417">
        <v>32077</v>
      </c>
      <c r="BL1" s="22"/>
      <c r="BM1" s="22"/>
      <c r="BN1" s="22"/>
      <c r="BO1" s="120">
        <v>32081</v>
      </c>
      <c r="BP1" s="22"/>
      <c r="BQ1" s="22"/>
      <c r="BR1" s="22"/>
      <c r="BS1" s="120">
        <v>32133</v>
      </c>
      <c r="BT1" s="22"/>
      <c r="BU1" s="22"/>
      <c r="BV1" s="22"/>
      <c r="BW1" s="120">
        <v>32132</v>
      </c>
      <c r="BX1" s="22"/>
      <c r="BY1" s="22"/>
      <c r="BZ1" s="22"/>
      <c r="CA1" s="120" t="str">
        <f>A55</f>
        <v>407-130</v>
      </c>
      <c r="CB1" s="22"/>
      <c r="CC1" s="22"/>
      <c r="CD1" s="22"/>
      <c r="CE1" s="120" t="str">
        <f>A56</f>
        <v>407-131</v>
      </c>
      <c r="CF1" s="22"/>
      <c r="CG1" s="22"/>
      <c r="CH1" s="22"/>
      <c r="CI1" s="120" t="str">
        <f>A57</f>
        <v>407-132</v>
      </c>
      <c r="CJ1" s="22"/>
      <c r="CK1" s="22"/>
      <c r="CL1" s="22"/>
      <c r="CM1" s="120" t="str">
        <f>A58</f>
        <v>407-133</v>
      </c>
      <c r="CN1" s="22"/>
      <c r="CO1" s="22"/>
      <c r="CP1" s="22"/>
      <c r="CQ1" s="120" t="str">
        <f>A59</f>
        <v>407-134</v>
      </c>
      <c r="CR1" s="22"/>
      <c r="CS1" s="22"/>
      <c r="CT1" s="22"/>
      <c r="CU1" s="120" t="str">
        <f>A60</f>
        <v>407-136</v>
      </c>
      <c r="CV1" s="22"/>
      <c r="CW1" s="22"/>
      <c r="CX1" s="22"/>
      <c r="CY1" s="3">
        <v>4853</v>
      </c>
      <c r="CZ1" s="22"/>
      <c r="DA1" s="22"/>
      <c r="DB1" s="22"/>
      <c r="DC1" s="195"/>
      <c r="DD1" s="195"/>
      <c r="DE1" s="195"/>
      <c r="DG1" s="80"/>
      <c r="DH1" s="81"/>
      <c r="DI1" s="81"/>
      <c r="DJ1" s="81"/>
      <c r="DK1" s="81"/>
      <c r="DL1" s="81"/>
    </row>
    <row r="2" spans="1:128" ht="36">
      <c r="A2" s="36"/>
      <c r="B2" s="147"/>
      <c r="C2" s="35" t="s">
        <v>511</v>
      </c>
      <c r="D2" s="147">
        <v>3503</v>
      </c>
      <c r="E2" s="147">
        <v>3504</v>
      </c>
      <c r="F2" s="147">
        <v>3702</v>
      </c>
      <c r="G2" s="147">
        <v>3703</v>
      </c>
      <c r="H2" s="147">
        <v>3506</v>
      </c>
      <c r="I2" s="147">
        <v>3507</v>
      </c>
      <c r="J2" s="147">
        <v>3508</v>
      </c>
      <c r="K2" s="147">
        <v>3706</v>
      </c>
      <c r="L2" s="147">
        <v>3707</v>
      </c>
      <c r="M2" s="133">
        <f t="shared" ref="M2:M37" si="0">$CZ2</f>
        <v>3708</v>
      </c>
      <c r="N2" s="133">
        <f t="shared" ref="N2:N37" si="1">$DA2</f>
        <v>3709</v>
      </c>
      <c r="O2" s="134">
        <f t="shared" ref="O2:O37" si="2">$BZ2</f>
        <v>3792</v>
      </c>
      <c r="P2" s="147">
        <v>3707</v>
      </c>
      <c r="Q2" s="133">
        <f t="shared" ref="Q2:Q37" si="3">$CZ2</f>
        <v>3708</v>
      </c>
      <c r="R2" s="133">
        <f t="shared" ref="R2:R37" si="4">$DA2</f>
        <v>3709</v>
      </c>
      <c r="S2" s="134">
        <f t="shared" ref="S2:S37" si="5">$BZ2</f>
        <v>3792</v>
      </c>
      <c r="T2" s="147">
        <v>3707</v>
      </c>
      <c r="U2" s="133">
        <f t="shared" ref="U2:U37" si="6">$CZ2</f>
        <v>3708</v>
      </c>
      <c r="V2" s="133">
        <f t="shared" ref="V2:V37" si="7">$DA2</f>
        <v>3709</v>
      </c>
      <c r="W2" s="134">
        <f t="shared" ref="W2:W37" si="8">$BZ2</f>
        <v>3792</v>
      </c>
      <c r="X2" s="147">
        <v>3707</v>
      </c>
      <c r="Y2" s="133">
        <f t="shared" ref="Y2:Y37" si="9">$CZ2</f>
        <v>3708</v>
      </c>
      <c r="Z2" s="133">
        <f t="shared" ref="Z2:Z37" si="10">$DA2</f>
        <v>3709</v>
      </c>
      <c r="AA2" s="134">
        <f t="shared" ref="AA2:AA37" si="11">$BZ2</f>
        <v>3792</v>
      </c>
      <c r="AB2" s="147">
        <v>3707</v>
      </c>
      <c r="AC2" s="133">
        <f t="shared" ref="AC2:AC37" si="12">$CZ2</f>
        <v>3708</v>
      </c>
      <c r="AD2" s="133">
        <f t="shared" ref="AD2:AD37" si="13">$DA2</f>
        <v>3709</v>
      </c>
      <c r="AE2" s="134">
        <f t="shared" ref="AE2:AE37" si="14">$BZ2</f>
        <v>3792</v>
      </c>
      <c r="AF2" s="147">
        <v>3707</v>
      </c>
      <c r="AG2" s="133">
        <f t="shared" ref="AG2:AG37" si="15">$CZ2</f>
        <v>3708</v>
      </c>
      <c r="AH2" s="133">
        <f t="shared" ref="AH2:AH37" si="16">$DA2</f>
        <v>3709</v>
      </c>
      <c r="AI2" s="134">
        <f t="shared" ref="AI2:AI37" si="17">$BZ2</f>
        <v>3792</v>
      </c>
      <c r="AJ2" s="147">
        <v>3707</v>
      </c>
      <c r="AK2" s="133">
        <f t="shared" ref="AK2:AK37" si="18">$CZ2</f>
        <v>3708</v>
      </c>
      <c r="AL2" s="133">
        <f t="shared" ref="AL2:AL37" si="19">$DA2</f>
        <v>3709</v>
      </c>
      <c r="AM2" s="24">
        <f t="shared" ref="AM2:AM37" si="20">$BZ2</f>
        <v>3792</v>
      </c>
      <c r="AN2" s="147">
        <v>3707</v>
      </c>
      <c r="AO2" s="133">
        <f t="shared" ref="AO2:AO37" si="21">$CZ2</f>
        <v>3708</v>
      </c>
      <c r="AP2" s="133">
        <f t="shared" ref="AP2:AP37" si="22">$DA2</f>
        <v>3709</v>
      </c>
      <c r="AQ2" s="134">
        <f t="shared" ref="AQ2:AQ37" si="23">$BZ2</f>
        <v>3792</v>
      </c>
      <c r="AR2" s="147">
        <v>3707</v>
      </c>
      <c r="AS2" s="133">
        <f t="shared" ref="AS2:AS37" si="24">$CZ2</f>
        <v>3708</v>
      </c>
      <c r="AT2" s="133">
        <f t="shared" ref="AT2:AT37" si="25">$DA2</f>
        <v>3709</v>
      </c>
      <c r="AU2" s="24">
        <f t="shared" ref="AU2:AU37" si="26">$BZ2</f>
        <v>3792</v>
      </c>
      <c r="AV2" s="147">
        <v>3707</v>
      </c>
      <c r="AW2" s="133">
        <f t="shared" ref="AW2:AW37" si="27">$CZ2</f>
        <v>3708</v>
      </c>
      <c r="AX2" s="133">
        <f t="shared" ref="AX2:AX37" si="28">$DA2</f>
        <v>3709</v>
      </c>
      <c r="AY2" s="134">
        <f t="shared" ref="AY2:AY37" si="29">$BZ2</f>
        <v>3792</v>
      </c>
      <c r="AZ2" s="147">
        <v>3707</v>
      </c>
      <c r="BA2" s="133">
        <f t="shared" ref="BA2:BA37" si="30">$CZ2</f>
        <v>3708</v>
      </c>
      <c r="BB2" s="133">
        <f t="shared" ref="BB2:BB37" si="31">$DA2</f>
        <v>3709</v>
      </c>
      <c r="BC2" s="134">
        <f t="shared" ref="BC2:BC37" si="32">$BZ2</f>
        <v>3792</v>
      </c>
      <c r="BD2" s="147">
        <v>3707</v>
      </c>
      <c r="BE2" s="133">
        <f t="shared" ref="BE2:BE37" si="33">$CZ2</f>
        <v>3708</v>
      </c>
      <c r="BF2" s="133">
        <f t="shared" ref="BF2:BF37" si="34">$DA2</f>
        <v>3709</v>
      </c>
      <c r="BG2" s="134">
        <f t="shared" ref="BG2:BG37" si="35">$BZ2</f>
        <v>3792</v>
      </c>
      <c r="BH2" s="133">
        <f t="shared" ref="BH2:BH37" si="36">$CZ2</f>
        <v>3708</v>
      </c>
      <c r="BI2" s="133">
        <f t="shared" ref="BI2:BI37" si="37">$DA2</f>
        <v>3709</v>
      </c>
      <c r="BJ2" s="134">
        <f t="shared" ref="BJ2:BJ37" si="38">$BZ2</f>
        <v>3792</v>
      </c>
      <c r="BK2" s="147">
        <v>3707</v>
      </c>
      <c r="BL2" s="133">
        <f t="shared" ref="BL2:BL37" si="39">$CZ2</f>
        <v>3708</v>
      </c>
      <c r="BM2" s="133">
        <f t="shared" ref="BM2:BM37" si="40">$DA2</f>
        <v>3709</v>
      </c>
      <c r="BN2" s="134">
        <f t="shared" ref="BN2:BN37" si="41">$BZ2</f>
        <v>3792</v>
      </c>
      <c r="BO2" s="147">
        <v>3707</v>
      </c>
      <c r="BP2" s="133">
        <f t="shared" ref="BP2:BP37" si="42">$CZ2</f>
        <v>3708</v>
      </c>
      <c r="BQ2" s="133">
        <f t="shared" ref="BQ2:BQ37" si="43">$DA2</f>
        <v>3709</v>
      </c>
      <c r="BR2" s="134">
        <f t="shared" ref="BR2:BR37" si="44">$BZ2</f>
        <v>3792</v>
      </c>
      <c r="BS2" s="147">
        <v>3707</v>
      </c>
      <c r="BT2" s="133">
        <f t="shared" ref="BT2:BT37" si="45">$CZ2</f>
        <v>3708</v>
      </c>
      <c r="BU2" s="133">
        <f t="shared" ref="BU2:BU37" si="46">$DA2</f>
        <v>3709</v>
      </c>
      <c r="BV2" s="134">
        <f t="shared" ref="BV2:BV37" si="47">$BZ2</f>
        <v>3792</v>
      </c>
      <c r="BW2" s="147">
        <v>3707</v>
      </c>
      <c r="BX2" s="133">
        <f t="shared" ref="BX2:BX37" si="48">$CZ2</f>
        <v>3708</v>
      </c>
      <c r="BY2" s="133">
        <f t="shared" ref="BY2:BY37" si="49">$DA2</f>
        <v>3709</v>
      </c>
      <c r="BZ2" s="24">
        <v>3792</v>
      </c>
      <c r="CA2" s="147">
        <v>3707</v>
      </c>
      <c r="CB2" s="133">
        <f t="shared" ref="CB2:CB37" si="50">$CZ2</f>
        <v>3708</v>
      </c>
      <c r="CC2" s="133">
        <f t="shared" ref="CC2:CC37" si="51">$DA2</f>
        <v>3709</v>
      </c>
      <c r="CD2" s="24">
        <v>3792</v>
      </c>
      <c r="CE2" s="147">
        <v>3707</v>
      </c>
      <c r="CF2" s="133">
        <f t="shared" ref="CF2:CF37" si="52">$CZ2</f>
        <v>3708</v>
      </c>
      <c r="CG2" s="133">
        <f t="shared" ref="CG2:CG37" si="53">$DA2</f>
        <v>3709</v>
      </c>
      <c r="CH2" s="24">
        <v>3792</v>
      </c>
      <c r="CI2" s="147">
        <v>3707</v>
      </c>
      <c r="CJ2" s="133">
        <f t="shared" ref="CJ2:CJ37" si="54">$CZ2</f>
        <v>3708</v>
      </c>
      <c r="CK2" s="133">
        <f t="shared" ref="CK2:CK37" si="55">$DA2</f>
        <v>3709</v>
      </c>
      <c r="CL2" s="24">
        <v>3792</v>
      </c>
      <c r="CM2" s="147">
        <v>3707</v>
      </c>
      <c r="CN2" s="133">
        <f t="shared" ref="CN2:CN37" si="56">$CZ2</f>
        <v>3708</v>
      </c>
      <c r="CO2" s="133">
        <f t="shared" ref="CO2:CO37" si="57">$DA2</f>
        <v>3709</v>
      </c>
      <c r="CP2" s="24">
        <v>3792</v>
      </c>
      <c r="CQ2" s="147">
        <v>3707</v>
      </c>
      <c r="CR2" s="133">
        <f t="shared" ref="CR2:CR37" si="58">$CZ2</f>
        <v>3708</v>
      </c>
      <c r="CS2" s="133">
        <f t="shared" ref="CS2:CS37" si="59">$DA2</f>
        <v>3709</v>
      </c>
      <c r="CT2" s="24">
        <v>3792</v>
      </c>
      <c r="CU2" s="147">
        <v>3707</v>
      </c>
      <c r="CV2" s="133">
        <f t="shared" ref="CV2:CV37" si="60">$CZ2</f>
        <v>3708</v>
      </c>
      <c r="CW2" s="133">
        <f t="shared" ref="CW2:CW37" si="61">$DA2</f>
        <v>3709</v>
      </c>
      <c r="CX2" s="24">
        <v>3792</v>
      </c>
      <c r="CY2" s="147">
        <v>3707</v>
      </c>
      <c r="CZ2" s="23">
        <v>3708</v>
      </c>
      <c r="DA2" s="23">
        <v>3709</v>
      </c>
      <c r="DB2" s="24">
        <v>3792</v>
      </c>
      <c r="DC2" s="119"/>
      <c r="DD2" s="119"/>
      <c r="DE2" s="119"/>
      <c r="DF2" s="112" t="s">
        <v>264</v>
      </c>
      <c r="DG2" s="10" t="s">
        <v>249</v>
      </c>
      <c r="DH2" s="10" t="s">
        <v>250</v>
      </c>
      <c r="DI2" s="10" t="s">
        <v>251</v>
      </c>
      <c r="DJ2" s="10" t="s">
        <v>252</v>
      </c>
      <c r="DK2" s="10" t="s">
        <v>253</v>
      </c>
      <c r="DL2" s="10" t="s">
        <v>254</v>
      </c>
      <c r="DM2" s="82" t="s">
        <v>255</v>
      </c>
      <c r="DN2" s="82" t="s">
        <v>256</v>
      </c>
      <c r="DO2" s="11" t="s">
        <v>257</v>
      </c>
      <c r="DP2" s="12" t="s">
        <v>390</v>
      </c>
      <c r="DQ2" s="43" t="s">
        <v>263</v>
      </c>
      <c r="DS2" s="40" t="s">
        <v>249</v>
      </c>
      <c r="DT2" s="40" t="s">
        <v>250</v>
      </c>
      <c r="DU2" s="40" t="s">
        <v>251</v>
      </c>
      <c r="DV2" s="40" t="s">
        <v>252</v>
      </c>
      <c r="DW2" s="40" t="s">
        <v>253</v>
      </c>
      <c r="DX2" s="40" t="s">
        <v>254</v>
      </c>
    </row>
    <row r="3" spans="1:128" ht="101.25">
      <c r="A3" s="36" t="s">
        <v>398</v>
      </c>
      <c r="B3" s="166"/>
      <c r="C3" s="35">
        <v>401</v>
      </c>
      <c r="D3" s="167" t="s">
        <v>514</v>
      </c>
      <c r="E3" s="167" t="s">
        <v>515</v>
      </c>
      <c r="F3" s="43" t="s">
        <v>516</v>
      </c>
      <c r="G3" s="41" t="s">
        <v>517</v>
      </c>
      <c r="H3" s="41" t="s">
        <v>518</v>
      </c>
      <c r="I3" s="41" t="s">
        <v>519</v>
      </c>
      <c r="J3" s="41" t="s">
        <v>520</v>
      </c>
      <c r="K3" s="41" t="s">
        <v>394</v>
      </c>
      <c r="L3" s="322" t="str">
        <f>INDEX([14]Names!$J$1:$J$65602,MATCH(L$1,[14]Names!$F$1:$F$65602,0),1)</f>
        <v>electricity, PV, at 3kWp facade, single-Si, laminated, integrated</v>
      </c>
      <c r="M3" s="135" t="str">
        <f t="shared" si="0"/>
        <v>UncertaintyType</v>
      </c>
      <c r="N3" s="135" t="str">
        <f t="shared" si="1"/>
        <v>StandardDeviation95%</v>
      </c>
      <c r="O3" s="323" t="str">
        <f t="shared" si="2"/>
        <v>GeneralComment</v>
      </c>
      <c r="P3" s="322" t="str">
        <f>INDEX([14]Names!$J$1:$J$65602,MATCH(P$1,[14]Names!$F$1:$F$65602,0),1)</f>
        <v>electricity, PV, at 3kWp facade installation, single-Si, panel, mounted</v>
      </c>
      <c r="Q3" s="135" t="str">
        <f t="shared" si="3"/>
        <v>UncertaintyType</v>
      </c>
      <c r="R3" s="135" t="str">
        <f t="shared" si="4"/>
        <v>StandardDeviation95%</v>
      </c>
      <c r="S3" s="323" t="str">
        <f t="shared" si="5"/>
        <v>GeneralComment</v>
      </c>
      <c r="T3" s="322" t="str">
        <f>INDEX([14]Names!$J$1:$J$65602,MATCH(T$1,[14]Names!$F$1:$F$65602,0),1)</f>
        <v>electricity, PV, at 3kWp facade, multi-Si, laminated, integrated</v>
      </c>
      <c r="U3" s="135" t="str">
        <f t="shared" si="6"/>
        <v>UncertaintyType</v>
      </c>
      <c r="V3" s="135" t="str">
        <f t="shared" si="7"/>
        <v>StandardDeviation95%</v>
      </c>
      <c r="W3" s="323" t="str">
        <f t="shared" si="8"/>
        <v>GeneralComment</v>
      </c>
      <c r="X3" s="322" t="str">
        <f>INDEX([14]Names!$J$1:$J$65602,MATCH(X$1,[14]Names!$F$1:$F$65602,0),1)</f>
        <v>electricity, PV, at 3kWp facade installation, multi-Si, panel, mounted</v>
      </c>
      <c r="Y3" s="135" t="str">
        <f t="shared" si="9"/>
        <v>UncertaintyType</v>
      </c>
      <c r="Z3" s="135" t="str">
        <f t="shared" si="10"/>
        <v>StandardDeviation95%</v>
      </c>
      <c r="AA3" s="323" t="str">
        <f t="shared" si="11"/>
        <v>GeneralComment</v>
      </c>
      <c r="AB3" s="322" t="str">
        <f>INDEX([14]Names!$J$1:$J$65602,MATCH(AB$1,[14]Names!$F$1:$F$65602,0),1)</f>
        <v>electricity, PV, at 3kWp flat roof installation, single-Si</v>
      </c>
      <c r="AC3" s="135" t="str">
        <f t="shared" si="12"/>
        <v>UncertaintyType</v>
      </c>
      <c r="AD3" s="135" t="str">
        <f t="shared" si="13"/>
        <v>StandardDeviation95%</v>
      </c>
      <c r="AE3" s="323" t="str">
        <f t="shared" si="14"/>
        <v>GeneralComment</v>
      </c>
      <c r="AF3" s="322" t="str">
        <f>INDEX([14]Names!$J$1:$J$65602,MATCH(AF$1,[14]Names!$F$1:$F$65602,0),1)</f>
        <v>electricity, PV, at 3kWp flat roof installation, multi-Si</v>
      </c>
      <c r="AG3" s="135" t="str">
        <f t="shared" si="15"/>
        <v>UncertaintyType</v>
      </c>
      <c r="AH3" s="135" t="str">
        <f t="shared" si="16"/>
        <v>StandardDeviation95%</v>
      </c>
      <c r="AI3" s="323" t="str">
        <f t="shared" si="17"/>
        <v>GeneralComment</v>
      </c>
      <c r="AJ3" s="322" t="str">
        <f>INDEX([14]Names!$J$1:$J$65602,MATCH(AJ$1,[14]Names!$F$1:$F$65602,0),1)</f>
        <v>electricity, PV, at 3kWp slanted-roof, single-Si, laminated, integrated</v>
      </c>
      <c r="AK3" s="135" t="str">
        <f t="shared" si="18"/>
        <v>UncertaintyType</v>
      </c>
      <c r="AL3" s="135" t="str">
        <f t="shared" si="19"/>
        <v>StandardDeviation95%</v>
      </c>
      <c r="AM3" s="356" t="str">
        <f t="shared" si="20"/>
        <v>GeneralComment</v>
      </c>
      <c r="AN3" s="322" t="str">
        <f>INDEX([14]Names!$J$1:$J$65602,MATCH(AN$1,[14]Names!$F$1:$F$65602,0),1)</f>
        <v>electricity, PV, at 3kWp slanted-roof, single-Si, panel, mounted</v>
      </c>
      <c r="AO3" s="135" t="str">
        <f t="shared" si="21"/>
        <v>UncertaintyType</v>
      </c>
      <c r="AP3" s="135" t="str">
        <f t="shared" si="22"/>
        <v>StandardDeviation95%</v>
      </c>
      <c r="AQ3" s="323" t="str">
        <f t="shared" si="23"/>
        <v>GeneralComment</v>
      </c>
      <c r="AR3" s="322" t="str">
        <f>INDEX([14]Names!$J$1:$J$65602,MATCH(AR$1,[14]Names!$F$1:$F$65602,0),1)</f>
        <v>electricity, PV, at 3kWp slanted-roof, multi-Si, laminated, integrated</v>
      </c>
      <c r="AS3" s="135" t="str">
        <f t="shared" si="24"/>
        <v>UncertaintyType</v>
      </c>
      <c r="AT3" s="135" t="str">
        <f t="shared" si="25"/>
        <v>StandardDeviation95%</v>
      </c>
      <c r="AU3" s="356" t="str">
        <f t="shared" si="26"/>
        <v>GeneralComment</v>
      </c>
      <c r="AV3" s="322" t="str">
        <f>INDEX([14]Names!$J$1:$J$65602,MATCH(AV$1,[14]Names!$F$1:$F$65602,0),1)</f>
        <v>electricity, PV, at 3kWp slanted-roof, multi-Si, panel, mounted</v>
      </c>
      <c r="AW3" s="135" t="str">
        <f t="shared" si="27"/>
        <v>UncertaintyType</v>
      </c>
      <c r="AX3" s="135" t="str">
        <f t="shared" si="28"/>
        <v>StandardDeviation95%</v>
      </c>
      <c r="AY3" s="323" t="str">
        <f t="shared" si="29"/>
        <v>GeneralComment</v>
      </c>
      <c r="AZ3" s="322" t="str">
        <f>INDEX([14]Names!$J$1:$J$65602,MATCH(AZ$1,[14]Names!$F$1:$F$65602,0),1)</f>
        <v>electricity, PV, at 3kWp slanted-roof, ribbon-Si, panel, mounted</v>
      </c>
      <c r="BA3" s="135" t="str">
        <f t="shared" si="30"/>
        <v>UncertaintyType</v>
      </c>
      <c r="BB3" s="135" t="str">
        <f t="shared" si="31"/>
        <v>StandardDeviation95%</v>
      </c>
      <c r="BC3" s="323" t="str">
        <f t="shared" si="32"/>
        <v>GeneralComment</v>
      </c>
      <c r="BD3" s="322" t="str">
        <f>INDEX([14]Names!$J$1:$J$65602,MATCH(BD$1,[14]Names!$F$1:$F$65602,0),1)</f>
        <v>electricity, PV, at 3kWp slanted-roof, ribbon-Si, lam., integrated</v>
      </c>
      <c r="BE3" s="135" t="str">
        <f t="shared" si="33"/>
        <v>UncertaintyType</v>
      </c>
      <c r="BF3" s="135" t="str">
        <f t="shared" si="34"/>
        <v>StandardDeviation95%</v>
      </c>
      <c r="BG3" s="323" t="str">
        <f t="shared" si="35"/>
        <v>GeneralComment</v>
      </c>
      <c r="BH3" s="135" t="str">
        <f t="shared" si="36"/>
        <v>UncertaintyType</v>
      </c>
      <c r="BI3" s="135" t="str">
        <f t="shared" si="37"/>
        <v>StandardDeviation95%</v>
      </c>
      <c r="BJ3" s="323" t="str">
        <f t="shared" si="38"/>
        <v>GeneralComment</v>
      </c>
      <c r="BK3" s="322" t="str">
        <f>INDEX([14]Names!$J$1:$J$65602,MATCH(BK$1,[14]Names!$F$1:$F$65602,0),1)</f>
        <v>electricity, PV, at 3kWp slanted-roof, CdTe, laminated, integrated</v>
      </c>
      <c r="BL3" s="135" t="str">
        <f t="shared" si="39"/>
        <v>UncertaintyType</v>
      </c>
      <c r="BM3" s="135" t="str">
        <f t="shared" si="40"/>
        <v>StandardDeviation95%</v>
      </c>
      <c r="BN3" s="323" t="str">
        <f t="shared" si="41"/>
        <v>GeneralComment</v>
      </c>
      <c r="BO3" s="322" t="str">
        <f>INDEX([14]Names!$J$1:$J$65602,MATCH(BO$1,[14]Names!$F$1:$F$65602,0),1)</f>
        <v>electricity, PV, at 3kWp slanted-roof, CIS, panel, mounted</v>
      </c>
      <c r="BP3" s="135" t="str">
        <f t="shared" si="42"/>
        <v>UncertaintyType</v>
      </c>
      <c r="BQ3" s="135" t="str">
        <f t="shared" si="43"/>
        <v>StandardDeviation95%</v>
      </c>
      <c r="BR3" s="323" t="str">
        <f t="shared" si="44"/>
        <v>GeneralComment</v>
      </c>
      <c r="BS3" s="322" t="str">
        <f>INDEX([14]Names!$J$1:$J$65602,MATCH(BS$1,[14]Names!$F$1:$F$65602,0),1)</f>
        <v>electricity, PV, at 3kWp slanted-roof, a-Si, lam., integrated</v>
      </c>
      <c r="BT3" s="135" t="str">
        <f t="shared" si="45"/>
        <v>UncertaintyType</v>
      </c>
      <c r="BU3" s="135" t="str">
        <f t="shared" si="46"/>
        <v>StandardDeviation95%</v>
      </c>
      <c r="BV3" s="323" t="str">
        <f t="shared" si="47"/>
        <v>GeneralComment</v>
      </c>
      <c r="BW3" s="322" t="str">
        <f>INDEX([14]Names!$J$1:$J$65602,MATCH(BW$1,[14]Names!$F$1:$F$65602,0),1)</f>
        <v>electricity, PV, at 3kWp slanted-roof, a-Si, panel, mounted</v>
      </c>
      <c r="BX3" s="135" t="str">
        <f t="shared" si="48"/>
        <v>UncertaintyType</v>
      </c>
      <c r="BY3" s="135" t="str">
        <f t="shared" si="49"/>
        <v>StandardDeviation95%</v>
      </c>
      <c r="BZ3" s="26" t="s">
        <v>548</v>
      </c>
      <c r="CA3" s="322" t="str">
        <f>INDEX([14]Names!$J$1:$J$65602,MATCH(CA$1,[14]Names!$F$1:$F$65602,0),1)</f>
        <v>electricity, PV, at 3kWp slanted-roof, multi-Si, European laminate integrated</v>
      </c>
      <c r="CB3" s="135" t="str">
        <f t="shared" si="50"/>
        <v>UncertaintyType</v>
      </c>
      <c r="CC3" s="135" t="str">
        <f t="shared" si="51"/>
        <v>StandardDeviation95%</v>
      </c>
      <c r="CD3" s="26" t="s">
        <v>548</v>
      </c>
      <c r="CE3" s="322" t="str">
        <f>INDEX([14]Names!$J$1:$J$65602,MATCH(CE$1,[14]Names!$F$1:$F$65602,0),1)</f>
        <v>electricity, PV, at 3kWp slanted-roof, multi-Si, European panel, mounted</v>
      </c>
      <c r="CF3" s="135" t="str">
        <f t="shared" si="52"/>
        <v>UncertaintyType</v>
      </c>
      <c r="CG3" s="135" t="str">
        <f t="shared" si="53"/>
        <v>StandardDeviation95%</v>
      </c>
      <c r="CH3" s="26" t="s">
        <v>548</v>
      </c>
      <c r="CI3" s="322" t="str">
        <f>INDEX([14]Names!$J$1:$J$65602,MATCH(CI$1,[14]Names!$F$1:$F$65602,0),1)</f>
        <v>electricity, PV, at 3kWp slanted-roof, single-Si, European laminate, integrated</v>
      </c>
      <c r="CJ3" s="135" t="str">
        <f t="shared" si="54"/>
        <v>UncertaintyType</v>
      </c>
      <c r="CK3" s="135" t="str">
        <f t="shared" si="55"/>
        <v>StandardDeviation95%</v>
      </c>
      <c r="CL3" s="26" t="s">
        <v>548</v>
      </c>
      <c r="CM3" s="322" t="str">
        <f>INDEX([14]Names!$J$1:$J$65602,MATCH(CM$1,[14]Names!$F$1:$F$65602,0),1)</f>
        <v>electricity, PV, at 3kWp slanted-roof, single-Si, European panel, mounted</v>
      </c>
      <c r="CN3" s="135" t="str">
        <f t="shared" si="56"/>
        <v>UncertaintyType</v>
      </c>
      <c r="CO3" s="135" t="str">
        <f t="shared" si="57"/>
        <v>StandardDeviation95%</v>
      </c>
      <c r="CP3" s="26" t="s">
        <v>548</v>
      </c>
      <c r="CQ3" s="322" t="str">
        <f>INDEX([14]Names!$J$1:$J$65602,MATCH(CQ$1,[14]Names!$F$1:$F$65602,0),1)</f>
        <v>electricity, PV, at 3kWp slanted-roof, CdTe, German laminate, integrated</v>
      </c>
      <c r="CR3" s="135" t="str">
        <f t="shared" si="58"/>
        <v>UncertaintyType</v>
      </c>
      <c r="CS3" s="135" t="str">
        <f t="shared" si="59"/>
        <v>StandardDeviation95%</v>
      </c>
      <c r="CT3" s="26" t="s">
        <v>548</v>
      </c>
      <c r="CU3" s="322" t="str">
        <f>INDEX([14]Names!$J$1:$J$65602,MATCH(CU$1,[14]Names!$F$1:$F$65602,0),1)</f>
        <v>electricity, PV, at 3kWp slanted-roof, multi-Si, Chinese panel, mounted</v>
      </c>
      <c r="CV3" s="135" t="str">
        <f t="shared" si="60"/>
        <v>UncertaintyType</v>
      </c>
      <c r="CW3" s="135" t="str">
        <f t="shared" si="61"/>
        <v>StandardDeviation95%</v>
      </c>
      <c r="CX3" s="26" t="s">
        <v>548</v>
      </c>
      <c r="CY3" s="322" t="str">
        <f>INDEX([14]Names!$J$1:$J$65602,MATCH(CY$1,[14]Names!$F$1:$F$65602,0),1)</f>
        <v>electricity, production mix photovoltaic, at plant</v>
      </c>
      <c r="CZ3" s="25" t="s">
        <v>265</v>
      </c>
      <c r="DA3" s="25" t="s">
        <v>266</v>
      </c>
      <c r="DB3" s="26" t="s">
        <v>548</v>
      </c>
      <c r="DC3" s="196" t="s">
        <v>453</v>
      </c>
      <c r="DD3" s="196" t="s">
        <v>711</v>
      </c>
      <c r="DE3" s="196" t="s">
        <v>459</v>
      </c>
      <c r="DF3" s="113"/>
      <c r="DG3" s="42"/>
      <c r="DH3" s="10"/>
      <c r="DI3" s="10"/>
      <c r="DJ3" s="10"/>
      <c r="DK3" s="10"/>
      <c r="DL3" s="10"/>
      <c r="DM3" s="9"/>
      <c r="DN3" s="9"/>
      <c r="DO3" s="11" t="s">
        <v>267</v>
      </c>
      <c r="DP3" s="12" t="s">
        <v>267</v>
      </c>
      <c r="DQ3" s="83"/>
    </row>
    <row r="4" spans="1:128" ht="12.75" customHeight="1">
      <c r="A4" s="36"/>
      <c r="B4" s="166"/>
      <c r="C4" s="35">
        <v>662</v>
      </c>
      <c r="D4" s="13"/>
      <c r="E4" s="13"/>
      <c r="F4" s="43" t="s">
        <v>517</v>
      </c>
      <c r="G4" s="43"/>
      <c r="H4" s="43"/>
      <c r="I4" s="43"/>
      <c r="J4" s="43"/>
      <c r="K4" s="43"/>
      <c r="L4" s="177" t="str">
        <f>INDEX([14]Names!$K$1:$K$65602,MATCH(L$1,[14]Names!$F$1:$F$65602,0),1)</f>
        <v>CH</v>
      </c>
      <c r="M4" s="200">
        <f t="shared" si="0"/>
        <v>0</v>
      </c>
      <c r="N4" s="200">
        <f t="shared" si="1"/>
        <v>0</v>
      </c>
      <c r="O4" s="201">
        <f t="shared" si="2"/>
        <v>0</v>
      </c>
      <c r="P4" s="177" t="str">
        <f>INDEX([14]Names!$K$1:$K$65602,MATCH(P$1,[14]Names!$F$1:$F$65602,0),1)</f>
        <v>CH</v>
      </c>
      <c r="Q4" s="200">
        <f t="shared" si="3"/>
        <v>0</v>
      </c>
      <c r="R4" s="200">
        <f t="shared" si="4"/>
        <v>0</v>
      </c>
      <c r="S4" s="201">
        <f t="shared" si="5"/>
        <v>0</v>
      </c>
      <c r="T4" s="177" t="str">
        <f>INDEX([14]Names!$K$1:$K$65602,MATCH(T$1,[14]Names!$F$1:$F$65602,0),1)</f>
        <v>CH</v>
      </c>
      <c r="U4" s="200">
        <f t="shared" si="6"/>
        <v>0</v>
      </c>
      <c r="V4" s="200">
        <f t="shared" si="7"/>
        <v>0</v>
      </c>
      <c r="W4" s="201">
        <f t="shared" si="8"/>
        <v>0</v>
      </c>
      <c r="X4" s="177" t="str">
        <f>INDEX([14]Names!$K$1:$K$65602,MATCH(X$1,[14]Names!$F$1:$F$65602,0),1)</f>
        <v>CH</v>
      </c>
      <c r="Y4" s="200">
        <f t="shared" si="9"/>
        <v>0</v>
      </c>
      <c r="Z4" s="200">
        <f t="shared" si="10"/>
        <v>0</v>
      </c>
      <c r="AA4" s="201">
        <f t="shared" si="11"/>
        <v>0</v>
      </c>
      <c r="AB4" s="177" t="str">
        <f>INDEX([14]Names!$K$1:$K$65602,MATCH(AB$1,[14]Names!$F$1:$F$65602,0),1)</f>
        <v>CH</v>
      </c>
      <c r="AC4" s="200">
        <f t="shared" si="12"/>
        <v>0</v>
      </c>
      <c r="AD4" s="200">
        <f t="shared" si="13"/>
        <v>0</v>
      </c>
      <c r="AE4" s="201">
        <f t="shared" si="14"/>
        <v>0</v>
      </c>
      <c r="AF4" s="177" t="str">
        <f>INDEX([14]Names!$K$1:$K$65602,MATCH(AF$1,[14]Names!$F$1:$F$65602,0),1)</f>
        <v>CH</v>
      </c>
      <c r="AG4" s="200">
        <f t="shared" si="15"/>
        <v>0</v>
      </c>
      <c r="AH4" s="200">
        <f t="shared" si="16"/>
        <v>0</v>
      </c>
      <c r="AI4" s="201">
        <f t="shared" si="17"/>
        <v>0</v>
      </c>
      <c r="AJ4" s="177" t="str">
        <f>INDEX([14]Names!$K$1:$K$65602,MATCH(AJ$1,[14]Names!$F$1:$F$65602,0),1)</f>
        <v>CH</v>
      </c>
      <c r="AK4" s="200">
        <f t="shared" si="18"/>
        <v>0</v>
      </c>
      <c r="AL4" s="200">
        <f t="shared" si="19"/>
        <v>0</v>
      </c>
      <c r="AM4" s="28">
        <f t="shared" si="20"/>
        <v>0</v>
      </c>
      <c r="AN4" s="177" t="str">
        <f>INDEX([14]Names!$K$1:$K$65602,MATCH(AN$1,[14]Names!$F$1:$F$65602,0),1)</f>
        <v>CH</v>
      </c>
      <c r="AO4" s="200">
        <f t="shared" si="21"/>
        <v>0</v>
      </c>
      <c r="AP4" s="200">
        <f t="shared" si="22"/>
        <v>0</v>
      </c>
      <c r="AQ4" s="201">
        <f t="shared" si="23"/>
        <v>0</v>
      </c>
      <c r="AR4" s="177" t="str">
        <f>INDEX([14]Names!$K$1:$K$65602,MATCH(AR$1,[14]Names!$F$1:$F$65602,0),1)</f>
        <v>CH</v>
      </c>
      <c r="AS4" s="200">
        <f t="shared" si="24"/>
        <v>0</v>
      </c>
      <c r="AT4" s="200">
        <f t="shared" si="25"/>
        <v>0</v>
      </c>
      <c r="AU4" s="28">
        <f t="shared" si="26"/>
        <v>0</v>
      </c>
      <c r="AV4" s="177" t="str">
        <f>INDEX([14]Names!$K$1:$K$65602,MATCH(AV$1,[14]Names!$F$1:$F$65602,0),1)</f>
        <v>CH</v>
      </c>
      <c r="AW4" s="200">
        <f t="shared" si="27"/>
        <v>0</v>
      </c>
      <c r="AX4" s="200">
        <f t="shared" si="28"/>
        <v>0</v>
      </c>
      <c r="AY4" s="201">
        <f t="shared" si="29"/>
        <v>0</v>
      </c>
      <c r="AZ4" s="177" t="str">
        <f>INDEX([14]Names!$K$1:$K$65602,MATCH(AZ$1,[14]Names!$F$1:$F$65602,0),1)</f>
        <v>CH</v>
      </c>
      <c r="BA4" s="200">
        <f t="shared" si="30"/>
        <v>0</v>
      </c>
      <c r="BB4" s="200">
        <f t="shared" si="31"/>
        <v>0</v>
      </c>
      <c r="BC4" s="201">
        <f t="shared" si="32"/>
        <v>0</v>
      </c>
      <c r="BD4" s="177" t="str">
        <f>INDEX([14]Names!$K$1:$K$65602,MATCH(BD$1,[14]Names!$F$1:$F$65602,0),1)</f>
        <v>CH</v>
      </c>
      <c r="BE4" s="200">
        <f t="shared" si="33"/>
        <v>0</v>
      </c>
      <c r="BF4" s="200">
        <f t="shared" si="34"/>
        <v>0</v>
      </c>
      <c r="BG4" s="201">
        <f t="shared" si="35"/>
        <v>0</v>
      </c>
      <c r="BH4" s="200">
        <f t="shared" si="36"/>
        <v>0</v>
      </c>
      <c r="BI4" s="200">
        <f t="shared" si="37"/>
        <v>0</v>
      </c>
      <c r="BJ4" s="201">
        <f t="shared" si="38"/>
        <v>0</v>
      </c>
      <c r="BK4" s="177" t="str">
        <f>INDEX([14]Names!$K$1:$K$65602,MATCH(BK$1,[14]Names!$F$1:$F$65602,0),1)</f>
        <v>CH</v>
      </c>
      <c r="BL4" s="200">
        <f t="shared" si="39"/>
        <v>0</v>
      </c>
      <c r="BM4" s="200">
        <f t="shared" si="40"/>
        <v>0</v>
      </c>
      <c r="BN4" s="201">
        <f t="shared" si="41"/>
        <v>0</v>
      </c>
      <c r="BO4" s="177" t="str">
        <f>INDEX([14]Names!$K$1:$K$65602,MATCH(BO$1,[14]Names!$F$1:$F$65602,0),1)</f>
        <v>CH</v>
      </c>
      <c r="BP4" s="200">
        <f t="shared" si="42"/>
        <v>0</v>
      </c>
      <c r="BQ4" s="200">
        <f t="shared" si="43"/>
        <v>0</v>
      </c>
      <c r="BR4" s="201">
        <f t="shared" si="44"/>
        <v>0</v>
      </c>
      <c r="BS4" s="177" t="str">
        <f>INDEX([14]Names!$K$1:$K$65602,MATCH(BS$1,[14]Names!$F$1:$F$65602,0),1)</f>
        <v>CH</v>
      </c>
      <c r="BT4" s="200">
        <f t="shared" si="45"/>
        <v>0</v>
      </c>
      <c r="BU4" s="200">
        <f t="shared" si="46"/>
        <v>0</v>
      </c>
      <c r="BV4" s="201">
        <f t="shared" si="47"/>
        <v>0</v>
      </c>
      <c r="BW4" s="177" t="str">
        <f>INDEX([14]Names!$K$1:$K$65602,MATCH(BW$1,[14]Names!$F$1:$F$65602,0),1)</f>
        <v>CH</v>
      </c>
      <c r="BX4" s="200">
        <f t="shared" si="48"/>
        <v>0</v>
      </c>
      <c r="BY4" s="200">
        <f t="shared" si="49"/>
        <v>0</v>
      </c>
      <c r="BZ4" s="28"/>
      <c r="CA4" s="177" t="str">
        <f>INDEX([14]Names!$K$1:$K$65602,MATCH(CA$1,[14]Names!$F$1:$F$65602,0),1)</f>
        <v>CH</v>
      </c>
      <c r="CB4" s="200">
        <f t="shared" si="50"/>
        <v>0</v>
      </c>
      <c r="CC4" s="200">
        <f t="shared" si="51"/>
        <v>0</v>
      </c>
      <c r="CD4" s="28"/>
      <c r="CE4" s="177" t="str">
        <f>INDEX([14]Names!$K$1:$K$65602,MATCH(CE$1,[14]Names!$F$1:$F$65602,0),1)</f>
        <v>CH</v>
      </c>
      <c r="CF4" s="200">
        <f t="shared" si="52"/>
        <v>0</v>
      </c>
      <c r="CG4" s="200">
        <f t="shared" si="53"/>
        <v>0</v>
      </c>
      <c r="CH4" s="28"/>
      <c r="CI4" s="177" t="str">
        <f>INDEX([14]Names!$K$1:$K$65602,MATCH(CI$1,[14]Names!$F$1:$F$65602,0),1)</f>
        <v>CH</v>
      </c>
      <c r="CJ4" s="200">
        <f t="shared" si="54"/>
        <v>0</v>
      </c>
      <c r="CK4" s="200">
        <f t="shared" si="55"/>
        <v>0</v>
      </c>
      <c r="CL4" s="28"/>
      <c r="CM4" s="177" t="str">
        <f>INDEX([14]Names!$K$1:$K$65602,MATCH(CM$1,[14]Names!$F$1:$F$65602,0),1)</f>
        <v>CH</v>
      </c>
      <c r="CN4" s="200">
        <f t="shared" si="56"/>
        <v>0</v>
      </c>
      <c r="CO4" s="200">
        <f t="shared" si="57"/>
        <v>0</v>
      </c>
      <c r="CP4" s="28"/>
      <c r="CQ4" s="177" t="str">
        <f>INDEX([14]Names!$K$1:$K$65602,MATCH(CQ$1,[14]Names!$F$1:$F$65602,0),1)</f>
        <v>CH</v>
      </c>
      <c r="CR4" s="200">
        <f t="shared" si="58"/>
        <v>0</v>
      </c>
      <c r="CS4" s="200">
        <f t="shared" si="59"/>
        <v>0</v>
      </c>
      <c r="CT4" s="28"/>
      <c r="CU4" s="177" t="str">
        <f>INDEX([14]Names!$K$1:$K$65602,MATCH(CU$1,[14]Names!$F$1:$F$65602,0),1)</f>
        <v>CH</v>
      </c>
      <c r="CV4" s="200">
        <f t="shared" si="60"/>
        <v>0</v>
      </c>
      <c r="CW4" s="200">
        <f t="shared" si="61"/>
        <v>0</v>
      </c>
      <c r="CX4" s="28"/>
      <c r="CY4" s="177" t="str">
        <f>INDEX([14]Names!$K$1:$K$65602,MATCH(CY$1,[14]Names!$F$1:$F$65602,0),1)</f>
        <v>CH</v>
      </c>
      <c r="CZ4" s="27"/>
      <c r="DA4" s="27"/>
      <c r="DB4" s="28"/>
      <c r="DC4" s="196"/>
      <c r="DD4" s="196"/>
      <c r="DE4" s="196"/>
      <c r="DF4" s="114"/>
      <c r="DG4" s="44" t="s">
        <v>269</v>
      </c>
      <c r="DO4" s="45"/>
      <c r="DP4" s="45"/>
      <c r="DQ4" s="46"/>
    </row>
    <row r="5" spans="1:128">
      <c r="A5" s="36"/>
      <c r="B5" s="166"/>
      <c r="C5" s="35">
        <v>493</v>
      </c>
      <c r="D5" s="13"/>
      <c r="E5" s="13"/>
      <c r="F5" s="43" t="s">
        <v>520</v>
      </c>
      <c r="G5" s="43"/>
      <c r="H5" s="43"/>
      <c r="I5" s="43"/>
      <c r="J5" s="43"/>
      <c r="K5" s="43"/>
      <c r="L5" s="177">
        <f>INDEX([14]Names!$N$1:$N$65602,MATCH(L$1,[14]Names!$F$1:$F$65602,0),1)</f>
        <v>0</v>
      </c>
      <c r="M5" s="200">
        <f t="shared" si="0"/>
        <v>0</v>
      </c>
      <c r="N5" s="200">
        <f t="shared" si="1"/>
        <v>0</v>
      </c>
      <c r="O5" s="201">
        <f t="shared" si="2"/>
        <v>0</v>
      </c>
      <c r="P5" s="177">
        <f>INDEX([14]Names!$N$1:$N$65602,MATCH(P$1,[14]Names!$F$1:$F$65602,0),1)</f>
        <v>0</v>
      </c>
      <c r="Q5" s="200">
        <f t="shared" si="3"/>
        <v>0</v>
      </c>
      <c r="R5" s="200">
        <f t="shared" si="4"/>
        <v>0</v>
      </c>
      <c r="S5" s="201">
        <f t="shared" si="5"/>
        <v>0</v>
      </c>
      <c r="T5" s="177">
        <f>INDEX([14]Names!$N$1:$N$65602,MATCH(T$1,[14]Names!$F$1:$F$65602,0),1)</f>
        <v>0</v>
      </c>
      <c r="U5" s="200">
        <f t="shared" si="6"/>
        <v>0</v>
      </c>
      <c r="V5" s="200">
        <f t="shared" si="7"/>
        <v>0</v>
      </c>
      <c r="W5" s="201">
        <f t="shared" si="8"/>
        <v>0</v>
      </c>
      <c r="X5" s="177">
        <f>INDEX([14]Names!$N$1:$N$65602,MATCH(X$1,[14]Names!$F$1:$F$65602,0),1)</f>
        <v>0</v>
      </c>
      <c r="Y5" s="200">
        <f t="shared" si="9"/>
        <v>0</v>
      </c>
      <c r="Z5" s="200">
        <f t="shared" si="10"/>
        <v>0</v>
      </c>
      <c r="AA5" s="201">
        <f t="shared" si="11"/>
        <v>0</v>
      </c>
      <c r="AB5" s="177">
        <f>INDEX([14]Names!$N$1:$N$65602,MATCH(AB$1,[14]Names!$F$1:$F$65602,0),1)</f>
        <v>0</v>
      </c>
      <c r="AC5" s="200">
        <f t="shared" si="12"/>
        <v>0</v>
      </c>
      <c r="AD5" s="200">
        <f t="shared" si="13"/>
        <v>0</v>
      </c>
      <c r="AE5" s="201">
        <f t="shared" si="14"/>
        <v>0</v>
      </c>
      <c r="AF5" s="177">
        <f>INDEX([14]Names!$N$1:$N$65602,MATCH(AF$1,[14]Names!$F$1:$F$65602,0),1)</f>
        <v>0</v>
      </c>
      <c r="AG5" s="200">
        <f t="shared" si="15"/>
        <v>0</v>
      </c>
      <c r="AH5" s="200">
        <f t="shared" si="16"/>
        <v>0</v>
      </c>
      <c r="AI5" s="201">
        <f t="shared" si="17"/>
        <v>0</v>
      </c>
      <c r="AJ5" s="177">
        <f>INDEX([14]Names!$N$1:$N$65602,MATCH(AJ$1,[14]Names!$F$1:$F$65602,0),1)</f>
        <v>0</v>
      </c>
      <c r="AK5" s="200">
        <f t="shared" si="18"/>
        <v>0</v>
      </c>
      <c r="AL5" s="200">
        <f t="shared" si="19"/>
        <v>0</v>
      </c>
      <c r="AM5" s="28">
        <f t="shared" si="20"/>
        <v>0</v>
      </c>
      <c r="AN5" s="177">
        <f>INDEX([14]Names!$N$1:$N$65602,MATCH(AN$1,[14]Names!$F$1:$F$65602,0),1)</f>
        <v>0</v>
      </c>
      <c r="AO5" s="200">
        <f t="shared" si="21"/>
        <v>0</v>
      </c>
      <c r="AP5" s="200">
        <f t="shared" si="22"/>
        <v>0</v>
      </c>
      <c r="AQ5" s="201">
        <f t="shared" si="23"/>
        <v>0</v>
      </c>
      <c r="AR5" s="177">
        <f>INDEX([14]Names!$N$1:$N$65602,MATCH(AR$1,[14]Names!$F$1:$F$65602,0),1)</f>
        <v>0</v>
      </c>
      <c r="AS5" s="200">
        <f t="shared" si="24"/>
        <v>0</v>
      </c>
      <c r="AT5" s="200">
        <f t="shared" si="25"/>
        <v>0</v>
      </c>
      <c r="AU5" s="28">
        <f t="shared" si="26"/>
        <v>0</v>
      </c>
      <c r="AV5" s="177">
        <f>INDEX([14]Names!$N$1:$N$65602,MATCH(AV$1,[14]Names!$F$1:$F$65602,0),1)</f>
        <v>0</v>
      </c>
      <c r="AW5" s="200">
        <f t="shared" si="27"/>
        <v>0</v>
      </c>
      <c r="AX5" s="200">
        <f t="shared" si="28"/>
        <v>0</v>
      </c>
      <c r="AY5" s="201">
        <f t="shared" si="29"/>
        <v>0</v>
      </c>
      <c r="AZ5" s="177">
        <f>INDEX([14]Names!$N$1:$N$65602,MATCH(AZ$1,[14]Names!$F$1:$F$65602,0),1)</f>
        <v>0</v>
      </c>
      <c r="BA5" s="200">
        <f t="shared" si="30"/>
        <v>0</v>
      </c>
      <c r="BB5" s="200">
        <f t="shared" si="31"/>
        <v>0</v>
      </c>
      <c r="BC5" s="201">
        <f t="shared" si="32"/>
        <v>0</v>
      </c>
      <c r="BD5" s="177">
        <f>INDEX([14]Names!$N$1:$N$65602,MATCH(BD$1,[14]Names!$F$1:$F$65602,0),1)</f>
        <v>0</v>
      </c>
      <c r="BE5" s="200">
        <f t="shared" si="33"/>
        <v>0</v>
      </c>
      <c r="BF5" s="200">
        <f t="shared" si="34"/>
        <v>0</v>
      </c>
      <c r="BG5" s="201">
        <f t="shared" si="35"/>
        <v>0</v>
      </c>
      <c r="BH5" s="200">
        <f t="shared" si="36"/>
        <v>0</v>
      </c>
      <c r="BI5" s="200">
        <f t="shared" si="37"/>
        <v>0</v>
      </c>
      <c r="BJ5" s="201">
        <f t="shared" si="38"/>
        <v>0</v>
      </c>
      <c r="BK5" s="177">
        <f>INDEX([14]Names!$N$1:$N$65602,MATCH(BK$1,[14]Names!$F$1:$F$65602,0),1)</f>
        <v>0</v>
      </c>
      <c r="BL5" s="200">
        <f t="shared" si="39"/>
        <v>0</v>
      </c>
      <c r="BM5" s="200">
        <f t="shared" si="40"/>
        <v>0</v>
      </c>
      <c r="BN5" s="201">
        <f t="shared" si="41"/>
        <v>0</v>
      </c>
      <c r="BO5" s="177">
        <f>INDEX([14]Names!$N$1:$N$65602,MATCH(BO$1,[14]Names!$F$1:$F$65602,0),1)</f>
        <v>0</v>
      </c>
      <c r="BP5" s="200">
        <f t="shared" si="42"/>
        <v>0</v>
      </c>
      <c r="BQ5" s="200">
        <f t="shared" si="43"/>
        <v>0</v>
      </c>
      <c r="BR5" s="201">
        <f t="shared" si="44"/>
        <v>0</v>
      </c>
      <c r="BS5" s="177">
        <f>INDEX([14]Names!$N$1:$N$65602,MATCH(BS$1,[14]Names!$F$1:$F$65602,0),1)</f>
        <v>0</v>
      </c>
      <c r="BT5" s="200">
        <f t="shared" si="45"/>
        <v>0</v>
      </c>
      <c r="BU5" s="200">
        <f t="shared" si="46"/>
        <v>0</v>
      </c>
      <c r="BV5" s="201">
        <f t="shared" si="47"/>
        <v>0</v>
      </c>
      <c r="BW5" s="177">
        <f>INDEX([14]Names!$N$1:$N$65602,MATCH(BW$1,[14]Names!$F$1:$F$65602,0),1)</f>
        <v>0</v>
      </c>
      <c r="BX5" s="200">
        <f t="shared" si="48"/>
        <v>0</v>
      </c>
      <c r="BY5" s="200">
        <f t="shared" si="49"/>
        <v>0</v>
      </c>
      <c r="BZ5" s="28"/>
      <c r="CA5" s="177">
        <f>INDEX([14]Names!$N$1:$N$65602,MATCH(CA$1,[14]Names!$F$1:$F$65602,0),1)</f>
        <v>0</v>
      </c>
      <c r="CB5" s="200">
        <f t="shared" si="50"/>
        <v>0</v>
      </c>
      <c r="CC5" s="200">
        <f t="shared" si="51"/>
        <v>0</v>
      </c>
      <c r="CD5" s="28"/>
      <c r="CE5" s="177">
        <f>INDEX([14]Names!$N$1:$N$65602,MATCH(CE$1,[14]Names!$F$1:$F$65602,0),1)</f>
        <v>0</v>
      </c>
      <c r="CF5" s="200">
        <f t="shared" si="52"/>
        <v>0</v>
      </c>
      <c r="CG5" s="200">
        <f t="shared" si="53"/>
        <v>0</v>
      </c>
      <c r="CH5" s="28"/>
      <c r="CI5" s="177">
        <f>INDEX([14]Names!$N$1:$N$65602,MATCH(CI$1,[14]Names!$F$1:$F$65602,0),1)</f>
        <v>0</v>
      </c>
      <c r="CJ5" s="200">
        <f t="shared" si="54"/>
        <v>0</v>
      </c>
      <c r="CK5" s="200">
        <f t="shared" si="55"/>
        <v>0</v>
      </c>
      <c r="CL5" s="28"/>
      <c r="CM5" s="177">
        <f>INDEX([14]Names!$N$1:$N$65602,MATCH(CM$1,[14]Names!$F$1:$F$65602,0),1)</f>
        <v>0</v>
      </c>
      <c r="CN5" s="200">
        <f t="shared" si="56"/>
        <v>0</v>
      </c>
      <c r="CO5" s="200">
        <f t="shared" si="57"/>
        <v>0</v>
      </c>
      <c r="CP5" s="28"/>
      <c r="CQ5" s="177">
        <f>INDEX([14]Names!$N$1:$N$65602,MATCH(CQ$1,[14]Names!$F$1:$F$65602,0),1)</f>
        <v>0</v>
      </c>
      <c r="CR5" s="200">
        <f t="shared" si="58"/>
        <v>0</v>
      </c>
      <c r="CS5" s="200">
        <f t="shared" si="59"/>
        <v>0</v>
      </c>
      <c r="CT5" s="28"/>
      <c r="CU5" s="177">
        <f>INDEX([14]Names!$N$1:$N$65602,MATCH(CU$1,[14]Names!$F$1:$F$65602,0),1)</f>
        <v>0</v>
      </c>
      <c r="CV5" s="200">
        <f t="shared" si="60"/>
        <v>0</v>
      </c>
      <c r="CW5" s="200">
        <f t="shared" si="61"/>
        <v>0</v>
      </c>
      <c r="CX5" s="28"/>
      <c r="CY5" s="177">
        <f>INDEX([14]Names!$N$1:$N$65602,MATCH(CY$1,[14]Names!$F$1:$F$65602,0),1)</f>
        <v>0</v>
      </c>
      <c r="CZ5" s="27"/>
      <c r="DA5" s="27"/>
      <c r="DB5" s="28"/>
      <c r="DC5" s="196"/>
      <c r="DD5" s="196"/>
      <c r="DE5" s="196"/>
    </row>
    <row r="6" spans="1:128">
      <c r="A6" s="36"/>
      <c r="B6" s="166"/>
      <c r="C6" s="35">
        <v>403</v>
      </c>
      <c r="D6" s="13"/>
      <c r="E6" s="13"/>
      <c r="F6" s="43" t="s">
        <v>394</v>
      </c>
      <c r="G6" s="351"/>
      <c r="H6" s="43"/>
      <c r="I6" s="43"/>
      <c r="J6" s="43"/>
      <c r="K6" s="43"/>
      <c r="L6" s="177" t="str">
        <f>INDEX([14]Names!$O$1:$O$65602,MATCH(L$1,[14]Names!$F$1:$F$65602,0),1)</f>
        <v>kWh</v>
      </c>
      <c r="M6" s="200">
        <f t="shared" si="0"/>
        <v>0</v>
      </c>
      <c r="N6" s="200">
        <f t="shared" si="1"/>
        <v>0</v>
      </c>
      <c r="O6" s="201">
        <f t="shared" si="2"/>
        <v>0</v>
      </c>
      <c r="P6" s="177" t="str">
        <f>INDEX([14]Names!$O$1:$O$65602,MATCH(P$1,[14]Names!$F$1:$F$65602,0),1)</f>
        <v>kWh</v>
      </c>
      <c r="Q6" s="200">
        <f t="shared" si="3"/>
        <v>0</v>
      </c>
      <c r="R6" s="200">
        <f t="shared" si="4"/>
        <v>0</v>
      </c>
      <c r="S6" s="201">
        <f t="shared" si="5"/>
        <v>0</v>
      </c>
      <c r="T6" s="177" t="str">
        <f>INDEX([14]Names!$O$1:$O$65602,MATCH(T$1,[14]Names!$F$1:$F$65602,0),1)</f>
        <v>kWh</v>
      </c>
      <c r="U6" s="200">
        <f t="shared" si="6"/>
        <v>0</v>
      </c>
      <c r="V6" s="200">
        <f t="shared" si="7"/>
        <v>0</v>
      </c>
      <c r="W6" s="201">
        <f t="shared" si="8"/>
        <v>0</v>
      </c>
      <c r="X6" s="177" t="str">
        <f>INDEX([14]Names!$O$1:$O$65602,MATCH(X$1,[14]Names!$F$1:$F$65602,0),1)</f>
        <v>kWh</v>
      </c>
      <c r="Y6" s="200">
        <f t="shared" si="9"/>
        <v>0</v>
      </c>
      <c r="Z6" s="200">
        <f t="shared" si="10"/>
        <v>0</v>
      </c>
      <c r="AA6" s="201">
        <f t="shared" si="11"/>
        <v>0</v>
      </c>
      <c r="AB6" s="177" t="str">
        <f>INDEX([14]Names!$O$1:$O$65602,MATCH(AB$1,[14]Names!$F$1:$F$65602,0),1)</f>
        <v>kWh</v>
      </c>
      <c r="AC6" s="200">
        <f t="shared" si="12"/>
        <v>0</v>
      </c>
      <c r="AD6" s="200">
        <f t="shared" si="13"/>
        <v>0</v>
      </c>
      <c r="AE6" s="201">
        <f t="shared" si="14"/>
        <v>0</v>
      </c>
      <c r="AF6" s="177" t="str">
        <f>INDEX([14]Names!$O$1:$O$65602,MATCH(AF$1,[14]Names!$F$1:$F$65602,0),1)</f>
        <v>kWh</v>
      </c>
      <c r="AG6" s="200">
        <f t="shared" si="15"/>
        <v>0</v>
      </c>
      <c r="AH6" s="200">
        <f t="shared" si="16"/>
        <v>0</v>
      </c>
      <c r="AI6" s="201">
        <f t="shared" si="17"/>
        <v>0</v>
      </c>
      <c r="AJ6" s="177" t="str">
        <f>INDEX([14]Names!$O$1:$O$65602,MATCH(AJ$1,[14]Names!$F$1:$F$65602,0),1)</f>
        <v>kWh</v>
      </c>
      <c r="AK6" s="200">
        <f t="shared" si="18"/>
        <v>0</v>
      </c>
      <c r="AL6" s="200">
        <f t="shared" si="19"/>
        <v>0</v>
      </c>
      <c r="AM6" s="28">
        <f t="shared" si="20"/>
        <v>0</v>
      </c>
      <c r="AN6" s="177" t="str">
        <f>INDEX([14]Names!$O$1:$O$65602,MATCH(AN$1,[14]Names!$F$1:$F$65602,0),1)</f>
        <v>kWh</v>
      </c>
      <c r="AO6" s="200">
        <f t="shared" si="21"/>
        <v>0</v>
      </c>
      <c r="AP6" s="200">
        <f t="shared" si="22"/>
        <v>0</v>
      </c>
      <c r="AQ6" s="201">
        <f t="shared" si="23"/>
        <v>0</v>
      </c>
      <c r="AR6" s="177" t="str">
        <f>INDEX([14]Names!$O$1:$O$65602,MATCH(AR$1,[14]Names!$F$1:$F$65602,0),1)</f>
        <v>kWh</v>
      </c>
      <c r="AS6" s="200">
        <f t="shared" si="24"/>
        <v>0</v>
      </c>
      <c r="AT6" s="200">
        <f t="shared" si="25"/>
        <v>0</v>
      </c>
      <c r="AU6" s="28">
        <f t="shared" si="26"/>
        <v>0</v>
      </c>
      <c r="AV6" s="177" t="str">
        <f>INDEX([14]Names!$O$1:$O$65602,MATCH(AV$1,[14]Names!$F$1:$F$65602,0),1)</f>
        <v>kWh</v>
      </c>
      <c r="AW6" s="200">
        <f t="shared" si="27"/>
        <v>0</v>
      </c>
      <c r="AX6" s="200">
        <f t="shared" si="28"/>
        <v>0</v>
      </c>
      <c r="AY6" s="201">
        <f t="shared" si="29"/>
        <v>0</v>
      </c>
      <c r="AZ6" s="177" t="str">
        <f>INDEX([14]Names!$O$1:$O$65602,MATCH(AZ$1,[14]Names!$F$1:$F$65602,0),1)</f>
        <v>kWh</v>
      </c>
      <c r="BA6" s="200">
        <f t="shared" si="30"/>
        <v>0</v>
      </c>
      <c r="BB6" s="200">
        <f t="shared" si="31"/>
        <v>0</v>
      </c>
      <c r="BC6" s="201">
        <f t="shared" si="32"/>
        <v>0</v>
      </c>
      <c r="BD6" s="177" t="str">
        <f>INDEX([14]Names!$O$1:$O$65602,MATCH(BD$1,[14]Names!$F$1:$F$65602,0),1)</f>
        <v>kWh</v>
      </c>
      <c r="BE6" s="200">
        <f t="shared" si="33"/>
        <v>0</v>
      </c>
      <c r="BF6" s="200">
        <f t="shared" si="34"/>
        <v>0</v>
      </c>
      <c r="BG6" s="201">
        <f t="shared" si="35"/>
        <v>0</v>
      </c>
      <c r="BH6" s="200">
        <f t="shared" si="36"/>
        <v>0</v>
      </c>
      <c r="BI6" s="200">
        <f t="shared" si="37"/>
        <v>0</v>
      </c>
      <c r="BJ6" s="201">
        <f t="shared" si="38"/>
        <v>0</v>
      </c>
      <c r="BK6" s="177" t="str">
        <f>INDEX([14]Names!$O$1:$O$65602,MATCH(BK$1,[14]Names!$F$1:$F$65602,0),1)</f>
        <v>kWh</v>
      </c>
      <c r="BL6" s="200">
        <f t="shared" si="39"/>
        <v>0</v>
      </c>
      <c r="BM6" s="200">
        <f t="shared" si="40"/>
        <v>0</v>
      </c>
      <c r="BN6" s="201">
        <f t="shared" si="41"/>
        <v>0</v>
      </c>
      <c r="BO6" s="177" t="str">
        <f>INDEX([14]Names!$O$1:$O$65602,MATCH(BO$1,[14]Names!$F$1:$F$65602,0),1)</f>
        <v>kWh</v>
      </c>
      <c r="BP6" s="200">
        <f t="shared" si="42"/>
        <v>0</v>
      </c>
      <c r="BQ6" s="200">
        <f t="shared" si="43"/>
        <v>0</v>
      </c>
      <c r="BR6" s="201">
        <f t="shared" si="44"/>
        <v>0</v>
      </c>
      <c r="BS6" s="177" t="str">
        <f>INDEX([14]Names!$O$1:$O$65602,MATCH(BS$1,[14]Names!$F$1:$F$65602,0),1)</f>
        <v>kWh</v>
      </c>
      <c r="BT6" s="200">
        <f t="shared" si="45"/>
        <v>0</v>
      </c>
      <c r="BU6" s="200">
        <f t="shared" si="46"/>
        <v>0</v>
      </c>
      <c r="BV6" s="201">
        <f t="shared" si="47"/>
        <v>0</v>
      </c>
      <c r="BW6" s="177" t="str">
        <f>INDEX([14]Names!$O$1:$O$65602,MATCH(BW$1,[14]Names!$F$1:$F$65602,0),1)</f>
        <v>kWh</v>
      </c>
      <c r="BX6" s="200">
        <f t="shared" si="48"/>
        <v>0</v>
      </c>
      <c r="BY6" s="200">
        <f t="shared" si="49"/>
        <v>0</v>
      </c>
      <c r="BZ6" s="28"/>
      <c r="CA6" s="177" t="str">
        <f>INDEX([14]Names!$O$1:$O$65602,MATCH(CA$1,[14]Names!$F$1:$F$65602,0),1)</f>
        <v>kWh</v>
      </c>
      <c r="CB6" s="200">
        <f t="shared" si="50"/>
        <v>0</v>
      </c>
      <c r="CC6" s="200">
        <f t="shared" si="51"/>
        <v>0</v>
      </c>
      <c r="CD6" s="28"/>
      <c r="CE6" s="177" t="str">
        <f>INDEX([14]Names!$O$1:$O$65602,MATCH(CE$1,[14]Names!$F$1:$F$65602,0),1)</f>
        <v>kWh</v>
      </c>
      <c r="CF6" s="200">
        <f t="shared" si="52"/>
        <v>0</v>
      </c>
      <c r="CG6" s="200">
        <f t="shared" si="53"/>
        <v>0</v>
      </c>
      <c r="CH6" s="28"/>
      <c r="CI6" s="177" t="str">
        <f>INDEX([14]Names!$O$1:$O$65602,MATCH(CI$1,[14]Names!$F$1:$F$65602,0),1)</f>
        <v>kWh</v>
      </c>
      <c r="CJ6" s="200">
        <f t="shared" si="54"/>
        <v>0</v>
      </c>
      <c r="CK6" s="200">
        <f t="shared" si="55"/>
        <v>0</v>
      </c>
      <c r="CL6" s="28"/>
      <c r="CM6" s="177" t="str">
        <f>INDEX([14]Names!$O$1:$O$65602,MATCH(CM$1,[14]Names!$F$1:$F$65602,0),1)</f>
        <v>kWh</v>
      </c>
      <c r="CN6" s="200">
        <f t="shared" si="56"/>
        <v>0</v>
      </c>
      <c r="CO6" s="200">
        <f t="shared" si="57"/>
        <v>0</v>
      </c>
      <c r="CP6" s="28"/>
      <c r="CQ6" s="177" t="str">
        <f>INDEX([14]Names!$O$1:$O$65602,MATCH(CQ$1,[14]Names!$F$1:$F$65602,0),1)</f>
        <v>kWh</v>
      </c>
      <c r="CR6" s="200">
        <f t="shared" si="58"/>
        <v>0</v>
      </c>
      <c r="CS6" s="200">
        <f t="shared" si="59"/>
        <v>0</v>
      </c>
      <c r="CT6" s="28"/>
      <c r="CU6" s="177" t="str">
        <f>INDEX([14]Names!$O$1:$O$65602,MATCH(CU$1,[14]Names!$F$1:$F$65602,0),1)</f>
        <v>kWh</v>
      </c>
      <c r="CV6" s="200">
        <f t="shared" si="60"/>
        <v>0</v>
      </c>
      <c r="CW6" s="200">
        <f t="shared" si="61"/>
        <v>0</v>
      </c>
      <c r="CX6" s="28"/>
      <c r="CY6" s="177" t="str">
        <f>INDEX([14]Names!$O$1:$O$65602,MATCH(CY$1,[14]Names!$F$1:$F$65602,0),1)</f>
        <v>kWh</v>
      </c>
      <c r="CZ6" s="27"/>
      <c r="DA6" s="27"/>
      <c r="DB6" s="28"/>
      <c r="DC6" s="196" t="s">
        <v>403</v>
      </c>
      <c r="DD6" s="196" t="s">
        <v>396</v>
      </c>
      <c r="DE6" s="196" t="s">
        <v>403</v>
      </c>
      <c r="DG6" s="48"/>
      <c r="DH6" s="48"/>
      <c r="DI6" s="48"/>
      <c r="DJ6" s="48"/>
      <c r="DK6" s="48"/>
      <c r="DL6" s="48"/>
      <c r="DO6" s="49"/>
      <c r="DP6" s="49"/>
      <c r="DQ6" s="85"/>
    </row>
    <row r="7" spans="1:128" ht="24">
      <c r="A7" s="156">
        <v>1289</v>
      </c>
      <c r="B7" s="168" t="s">
        <v>406</v>
      </c>
      <c r="C7" s="151" t="s">
        <v>525</v>
      </c>
      <c r="D7" s="152" t="s">
        <v>527</v>
      </c>
      <c r="E7" s="153" t="s">
        <v>402</v>
      </c>
      <c r="F7" s="144" t="str">
        <f>IF(OR(D7="4",E7="4"),INDEX([14]NamesElementary!$B$1:$B$65536,MATCH(A7,[14]NamesElementary!$A$1:$A$65536,0),1),INDEX([14]Names!$J$1:$J$65602,MATCH(A7,[14]Names!$F$1:$F$65602,0),1))</f>
        <v>Energy, solar, converted</v>
      </c>
      <c r="G7" s="125" t="str">
        <f>IF(OR(D7="4",E7="4"),"-",INDEX([14]Names!$K$1:$K$65602,MATCH(A7,[14]Names!$F$1:$F$65602,0),1))</f>
        <v>-</v>
      </c>
      <c r="H7" s="154" t="str">
        <f>IF(OR(D7="4",E7="4"),INDEX([14]NamesElementary!$D$1:$D$65536,MATCH($A7,[14]NamesElementary!$A$1:$A$65536,0),1),"-")</f>
        <v>resource</v>
      </c>
      <c r="I7" s="123" t="str">
        <f>IF(OR(D7="4",E7="4"),INDEX([14]NamesElementary!$E$1:$E$65536,MATCH($A7,[14]NamesElementary!$A$1:$A$65536,0),1),"-")</f>
        <v>in air</v>
      </c>
      <c r="J7" s="124" t="str">
        <f>IF(OR(D7="4",E7="4"),"-",INDEX([14]Names!$N$1:$N$65602,MATCH(A7,[14]Names!$F$1:$F$65602,0),1))</f>
        <v>-</v>
      </c>
      <c r="K7" s="125" t="str">
        <f>IF(OR(D7="4",E7="4"),INDEX([14]NamesElementary!$G$1:$G$65536,MATCH(A7,[14]NamesElementary!$A$1:$A$65536,0),1),INDEX([14]Names!$O$1:$O$65602,MATCH(A7,[14]Names!$F$1:$F$65602,0),1))</f>
        <v>MJ</v>
      </c>
      <c r="L7" s="155" t="e">
        <f>3.6/stromverlust</f>
        <v>#REF!</v>
      </c>
      <c r="M7" s="29">
        <f t="shared" si="0"/>
        <v>1</v>
      </c>
      <c r="N7" s="1">
        <f t="shared" si="1"/>
        <v>1.0906744032152329</v>
      </c>
      <c r="O7" s="139" t="str">
        <f t="shared" si="2"/>
        <v>(2,2,1,1,1,3); Energy loss in the system is included</v>
      </c>
      <c r="P7" s="155" t="e">
        <f>3.6/stromverlust</f>
        <v>#REF!</v>
      </c>
      <c r="Q7" s="29">
        <f t="shared" si="3"/>
        <v>1</v>
      </c>
      <c r="R7" s="1">
        <f t="shared" si="4"/>
        <v>1.0906744032152329</v>
      </c>
      <c r="S7" s="139" t="str">
        <f t="shared" si="5"/>
        <v>(2,2,1,1,1,3); Energy loss in the system is included</v>
      </c>
      <c r="T7" s="155" t="e">
        <f>3.6/stromverlust</f>
        <v>#REF!</v>
      </c>
      <c r="U7" s="29">
        <f t="shared" si="6"/>
        <v>1</v>
      </c>
      <c r="V7" s="1">
        <f t="shared" si="7"/>
        <v>1.0906744032152329</v>
      </c>
      <c r="W7" s="139" t="str">
        <f t="shared" si="8"/>
        <v>(2,2,1,1,1,3); Energy loss in the system is included</v>
      </c>
      <c r="X7" s="155" t="e">
        <f>3.6/stromverlust</f>
        <v>#REF!</v>
      </c>
      <c r="Y7" s="29">
        <f t="shared" si="9"/>
        <v>1</v>
      </c>
      <c r="Z7" s="1">
        <f t="shared" si="10"/>
        <v>1.0906744032152329</v>
      </c>
      <c r="AA7" s="139" t="str">
        <f t="shared" si="11"/>
        <v>(2,2,1,1,1,3); Energy loss in the system is included</v>
      </c>
      <c r="AB7" s="155" t="e">
        <f>3.6/stromverlust</f>
        <v>#REF!</v>
      </c>
      <c r="AC7" s="29">
        <f t="shared" si="12"/>
        <v>1</v>
      </c>
      <c r="AD7" s="1">
        <f t="shared" si="13"/>
        <v>1.0906744032152329</v>
      </c>
      <c r="AE7" s="139" t="str">
        <f t="shared" si="14"/>
        <v>(2,2,1,1,1,3); Energy loss in the system is included</v>
      </c>
      <c r="AF7" s="155" t="e">
        <f>3.6/stromverlust</f>
        <v>#REF!</v>
      </c>
      <c r="AG7" s="29">
        <f t="shared" si="15"/>
        <v>1</v>
      </c>
      <c r="AH7" s="1">
        <f t="shared" si="16"/>
        <v>1.0906744032152329</v>
      </c>
      <c r="AI7" s="139" t="str">
        <f t="shared" si="17"/>
        <v>(2,2,1,1,1,3); Energy loss in the system is included</v>
      </c>
      <c r="AJ7" s="155" t="e">
        <f>3.6/stromverlust</f>
        <v>#REF!</v>
      </c>
      <c r="AK7" s="29">
        <f t="shared" si="18"/>
        <v>1</v>
      </c>
      <c r="AL7" s="1">
        <f t="shared" si="19"/>
        <v>1.0906744032152329</v>
      </c>
      <c r="AM7" s="31" t="str">
        <f t="shared" si="20"/>
        <v>(2,2,1,1,1,3); Energy loss in the system is included</v>
      </c>
      <c r="AN7" s="155" t="e">
        <f>3.6/stromverlust</f>
        <v>#REF!</v>
      </c>
      <c r="AO7" s="29">
        <f t="shared" si="21"/>
        <v>1</v>
      </c>
      <c r="AP7" s="1">
        <f t="shared" si="22"/>
        <v>1.0906744032152329</v>
      </c>
      <c r="AQ7" s="139" t="str">
        <f t="shared" si="23"/>
        <v>(2,2,1,1,1,3); Energy loss in the system is included</v>
      </c>
      <c r="AR7" s="155" t="e">
        <f>3.6/stromverlust</f>
        <v>#REF!</v>
      </c>
      <c r="AS7" s="29">
        <f t="shared" si="24"/>
        <v>1</v>
      </c>
      <c r="AT7" s="1">
        <f t="shared" si="25"/>
        <v>1.0906744032152329</v>
      </c>
      <c r="AU7" s="31" t="str">
        <f t="shared" si="26"/>
        <v>(2,2,1,1,1,3); Energy loss in the system is included</v>
      </c>
      <c r="AV7" s="155" t="e">
        <f>3.6/stromverlust</f>
        <v>#REF!</v>
      </c>
      <c r="AW7" s="29">
        <f t="shared" si="27"/>
        <v>1</v>
      </c>
      <c r="AX7" s="1">
        <f t="shared" si="28"/>
        <v>1.0906744032152329</v>
      </c>
      <c r="AY7" s="139" t="str">
        <f t="shared" si="29"/>
        <v>(2,2,1,1,1,3); Energy loss in the system is included</v>
      </c>
      <c r="AZ7" s="155" t="e">
        <f>3.6/stromverlust</f>
        <v>#REF!</v>
      </c>
      <c r="BA7" s="29">
        <f t="shared" si="30"/>
        <v>1</v>
      </c>
      <c r="BB7" s="1">
        <f t="shared" si="31"/>
        <v>1.0906744032152329</v>
      </c>
      <c r="BC7" s="139" t="str">
        <f t="shared" si="32"/>
        <v>(2,2,1,1,1,3); Energy loss in the system is included</v>
      </c>
      <c r="BD7" s="155" t="e">
        <f>3.6/stromverlust</f>
        <v>#REF!</v>
      </c>
      <c r="BE7" s="29">
        <f t="shared" si="33"/>
        <v>1</v>
      </c>
      <c r="BF7" s="1">
        <f t="shared" si="34"/>
        <v>1.0906744032152329</v>
      </c>
      <c r="BG7" s="139" t="str">
        <f t="shared" si="35"/>
        <v>(2,2,1,1,1,3); Energy loss in the system is included</v>
      </c>
      <c r="BH7" s="29">
        <f t="shared" si="36"/>
        <v>1</v>
      </c>
      <c r="BI7" s="1">
        <f t="shared" si="37"/>
        <v>1.0906744032152329</v>
      </c>
      <c r="BJ7" s="139" t="str">
        <f t="shared" si="38"/>
        <v>(2,2,1,1,1,3); Energy loss in the system is included</v>
      </c>
      <c r="BK7" s="155" t="e">
        <f>3.6/stromverlust</f>
        <v>#REF!</v>
      </c>
      <c r="BL7" s="29">
        <f t="shared" si="39"/>
        <v>1</v>
      </c>
      <c r="BM7" s="1">
        <f t="shared" si="40"/>
        <v>1.0906744032152329</v>
      </c>
      <c r="BN7" s="139" t="str">
        <f t="shared" si="41"/>
        <v>(2,2,1,1,1,3); Energy loss in the system is included</v>
      </c>
      <c r="BO7" s="155" t="e">
        <f>3.6/stromverlust</f>
        <v>#REF!</v>
      </c>
      <c r="BP7" s="29">
        <f t="shared" si="42"/>
        <v>1</v>
      </c>
      <c r="BQ7" s="1">
        <f t="shared" si="43"/>
        <v>1.0906744032152329</v>
      </c>
      <c r="BR7" s="139" t="str">
        <f t="shared" si="44"/>
        <v>(2,2,1,1,1,3); Energy loss in the system is included</v>
      </c>
      <c r="BS7" s="155" t="e">
        <f>3.6/stromverlust</f>
        <v>#REF!</v>
      </c>
      <c r="BT7" s="29">
        <f t="shared" si="45"/>
        <v>1</v>
      </c>
      <c r="BU7" s="1">
        <f t="shared" si="46"/>
        <v>1.0906744032152329</v>
      </c>
      <c r="BV7" s="139" t="str">
        <f t="shared" si="47"/>
        <v>(2,2,1,1,1,3); Energy loss in the system is included</v>
      </c>
      <c r="BW7" s="155" t="e">
        <f>3.6/stromverlust</f>
        <v>#REF!</v>
      </c>
      <c r="BX7" s="29">
        <f t="shared" si="48"/>
        <v>1</v>
      </c>
      <c r="BY7" s="1">
        <f t="shared" si="49"/>
        <v>1.0906744032152329</v>
      </c>
      <c r="BZ7" s="31" t="str">
        <f t="shared" ref="BZ7:BZ37" si="62">DQ7&amp;"; "&amp;DF7</f>
        <v>(2,2,1,1,1,3); Energy loss in the system is included</v>
      </c>
      <c r="CA7" s="155" t="e">
        <f>AR7</f>
        <v>#REF!</v>
      </c>
      <c r="CB7" s="29">
        <f t="shared" si="50"/>
        <v>1</v>
      </c>
      <c r="CC7" s="1">
        <f t="shared" si="51"/>
        <v>1.0906744032152329</v>
      </c>
      <c r="CD7" s="139" t="str">
        <f t="shared" ref="CD7:CD37" si="63">$BZ7</f>
        <v>(2,2,1,1,1,3); Energy loss in the system is included</v>
      </c>
      <c r="CE7" s="155" t="e">
        <f>AV7</f>
        <v>#REF!</v>
      </c>
      <c r="CF7" s="29">
        <f t="shared" si="52"/>
        <v>1</v>
      </c>
      <c r="CG7" s="1">
        <f t="shared" si="53"/>
        <v>1.0906744032152329</v>
      </c>
      <c r="CH7" s="139" t="str">
        <f t="shared" ref="CH7:CH37" si="64">$BZ7</f>
        <v>(2,2,1,1,1,3); Energy loss in the system is included</v>
      </c>
      <c r="CI7" s="155" t="e">
        <f>AJ7</f>
        <v>#REF!</v>
      </c>
      <c r="CJ7" s="29">
        <f t="shared" si="54"/>
        <v>1</v>
      </c>
      <c r="CK7" s="1">
        <f t="shared" si="55"/>
        <v>1.0906744032152329</v>
      </c>
      <c r="CL7" s="139" t="str">
        <f t="shared" ref="CL7:CL37" si="65">$BZ7</f>
        <v>(2,2,1,1,1,3); Energy loss in the system is included</v>
      </c>
      <c r="CM7" s="155" t="e">
        <f>AN7</f>
        <v>#REF!</v>
      </c>
      <c r="CN7" s="29">
        <f t="shared" si="56"/>
        <v>1</v>
      </c>
      <c r="CO7" s="1">
        <f t="shared" si="57"/>
        <v>1.0906744032152329</v>
      </c>
      <c r="CP7" s="139" t="str">
        <f t="shared" ref="CP7:CP37" si="66">$BZ7</f>
        <v>(2,2,1,1,1,3); Energy loss in the system is included</v>
      </c>
      <c r="CQ7" s="155" t="e">
        <f>BK7</f>
        <v>#REF!</v>
      </c>
      <c r="CR7" s="29">
        <f t="shared" si="58"/>
        <v>1</v>
      </c>
      <c r="CS7" s="1">
        <f t="shared" si="59"/>
        <v>1.0906744032152329</v>
      </c>
      <c r="CT7" s="139" t="str">
        <f t="shared" ref="CT7:CT37" si="67">$BZ7</f>
        <v>(2,2,1,1,1,3); Energy loss in the system is included</v>
      </c>
      <c r="CU7" s="155" t="e">
        <f>CE7</f>
        <v>#REF!</v>
      </c>
      <c r="CV7" s="29">
        <f t="shared" si="60"/>
        <v>1</v>
      </c>
      <c r="CW7" s="1">
        <f t="shared" si="61"/>
        <v>1.0906744032152329</v>
      </c>
      <c r="CX7" s="139" t="str">
        <f t="shared" ref="CX7:CX37" si="68">$BZ7</f>
        <v>(2,2,1,1,1,3); Energy loss in the system is included</v>
      </c>
      <c r="CY7" s="155" t="e">
        <f>3.6/stromverlust</f>
        <v>#REF!</v>
      </c>
      <c r="CZ7" s="29">
        <v>1</v>
      </c>
      <c r="DA7" s="1">
        <f t="shared" ref="DA7:DA37" si="69">EXP(SQRT((LN(DP7)^2)+(LN(DP$38)^2)))</f>
        <v>1.0906744032152329</v>
      </c>
      <c r="DB7" s="31" t="str">
        <f>DQ7&amp;"; "&amp;DF7</f>
        <v>(2,2,1,1,1,3); Energy loss in the system is included</v>
      </c>
      <c r="DC7" s="197"/>
      <c r="DD7" s="197"/>
      <c r="DE7" s="197"/>
      <c r="DF7" s="115" t="s">
        <v>716</v>
      </c>
      <c r="DG7" s="10">
        <v>2</v>
      </c>
      <c r="DH7" s="50">
        <v>2</v>
      </c>
      <c r="DI7" s="50">
        <v>1</v>
      </c>
      <c r="DJ7" s="50">
        <v>1</v>
      </c>
      <c r="DK7" s="50">
        <v>1</v>
      </c>
      <c r="DL7" s="50">
        <v>3</v>
      </c>
      <c r="DM7" s="50">
        <f>IF(OR($D7="4",$E7="4"),INDEX([14]NamesElementary!$J$1:$J$65536,MATCH($A7,[14]NamesElementary!$A$1:$A$65536,0),1),INDEX([14]Names!$W$1:$W$65602,MATCH($A7,[14]Names!$F$1:$F$65602,0),1))</f>
        <v>11</v>
      </c>
      <c r="DN7" s="51">
        <f>INDEX([14]BasicUncertainty!$H$1:$H$65536,MATCH(DM7,[14]BasicUncertainty!$B$1:$B$65536,0),1)</f>
        <v>1.05</v>
      </c>
      <c r="DO7" s="87">
        <f t="shared" ref="DO7:DO38" si="70">EXP(SQRT((LN(DS7)^2)+(LN(DT7)^2)+(LN(DU7)^2)+(LN(DV7)^2)+(LN(DW7)^2)+(LN(DX7)^2)))</f>
        <v>1.0744244531716256</v>
      </c>
      <c r="DP7" s="88">
        <f t="shared" ref="DP7:DP38" si="71">EXP(SQRT((LN(DS7)^2)+(LN(DT7)^2)+(LN(DU7)^2)+(LN(DV7)^2)+(LN(DW7)^2)+(LN(DX7)^2)+LN(DN7)^2))</f>
        <v>1.0906744032152329</v>
      </c>
      <c r="DQ7" s="89" t="str">
        <f t="shared" ref="DQ7:DQ38" si="72">CONCATENATE("(",DG7,",",DH7,",",DI7,",",DJ7,",",DK7,",",DL7,")")</f>
        <v>(2,2,1,1,1,3)</v>
      </c>
      <c r="DS7" s="52">
        <f>IF(DG7=1,'[14]SDG^2 values'!$B$4,IF(DG7=2,'[14]SDG^2 values'!$C$4,IF(DG7=3,'[14]SDG^2 values'!$D$4,IF(DG7=4,'[14]SDG^2 values'!$E$4,IF(DG7=5,'[14]SDG^2 values'!$F$4,1)))))</f>
        <v>1.05</v>
      </c>
      <c r="DT7" s="52">
        <f>IF(DH7=1,'[14]SDG^2 values'!$B$5,IF(DH7=2,'[14]SDG^2 values'!$C$5,IF(DH7=3,'[14]SDG^2 values'!$D$5,IF(DH7=4,'[14]SDG^2 values'!$E$5,IF(DH7=5,'[14]SDG^2 values'!$F$5,1)))))</f>
        <v>1.02</v>
      </c>
      <c r="DU7" s="52">
        <f>IF(DI7=1,'[14]SDG^2 values'!$B$6,IF(DI7=2,'[14]SDG^2 values'!$C$6,IF(DI7=3,'[14]SDG^2 values'!$D$6,IF(DI7=4,'[14]SDG^2 values'!$E$6,IF(DI7=5,'[14]SDG^2 values'!$F$6,1)))))</f>
        <v>1</v>
      </c>
      <c r="DV7" s="52">
        <f>IF(DJ7=1,'[14]SDG^2 values'!$B$7,IF(DJ7=2,'[14]SDG^2 values'!$C$7,IF(DJ7=3,'[14]SDG^2 values'!$D$7,IF(DJ7=4,'[14]SDG^2 values'!$E$7,IF(DJ7=5,'[14]SDG^2 values'!$F$7,1)))))</f>
        <v>1</v>
      </c>
      <c r="DW7" s="52">
        <f>IF(DK7=1,'[14]SDG^2 values'!$B$8,IF(DK7=2,'[14]SDG^2 values'!$C$8,IF(DK7=3,'[14]SDG^2 values'!$D$8,IF(DK7=4,'[14]SDG^2 values'!$E$8,IF(DK7=5,'[14]SDG^2 values'!$F$8,1)))))</f>
        <v>1</v>
      </c>
      <c r="DX7" s="52">
        <f>IF(DL7=1,'[14]SDG^2 values'!$B$9,IF(DL7=2,'[14]SDG^2 values'!$C$9,IF(DL7=3,'[14]SDG^2 values'!$D$9,IF(DL7=4,'[14]SDG^2 values'!$E$9,IF(DL7=5,'[14]SDG^2 values'!$F$9,1)))))</f>
        <v>1.05</v>
      </c>
    </row>
    <row r="8" spans="1:128" ht="25.5" customHeight="1">
      <c r="A8" s="226">
        <v>678</v>
      </c>
      <c r="B8" s="168" t="s">
        <v>524</v>
      </c>
      <c r="C8" s="151"/>
      <c r="D8" s="152" t="s">
        <v>526</v>
      </c>
      <c r="E8" s="153" t="s">
        <v>402</v>
      </c>
      <c r="F8" s="144" t="str">
        <f>IF(OR(D8="4",E8="4"),INDEX([14]NamesElementary!$B$1:$B$65536,MATCH(A8,[14]NamesElementary!$A$1:$A$65536,0),1),INDEX([14]Names!$J$1:$J$65602,MATCH(A8,[14]Names!$F$1:$F$65602,0),1))</f>
        <v>tap water, at user</v>
      </c>
      <c r="G8" s="125" t="str">
        <f>IF(OR(D8="4",E8="4"),"-",INDEX([14]Names!$K$1:$K$65602,MATCH(A8,[14]Names!$F$1:$F$65602,0),1))</f>
        <v>CH</v>
      </c>
      <c r="H8" s="154" t="str">
        <f>IF(OR(D8="4",E8="4"),INDEX([14]NamesElementary!$D$1:$D$65536,MATCH($A8,[14]NamesElementary!$A$1:$A$65536,0),1),"-")</f>
        <v>-</v>
      </c>
      <c r="I8" s="123" t="str">
        <f>IF(OR(D8="4",E8="4"),INDEX([14]NamesElementary!$E$1:$E$65536,MATCH($A8,[14]NamesElementary!$A$1:$A$65536,0),1),"-")</f>
        <v>-</v>
      </c>
      <c r="J8" s="124">
        <f>IF(OR(D8="4",E8="4"),"-",INDEX([14]Names!$N$1:$N$65602,MATCH(A8,[14]Names!$F$1:$F$65602,0),1))</f>
        <v>0</v>
      </c>
      <c r="K8" s="125" t="str">
        <f>IF(OR(D8="4",E8="4"),INDEX([14]NamesElementary!$G$1:$G$65536,MATCH(A8,[14]NamesElementary!$A$1:$A$65536,0),1),INDEX([14]Names!$O$1:$O$65602,MATCH(A8,[14]Names!$F$1:$F$65602,0),1))</f>
        <v>kg</v>
      </c>
      <c r="L8" s="155" t="e">
        <f>20*SUMPRODUCT(L15:L28,$DD15:$DD28)</f>
        <v>#REF!</v>
      </c>
      <c r="M8" s="29">
        <f t="shared" si="0"/>
        <v>1</v>
      </c>
      <c r="N8" s="1">
        <f t="shared" si="1"/>
        <v>1.0906744032152329</v>
      </c>
      <c r="O8" s="139" t="str">
        <f t="shared" si="2"/>
        <v>(2,2,1,1,1,3); Estimation 20l/m2 panel</v>
      </c>
      <c r="P8" s="155" t="e">
        <f>20*SUMPRODUCT(P15:P28,$DD15:$DD28)</f>
        <v>#REF!</v>
      </c>
      <c r="Q8" s="29">
        <f t="shared" si="3"/>
        <v>1</v>
      </c>
      <c r="R8" s="1">
        <f t="shared" si="4"/>
        <v>1.0906744032152329</v>
      </c>
      <c r="S8" s="139" t="str">
        <f t="shared" si="5"/>
        <v>(2,2,1,1,1,3); Estimation 20l/m2 panel</v>
      </c>
      <c r="T8" s="155" t="e">
        <f>20*SUMPRODUCT(T15:T28,$DD15:$DD28)</f>
        <v>#REF!</v>
      </c>
      <c r="U8" s="29">
        <f t="shared" si="6"/>
        <v>1</v>
      </c>
      <c r="V8" s="1">
        <f t="shared" si="7"/>
        <v>1.0906744032152329</v>
      </c>
      <c r="W8" s="139" t="str">
        <f t="shared" si="8"/>
        <v>(2,2,1,1,1,3); Estimation 20l/m2 panel</v>
      </c>
      <c r="X8" s="155" t="e">
        <f>20*SUMPRODUCT(X15:X28,$DD15:$DD28)</f>
        <v>#REF!</v>
      </c>
      <c r="Y8" s="29">
        <f t="shared" si="9"/>
        <v>1</v>
      </c>
      <c r="Z8" s="1">
        <f t="shared" si="10"/>
        <v>1.0906744032152329</v>
      </c>
      <c r="AA8" s="139" t="str">
        <f t="shared" si="11"/>
        <v>(2,2,1,1,1,3); Estimation 20l/m2 panel</v>
      </c>
      <c r="AB8" s="155" t="e">
        <f>20*SUMPRODUCT(AB15:AB28,$DD15:$DD28)</f>
        <v>#REF!</v>
      </c>
      <c r="AC8" s="29">
        <f t="shared" si="12"/>
        <v>1</v>
      </c>
      <c r="AD8" s="1">
        <f t="shared" si="13"/>
        <v>1.0906744032152329</v>
      </c>
      <c r="AE8" s="139" t="str">
        <f t="shared" si="14"/>
        <v>(2,2,1,1,1,3); Estimation 20l/m2 panel</v>
      </c>
      <c r="AF8" s="155" t="e">
        <f>20*SUMPRODUCT(AF15:AF28,$DD15:$DD28)</f>
        <v>#REF!</v>
      </c>
      <c r="AG8" s="29">
        <f t="shared" si="15"/>
        <v>1</v>
      </c>
      <c r="AH8" s="1">
        <f t="shared" si="16"/>
        <v>1.0906744032152329</v>
      </c>
      <c r="AI8" s="139" t="str">
        <f t="shared" si="17"/>
        <v>(2,2,1,1,1,3); Estimation 20l/m2 panel</v>
      </c>
      <c r="AJ8" s="155" t="e">
        <f>20*SUMPRODUCT(AJ15:AJ28,$DD15:$DD28)</f>
        <v>#REF!</v>
      </c>
      <c r="AK8" s="29">
        <f t="shared" si="18"/>
        <v>1</v>
      </c>
      <c r="AL8" s="1">
        <f t="shared" si="19"/>
        <v>1.0906744032152329</v>
      </c>
      <c r="AM8" s="31" t="str">
        <f t="shared" si="20"/>
        <v>(2,2,1,1,1,3); Estimation 20l/m2 panel</v>
      </c>
      <c r="AN8" s="155" t="e">
        <f>20*SUMPRODUCT(AN15:AN28,$DD15:$DD28)</f>
        <v>#REF!</v>
      </c>
      <c r="AO8" s="29">
        <f t="shared" si="21"/>
        <v>1</v>
      </c>
      <c r="AP8" s="1">
        <f t="shared" si="22"/>
        <v>1.0906744032152329</v>
      </c>
      <c r="AQ8" s="139" t="str">
        <f t="shared" si="23"/>
        <v>(2,2,1,1,1,3); Estimation 20l/m2 panel</v>
      </c>
      <c r="AR8" s="155" t="e">
        <f>20*SUMPRODUCT(AR15:AR28,$DD15:$DD28)</f>
        <v>#REF!</v>
      </c>
      <c r="AS8" s="29">
        <f t="shared" si="24"/>
        <v>1</v>
      </c>
      <c r="AT8" s="1">
        <f t="shared" si="25"/>
        <v>1.0906744032152329</v>
      </c>
      <c r="AU8" s="31" t="str">
        <f t="shared" si="26"/>
        <v>(2,2,1,1,1,3); Estimation 20l/m2 panel</v>
      </c>
      <c r="AV8" s="155" t="e">
        <f>20*SUMPRODUCT(AV15:AV28,$DD15:$DD28)</f>
        <v>#REF!</v>
      </c>
      <c r="AW8" s="29">
        <f t="shared" si="27"/>
        <v>1</v>
      </c>
      <c r="AX8" s="1">
        <f t="shared" si="28"/>
        <v>1.0906744032152329</v>
      </c>
      <c r="AY8" s="139" t="str">
        <f t="shared" si="29"/>
        <v>(2,2,1,1,1,3); Estimation 20l/m2 panel</v>
      </c>
      <c r="AZ8" s="155" t="e">
        <f>20*SUMPRODUCT(AZ15:AZ28,$DD15:$DD28)</f>
        <v>#REF!</v>
      </c>
      <c r="BA8" s="29">
        <f t="shared" si="30"/>
        <v>1</v>
      </c>
      <c r="BB8" s="1">
        <f t="shared" si="31"/>
        <v>1.0906744032152329</v>
      </c>
      <c r="BC8" s="139" t="str">
        <f t="shared" si="32"/>
        <v>(2,2,1,1,1,3); Estimation 20l/m2 panel</v>
      </c>
      <c r="BD8" s="155" t="e">
        <f>20*SUMPRODUCT(BD15:BD28,$DD15:$DD28)</f>
        <v>#REF!</v>
      </c>
      <c r="BE8" s="29">
        <f t="shared" si="33"/>
        <v>1</v>
      </c>
      <c r="BF8" s="1">
        <f t="shared" si="34"/>
        <v>1.0906744032152329</v>
      </c>
      <c r="BG8" s="139" t="str">
        <f t="shared" si="35"/>
        <v>(2,2,1,1,1,3); Estimation 20l/m2 panel</v>
      </c>
      <c r="BH8" s="29">
        <f t="shared" si="36"/>
        <v>1</v>
      </c>
      <c r="BI8" s="1">
        <f t="shared" si="37"/>
        <v>1.0906744032152329</v>
      </c>
      <c r="BJ8" s="139" t="str">
        <f t="shared" si="38"/>
        <v>(2,2,1,1,1,3); Estimation 20l/m2 panel</v>
      </c>
      <c r="BK8" s="155" t="e">
        <f>20*SUMPRODUCT(BK15:BK28,$DD15:$DD28)</f>
        <v>#REF!</v>
      </c>
      <c r="BL8" s="29">
        <f t="shared" si="39"/>
        <v>1</v>
      </c>
      <c r="BM8" s="1">
        <f t="shared" si="40"/>
        <v>1.0906744032152329</v>
      </c>
      <c r="BN8" s="139" t="str">
        <f t="shared" si="41"/>
        <v>(2,2,1,1,1,3); Estimation 20l/m2 panel</v>
      </c>
      <c r="BO8" s="155" t="e">
        <f>20*SUMPRODUCT(BO15:BO28,$DD15:$DD28)</f>
        <v>#REF!</v>
      </c>
      <c r="BP8" s="29">
        <f t="shared" si="42"/>
        <v>1</v>
      </c>
      <c r="BQ8" s="1">
        <f t="shared" si="43"/>
        <v>1.0906744032152329</v>
      </c>
      <c r="BR8" s="139" t="str">
        <f t="shared" si="44"/>
        <v>(2,2,1,1,1,3); Estimation 20l/m2 panel</v>
      </c>
      <c r="BS8" s="155" t="e">
        <f>20*SUMPRODUCT(BS15:BS30,$DD15:$DD30)</f>
        <v>#REF!</v>
      </c>
      <c r="BT8" s="29">
        <f t="shared" si="45"/>
        <v>1</v>
      </c>
      <c r="BU8" s="1">
        <f t="shared" si="46"/>
        <v>1.0906744032152329</v>
      </c>
      <c r="BV8" s="139" t="str">
        <f t="shared" si="47"/>
        <v>(2,2,1,1,1,3); Estimation 20l/m2 panel</v>
      </c>
      <c r="BW8" s="155" t="e">
        <f>20*SUMPRODUCT(BW15:BW30,$DD15:$DD30)</f>
        <v>#REF!</v>
      </c>
      <c r="BX8" s="29">
        <f t="shared" si="48"/>
        <v>1</v>
      </c>
      <c r="BY8" s="1">
        <f t="shared" si="49"/>
        <v>1.0906744032152329</v>
      </c>
      <c r="BZ8" s="31" t="str">
        <f t="shared" si="62"/>
        <v>(2,2,1,1,1,3); Estimation 20l/m2 panel</v>
      </c>
      <c r="CA8" s="155" t="e">
        <f t="shared" ref="CA8:CA37" si="73">AR8</f>
        <v>#REF!</v>
      </c>
      <c r="CB8" s="29">
        <f t="shared" si="50"/>
        <v>1</v>
      </c>
      <c r="CC8" s="1">
        <f t="shared" si="51"/>
        <v>1.0906744032152329</v>
      </c>
      <c r="CD8" s="139" t="str">
        <f t="shared" si="63"/>
        <v>(2,2,1,1,1,3); Estimation 20l/m2 panel</v>
      </c>
      <c r="CE8" s="155" t="e">
        <f t="shared" ref="CE8:CE37" si="74">AV8</f>
        <v>#REF!</v>
      </c>
      <c r="CF8" s="29">
        <f t="shared" si="52"/>
        <v>1</v>
      </c>
      <c r="CG8" s="1">
        <f t="shared" si="53"/>
        <v>1.0906744032152329</v>
      </c>
      <c r="CH8" s="139" t="str">
        <f t="shared" si="64"/>
        <v>(2,2,1,1,1,3); Estimation 20l/m2 panel</v>
      </c>
      <c r="CI8" s="155" t="e">
        <f t="shared" ref="CI8:CI37" si="75">AJ8</f>
        <v>#REF!</v>
      </c>
      <c r="CJ8" s="29">
        <f t="shared" si="54"/>
        <v>1</v>
      </c>
      <c r="CK8" s="1">
        <f t="shared" si="55"/>
        <v>1.0906744032152329</v>
      </c>
      <c r="CL8" s="139" t="str">
        <f t="shared" si="65"/>
        <v>(2,2,1,1,1,3); Estimation 20l/m2 panel</v>
      </c>
      <c r="CM8" s="155" t="e">
        <f t="shared" ref="CM8:CM37" si="76">AN8</f>
        <v>#REF!</v>
      </c>
      <c r="CN8" s="29">
        <f t="shared" si="56"/>
        <v>1</v>
      </c>
      <c r="CO8" s="1">
        <f t="shared" si="57"/>
        <v>1.0906744032152329</v>
      </c>
      <c r="CP8" s="139" t="str">
        <f t="shared" si="66"/>
        <v>(2,2,1,1,1,3); Estimation 20l/m2 panel</v>
      </c>
      <c r="CQ8" s="155" t="e">
        <f t="shared" ref="CQ8:CQ37" si="77">BK8</f>
        <v>#REF!</v>
      </c>
      <c r="CR8" s="29">
        <f t="shared" si="58"/>
        <v>1</v>
      </c>
      <c r="CS8" s="1">
        <f t="shared" si="59"/>
        <v>1.0906744032152329</v>
      </c>
      <c r="CT8" s="139" t="str">
        <f t="shared" si="67"/>
        <v>(2,2,1,1,1,3); Estimation 20l/m2 panel</v>
      </c>
      <c r="CU8" s="155" t="e">
        <f>CE8</f>
        <v>#REF!</v>
      </c>
      <c r="CV8" s="29">
        <f t="shared" si="60"/>
        <v>1</v>
      </c>
      <c r="CW8" s="1">
        <f t="shared" si="61"/>
        <v>1.0906744032152329</v>
      </c>
      <c r="CX8" s="139" t="str">
        <f t="shared" si="68"/>
        <v>(2,2,1,1,1,3); Estimation 20l/m2 panel</v>
      </c>
      <c r="CY8" s="155" t="e">
        <f>20*SUMPRODUCT(CY10:CY28,$DD10:$DD28)</f>
        <v>#REF!</v>
      </c>
      <c r="CZ8" s="29">
        <v>1</v>
      </c>
      <c r="DA8" s="1">
        <f t="shared" si="69"/>
        <v>1.0906744032152329</v>
      </c>
      <c r="DB8" s="31" t="str">
        <f>DQ8&amp;"; "&amp;DF8</f>
        <v>(2,2,1,1,1,3); Estimation 20l/m2 panel</v>
      </c>
      <c r="DC8" s="199"/>
      <c r="DD8" s="199"/>
      <c r="DE8" s="199"/>
      <c r="DF8" s="115" t="s">
        <v>23</v>
      </c>
      <c r="DG8" s="10">
        <v>2</v>
      </c>
      <c r="DH8" s="50">
        <v>2</v>
      </c>
      <c r="DI8" s="50">
        <v>1</v>
      </c>
      <c r="DJ8" s="50">
        <v>1</v>
      </c>
      <c r="DK8" s="50">
        <v>1</v>
      </c>
      <c r="DL8" s="50">
        <v>3</v>
      </c>
      <c r="DM8" s="50">
        <f>IF(OR($D8="4",$E8="4"),INDEX([14]NamesElementary!$J$1:$J$65536,MATCH($A8,[14]NamesElementary!$A$1:$A$65536,0),1),INDEX([14]Names!$W$1:$W$65602,MATCH($A8,[14]Names!$F$1:$F$65602,0),1))</f>
        <v>3</v>
      </c>
      <c r="DN8" s="51">
        <f>INDEX([14]BasicUncertainty!$H$1:$H$65536,MATCH(DM8,[14]BasicUncertainty!$B$1:$B$65536,0),1)</f>
        <v>1.05</v>
      </c>
      <c r="DO8" s="87">
        <f t="shared" si="70"/>
        <v>1.0744244531716256</v>
      </c>
      <c r="DP8" s="88">
        <f t="shared" si="71"/>
        <v>1.0906744032152329</v>
      </c>
      <c r="DQ8" s="89" t="str">
        <f t="shared" si="72"/>
        <v>(2,2,1,1,1,3)</v>
      </c>
      <c r="DS8" s="52">
        <f>IF(DG8=1,'[14]SDG^2 values'!$B$4,IF(DG8=2,'[14]SDG^2 values'!$C$4,IF(DG8=3,'[14]SDG^2 values'!$D$4,IF(DG8=4,'[14]SDG^2 values'!$E$4,IF(DG8=5,'[14]SDG^2 values'!$F$4,1)))))</f>
        <v>1.05</v>
      </c>
      <c r="DT8" s="52">
        <f>IF(DH8=1,'[14]SDG^2 values'!$B$5,IF(DH8=2,'[14]SDG^2 values'!$C$5,IF(DH8=3,'[14]SDG^2 values'!$D$5,IF(DH8=4,'[14]SDG^2 values'!$E$5,IF(DH8=5,'[14]SDG^2 values'!$F$5,1)))))</f>
        <v>1.02</v>
      </c>
      <c r="DU8" s="52">
        <f>IF(DI8=1,'[14]SDG^2 values'!$B$6,IF(DI8=2,'[14]SDG^2 values'!$C$6,IF(DI8=3,'[14]SDG^2 values'!$D$6,IF(DI8=4,'[14]SDG^2 values'!$E$6,IF(DI8=5,'[14]SDG^2 values'!$F$6,1)))))</f>
        <v>1</v>
      </c>
      <c r="DV8" s="52">
        <f>IF(DJ8=1,'[14]SDG^2 values'!$B$7,IF(DJ8=2,'[14]SDG^2 values'!$C$7,IF(DJ8=3,'[14]SDG^2 values'!$D$7,IF(DJ8=4,'[14]SDG^2 values'!$E$7,IF(DJ8=5,'[14]SDG^2 values'!$F$7,1)))))</f>
        <v>1</v>
      </c>
      <c r="DW8" s="52">
        <f>IF(DK8=1,'[14]SDG^2 values'!$B$8,IF(DK8=2,'[14]SDG^2 values'!$C$8,IF(DK8=3,'[14]SDG^2 values'!$D$8,IF(DK8=4,'[14]SDG^2 values'!$E$8,IF(DK8=5,'[14]SDG^2 values'!$F$8,1)))))</f>
        <v>1</v>
      </c>
      <c r="DX8" s="52">
        <f>IF(DL8=1,'[14]SDG^2 values'!$B$9,IF(DL8=2,'[14]SDG^2 values'!$C$9,IF(DL8=3,'[14]SDG^2 values'!$D$9,IF(DL8=4,'[14]SDG^2 values'!$E$9,IF(DL8=5,'[14]SDG^2 values'!$F$9,1)))))</f>
        <v>1.05</v>
      </c>
    </row>
    <row r="9" spans="1:128" ht="27" customHeight="1">
      <c r="A9" s="2">
        <v>1750</v>
      </c>
      <c r="B9" s="168"/>
      <c r="C9" s="151"/>
      <c r="D9" s="152" t="s">
        <v>526</v>
      </c>
      <c r="E9" s="153" t="s">
        <v>402</v>
      </c>
      <c r="F9" s="144" t="str">
        <f>IF(OR(D9="4",E9="4"),INDEX([14]NamesElementary!$B$1:$B$65536,MATCH(A9,[14]NamesElementary!$A$1:$A$65536,0),1),INDEX([14]Names!$J$1:$J$65602,MATCH(A9,[14]Names!$F$1:$F$65602,0),1))</f>
        <v>treatment, sewage, from residence, to wastewater treatment, class 2</v>
      </c>
      <c r="G9" s="125" t="str">
        <f>IF(OR(D9="4",E9="4"),"-",INDEX([14]Names!$K$1:$K$65602,MATCH(A9,[14]Names!$F$1:$F$65602,0),1))</f>
        <v>CH</v>
      </c>
      <c r="H9" s="154" t="str">
        <f>IF(OR(D9="4",E9="4"),INDEX([14]NamesElementary!$D$1:$D$65536,MATCH($A9,[14]NamesElementary!$A$1:$A$65536,0),1),"-")</f>
        <v>-</v>
      </c>
      <c r="I9" s="123" t="str">
        <f>IF(OR(D9="4",E9="4"),INDEX([14]NamesElementary!$E$1:$E$65536,MATCH($A9,[14]NamesElementary!$A$1:$A$65536,0),1),"-")</f>
        <v>-</v>
      </c>
      <c r="J9" s="124">
        <f>IF(OR(D9="4",E9="4"),"-",INDEX([14]Names!$N$1:$N$65602,MATCH(A9,[14]Names!$F$1:$F$65602,0),1))</f>
        <v>0</v>
      </c>
      <c r="K9" s="125" t="str">
        <f>IF(OR(D9="4",E9="4"),INDEX([14]NamesElementary!$G$1:$G$65536,MATCH(A9,[14]NamesElementary!$A$1:$A$65536,0),1),INDEX([14]Names!$O$1:$O$65602,MATCH(A9,[14]Names!$F$1:$F$65602,0),1))</f>
        <v>m3</v>
      </c>
      <c r="L9" s="155" t="e">
        <f>L8/1000</f>
        <v>#REF!</v>
      </c>
      <c r="M9" s="29">
        <f t="shared" si="0"/>
        <v>1</v>
      </c>
      <c r="N9" s="1">
        <f t="shared" si="1"/>
        <v>1.0906744032152329</v>
      </c>
      <c r="O9" s="139" t="str">
        <f t="shared" si="2"/>
        <v>(2,2,1,1,1,3); Estimation 20l/m2 panel</v>
      </c>
      <c r="P9" s="155" t="e">
        <f>P8/1000</f>
        <v>#REF!</v>
      </c>
      <c r="Q9" s="29">
        <f t="shared" si="3"/>
        <v>1</v>
      </c>
      <c r="R9" s="1">
        <f t="shared" si="4"/>
        <v>1.0906744032152329</v>
      </c>
      <c r="S9" s="139" t="str">
        <f t="shared" si="5"/>
        <v>(2,2,1,1,1,3); Estimation 20l/m2 panel</v>
      </c>
      <c r="T9" s="155" t="e">
        <f>T8/1000</f>
        <v>#REF!</v>
      </c>
      <c r="U9" s="29">
        <f t="shared" si="6"/>
        <v>1</v>
      </c>
      <c r="V9" s="1">
        <f t="shared" si="7"/>
        <v>1.0906744032152329</v>
      </c>
      <c r="W9" s="139" t="str">
        <f t="shared" si="8"/>
        <v>(2,2,1,1,1,3); Estimation 20l/m2 panel</v>
      </c>
      <c r="X9" s="155" t="e">
        <f>X8/1000</f>
        <v>#REF!</v>
      </c>
      <c r="Y9" s="29">
        <f t="shared" si="9"/>
        <v>1</v>
      </c>
      <c r="Z9" s="1">
        <f t="shared" si="10"/>
        <v>1.0906744032152329</v>
      </c>
      <c r="AA9" s="139" t="str">
        <f t="shared" si="11"/>
        <v>(2,2,1,1,1,3); Estimation 20l/m2 panel</v>
      </c>
      <c r="AB9" s="155" t="e">
        <f>AB8/1000</f>
        <v>#REF!</v>
      </c>
      <c r="AC9" s="29">
        <f t="shared" si="12"/>
        <v>1</v>
      </c>
      <c r="AD9" s="1">
        <f t="shared" si="13"/>
        <v>1.0906744032152329</v>
      </c>
      <c r="AE9" s="139" t="str">
        <f t="shared" si="14"/>
        <v>(2,2,1,1,1,3); Estimation 20l/m2 panel</v>
      </c>
      <c r="AF9" s="155" t="e">
        <f>AF8/1000</f>
        <v>#REF!</v>
      </c>
      <c r="AG9" s="29">
        <f t="shared" si="15"/>
        <v>1</v>
      </c>
      <c r="AH9" s="1">
        <f t="shared" si="16"/>
        <v>1.0906744032152329</v>
      </c>
      <c r="AI9" s="139" t="str">
        <f t="shared" si="17"/>
        <v>(2,2,1,1,1,3); Estimation 20l/m2 panel</v>
      </c>
      <c r="AJ9" s="155" t="e">
        <f>AJ8/1000</f>
        <v>#REF!</v>
      </c>
      <c r="AK9" s="29">
        <f t="shared" si="18"/>
        <v>1</v>
      </c>
      <c r="AL9" s="1">
        <f t="shared" si="19"/>
        <v>1.0906744032152329</v>
      </c>
      <c r="AM9" s="31" t="str">
        <f t="shared" si="20"/>
        <v>(2,2,1,1,1,3); Estimation 20l/m2 panel</v>
      </c>
      <c r="AN9" s="155" t="e">
        <f>AN8/1000</f>
        <v>#REF!</v>
      </c>
      <c r="AO9" s="29">
        <f t="shared" si="21"/>
        <v>1</v>
      </c>
      <c r="AP9" s="1">
        <f t="shared" si="22"/>
        <v>1.0906744032152329</v>
      </c>
      <c r="AQ9" s="139" t="str">
        <f t="shared" si="23"/>
        <v>(2,2,1,1,1,3); Estimation 20l/m2 panel</v>
      </c>
      <c r="AR9" s="155" t="e">
        <f>AR8/1000</f>
        <v>#REF!</v>
      </c>
      <c r="AS9" s="29">
        <f t="shared" si="24"/>
        <v>1</v>
      </c>
      <c r="AT9" s="1">
        <f t="shared" si="25"/>
        <v>1.0906744032152329</v>
      </c>
      <c r="AU9" s="31" t="str">
        <f t="shared" si="26"/>
        <v>(2,2,1,1,1,3); Estimation 20l/m2 panel</v>
      </c>
      <c r="AV9" s="155" t="e">
        <f>AV8/1000</f>
        <v>#REF!</v>
      </c>
      <c r="AW9" s="29">
        <f t="shared" si="27"/>
        <v>1</v>
      </c>
      <c r="AX9" s="1">
        <f t="shared" si="28"/>
        <v>1.0906744032152329</v>
      </c>
      <c r="AY9" s="139" t="str">
        <f t="shared" si="29"/>
        <v>(2,2,1,1,1,3); Estimation 20l/m2 panel</v>
      </c>
      <c r="AZ9" s="155" t="e">
        <f>AZ8/1000</f>
        <v>#REF!</v>
      </c>
      <c r="BA9" s="29">
        <f t="shared" si="30"/>
        <v>1</v>
      </c>
      <c r="BB9" s="1">
        <f t="shared" si="31"/>
        <v>1.0906744032152329</v>
      </c>
      <c r="BC9" s="139" t="str">
        <f t="shared" si="32"/>
        <v>(2,2,1,1,1,3); Estimation 20l/m2 panel</v>
      </c>
      <c r="BD9" s="155" t="e">
        <f>BD8/1000</f>
        <v>#REF!</v>
      </c>
      <c r="BE9" s="29">
        <f t="shared" si="33"/>
        <v>1</v>
      </c>
      <c r="BF9" s="1">
        <f t="shared" si="34"/>
        <v>1.0906744032152329</v>
      </c>
      <c r="BG9" s="139" t="str">
        <f t="shared" si="35"/>
        <v>(2,2,1,1,1,3); Estimation 20l/m2 panel</v>
      </c>
      <c r="BH9" s="29">
        <f t="shared" si="36"/>
        <v>1</v>
      </c>
      <c r="BI9" s="1">
        <f t="shared" si="37"/>
        <v>1.0906744032152329</v>
      </c>
      <c r="BJ9" s="139" t="str">
        <f t="shared" si="38"/>
        <v>(2,2,1,1,1,3); Estimation 20l/m2 panel</v>
      </c>
      <c r="BK9" s="155" t="e">
        <f>BK8/1000</f>
        <v>#REF!</v>
      </c>
      <c r="BL9" s="29">
        <f t="shared" si="39"/>
        <v>1</v>
      </c>
      <c r="BM9" s="1">
        <f t="shared" si="40"/>
        <v>1.0906744032152329</v>
      </c>
      <c r="BN9" s="139" t="str">
        <f t="shared" si="41"/>
        <v>(2,2,1,1,1,3); Estimation 20l/m2 panel</v>
      </c>
      <c r="BO9" s="155" t="e">
        <f>BO8/1000</f>
        <v>#REF!</v>
      </c>
      <c r="BP9" s="29">
        <f t="shared" si="42"/>
        <v>1</v>
      </c>
      <c r="BQ9" s="1">
        <f t="shared" si="43"/>
        <v>1.0906744032152329</v>
      </c>
      <c r="BR9" s="139" t="str">
        <f t="shared" si="44"/>
        <v>(2,2,1,1,1,3); Estimation 20l/m2 panel</v>
      </c>
      <c r="BS9" s="354" t="e">
        <f>BS8/1000</f>
        <v>#REF!</v>
      </c>
      <c r="BT9" s="29">
        <f t="shared" si="45"/>
        <v>1</v>
      </c>
      <c r="BU9" s="1">
        <f t="shared" si="46"/>
        <v>1.0906744032152329</v>
      </c>
      <c r="BV9" s="139" t="str">
        <f t="shared" si="47"/>
        <v>(2,2,1,1,1,3); Estimation 20l/m2 panel</v>
      </c>
      <c r="BW9" s="354" t="e">
        <f>BW8/1000</f>
        <v>#REF!</v>
      </c>
      <c r="BX9" s="29">
        <f t="shared" si="48"/>
        <v>1</v>
      </c>
      <c r="BY9" s="1">
        <f t="shared" si="49"/>
        <v>1.0906744032152329</v>
      </c>
      <c r="BZ9" s="31" t="str">
        <f t="shared" si="62"/>
        <v>(2,2,1,1,1,3); Estimation 20l/m2 panel</v>
      </c>
      <c r="CA9" s="155" t="e">
        <f t="shared" si="73"/>
        <v>#REF!</v>
      </c>
      <c r="CB9" s="29">
        <f t="shared" si="50"/>
        <v>1</v>
      </c>
      <c r="CC9" s="1">
        <f t="shared" si="51"/>
        <v>1.0906744032152329</v>
      </c>
      <c r="CD9" s="139" t="str">
        <f t="shared" si="63"/>
        <v>(2,2,1,1,1,3); Estimation 20l/m2 panel</v>
      </c>
      <c r="CE9" s="155" t="e">
        <f t="shared" si="74"/>
        <v>#REF!</v>
      </c>
      <c r="CF9" s="29">
        <f t="shared" si="52"/>
        <v>1</v>
      </c>
      <c r="CG9" s="1">
        <f t="shared" si="53"/>
        <v>1.0906744032152329</v>
      </c>
      <c r="CH9" s="139" t="str">
        <f t="shared" si="64"/>
        <v>(2,2,1,1,1,3); Estimation 20l/m2 panel</v>
      </c>
      <c r="CI9" s="155" t="e">
        <f t="shared" si="75"/>
        <v>#REF!</v>
      </c>
      <c r="CJ9" s="29">
        <f t="shared" si="54"/>
        <v>1</v>
      </c>
      <c r="CK9" s="1">
        <f t="shared" si="55"/>
        <v>1.0906744032152329</v>
      </c>
      <c r="CL9" s="139" t="str">
        <f t="shared" si="65"/>
        <v>(2,2,1,1,1,3); Estimation 20l/m2 panel</v>
      </c>
      <c r="CM9" s="155" t="e">
        <f t="shared" si="76"/>
        <v>#REF!</v>
      </c>
      <c r="CN9" s="29">
        <f t="shared" si="56"/>
        <v>1</v>
      </c>
      <c r="CO9" s="1">
        <f t="shared" si="57"/>
        <v>1.0906744032152329</v>
      </c>
      <c r="CP9" s="139" t="str">
        <f t="shared" si="66"/>
        <v>(2,2,1,1,1,3); Estimation 20l/m2 panel</v>
      </c>
      <c r="CQ9" s="155" t="e">
        <f t="shared" si="77"/>
        <v>#REF!</v>
      </c>
      <c r="CR9" s="29">
        <f t="shared" si="58"/>
        <v>1</v>
      </c>
      <c r="CS9" s="1">
        <f t="shared" si="59"/>
        <v>1.0906744032152329</v>
      </c>
      <c r="CT9" s="139" t="str">
        <f t="shared" si="67"/>
        <v>(2,2,1,1,1,3); Estimation 20l/m2 panel</v>
      </c>
      <c r="CU9" s="155" t="e">
        <f>CE9</f>
        <v>#REF!</v>
      </c>
      <c r="CV9" s="29">
        <f t="shared" si="60"/>
        <v>1</v>
      </c>
      <c r="CW9" s="1">
        <f t="shared" si="61"/>
        <v>1.0906744032152329</v>
      </c>
      <c r="CX9" s="139" t="str">
        <f t="shared" si="68"/>
        <v>(2,2,1,1,1,3); Estimation 20l/m2 panel</v>
      </c>
      <c r="CY9" s="155" t="e">
        <f>CY8/1000</f>
        <v>#REF!</v>
      </c>
      <c r="CZ9" s="29">
        <v>1</v>
      </c>
      <c r="DA9" s="1">
        <f t="shared" si="69"/>
        <v>1.0906744032152329</v>
      </c>
      <c r="DB9" s="31" t="str">
        <f>DQ9&amp;"; "&amp;DF9</f>
        <v>(2,2,1,1,1,3); Estimation 20l/m2 panel</v>
      </c>
      <c r="DC9" s="199"/>
      <c r="DD9" s="199"/>
      <c r="DE9" s="199"/>
      <c r="DF9" s="115" t="s">
        <v>23</v>
      </c>
      <c r="DG9" s="10">
        <v>2</v>
      </c>
      <c r="DH9" s="50">
        <v>2</v>
      </c>
      <c r="DI9" s="50">
        <v>1</v>
      </c>
      <c r="DJ9" s="50">
        <v>1</v>
      </c>
      <c r="DK9" s="50">
        <v>1</v>
      </c>
      <c r="DL9" s="50">
        <v>3</v>
      </c>
      <c r="DM9" s="50">
        <f>IF(OR($D9="4",$E9="4"),INDEX([14]NamesElementary!$J$1:$J$65536,MATCH($A9,[14]NamesElementary!$A$1:$A$65536,0),1),INDEX([14]Names!$W$1:$W$65602,MATCH($A9,[14]Names!$F$1:$F$65602,0),1))</f>
        <v>6</v>
      </c>
      <c r="DN9" s="51">
        <f>INDEX([14]BasicUncertainty!$H$1:$H$65536,MATCH(DM9,[14]BasicUncertainty!$B$1:$B$65536,0),1)</f>
        <v>1.05</v>
      </c>
      <c r="DO9" s="87">
        <f t="shared" si="70"/>
        <v>1.0744244531716256</v>
      </c>
      <c r="DP9" s="88">
        <f t="shared" si="71"/>
        <v>1.0906744032152329</v>
      </c>
      <c r="DQ9" s="89" t="str">
        <f t="shared" si="72"/>
        <v>(2,2,1,1,1,3)</v>
      </c>
      <c r="DS9" s="52">
        <f>IF(DG9=1,'[14]SDG^2 values'!$B$4,IF(DG9=2,'[14]SDG^2 values'!$C$4,IF(DG9=3,'[14]SDG^2 values'!$D$4,IF(DG9=4,'[14]SDG^2 values'!$E$4,IF(DG9=5,'[14]SDG^2 values'!$F$4,1)))))</f>
        <v>1.05</v>
      </c>
      <c r="DT9" s="52">
        <f>IF(DH9=1,'[14]SDG^2 values'!$B$5,IF(DH9=2,'[14]SDG^2 values'!$C$5,IF(DH9=3,'[14]SDG^2 values'!$D$5,IF(DH9=4,'[14]SDG^2 values'!$E$5,IF(DH9=5,'[14]SDG^2 values'!$F$5,1)))))</f>
        <v>1.02</v>
      </c>
      <c r="DU9" s="52">
        <f>IF(DI9=1,'[14]SDG^2 values'!$B$6,IF(DI9=2,'[14]SDG^2 values'!$C$6,IF(DI9=3,'[14]SDG^2 values'!$D$6,IF(DI9=4,'[14]SDG^2 values'!$E$6,IF(DI9=5,'[14]SDG^2 values'!$F$6,1)))))</f>
        <v>1</v>
      </c>
      <c r="DV9" s="52">
        <f>IF(DJ9=1,'[14]SDG^2 values'!$B$7,IF(DJ9=2,'[14]SDG^2 values'!$C$7,IF(DJ9=3,'[14]SDG^2 values'!$D$7,IF(DJ9=4,'[14]SDG^2 values'!$E$7,IF(DJ9=5,'[14]SDG^2 values'!$F$7,1)))))</f>
        <v>1</v>
      </c>
      <c r="DW9" s="52">
        <f>IF(DK9=1,'[14]SDG^2 values'!$B$8,IF(DK9=2,'[14]SDG^2 values'!$C$8,IF(DK9=3,'[14]SDG^2 values'!$D$8,IF(DK9=4,'[14]SDG^2 values'!$E$8,IF(DK9=5,'[14]SDG^2 values'!$F$8,1)))))</f>
        <v>1</v>
      </c>
      <c r="DX9" s="52">
        <f>IF(DL9=1,'[14]SDG^2 values'!$B$9,IF(DL9=2,'[14]SDG^2 values'!$C$9,IF(DL9=3,'[14]SDG^2 values'!$D$9,IF(DL9=4,'[14]SDG^2 values'!$E$9,IF(DL9=5,'[14]SDG^2 values'!$F$9,1)))))</f>
        <v>1.05</v>
      </c>
    </row>
    <row r="10" spans="1:128" ht="18" customHeight="1">
      <c r="A10" s="464" t="s">
        <v>370</v>
      </c>
      <c r="B10" s="168"/>
      <c r="C10" s="151"/>
      <c r="D10" s="152" t="s">
        <v>526</v>
      </c>
      <c r="E10" s="153" t="s">
        <v>402</v>
      </c>
      <c r="F10" s="144" t="str">
        <f>IF(OR(D10="4",E10="4"),INDEX([14]NamesElementary!$B$1:$B$65536,MATCH(A10,[14]NamesElementary!$A$1:$A$65536,0),1),INDEX([14]Names!$J$1:$J$65602,MATCH(A10,[14]Names!$F$1:$F$65602,0),1))</f>
        <v>560 kWp open ground installation, single-Si, on open ground</v>
      </c>
      <c r="G10" s="125" t="str">
        <f>IF(OR(D10="4",E10="4"),"-",INDEX([14]Names!$K$1:$K$65602,MATCH(A10,[14]Names!$F$1:$F$65602,0),1))</f>
        <v>CH</v>
      </c>
      <c r="H10" s="154" t="str">
        <f>IF(OR(D10="4",E10="4"),INDEX([14]NamesElementary!$D$1:$D$65536,MATCH($A10,[14]NamesElementary!$A$1:$A$65536,0),1),"-")</f>
        <v>-</v>
      </c>
      <c r="I10" s="123" t="str">
        <f>IF(OR(D10="4",E10="4"),INDEX([14]NamesElementary!$E$1:$E$65536,MATCH($A10,[14]NamesElementary!$A$1:$A$65536,0),1),"-")</f>
        <v>-</v>
      </c>
      <c r="J10" s="124">
        <f>IF(OR(D10="4",E10="4"),"-",INDEX([14]Names!$N$1:$N$65602,MATCH(A10,[14]Names!$F$1:$F$65602,0),1))</f>
        <v>1</v>
      </c>
      <c r="K10" s="125" t="str">
        <f>IF(OR(D10="4",E10="4"),INDEX([14]NamesElementary!$G$1:$G$65536,MATCH(A10,[14]NamesElementary!$A$1:$A$65536,0),1),INDEX([14]Names!$O$1:$O$65602,MATCH(A10,[14]Names!$F$1:$F$65602,0),1))</f>
        <v>unit</v>
      </c>
      <c r="L10" s="165">
        <v>0</v>
      </c>
      <c r="M10" s="29">
        <f t="shared" si="0"/>
        <v>1</v>
      </c>
      <c r="N10" s="1">
        <f t="shared" si="1"/>
        <v>1.2365959919080913</v>
      </c>
      <c r="O10" s="139" t="str">
        <f t="shared" si="2"/>
        <v xml:space="preserve">(3,2,1,1,1,3); </v>
      </c>
      <c r="P10" s="155">
        <v>0</v>
      </c>
      <c r="Q10" s="29">
        <f t="shared" si="3"/>
        <v>1</v>
      </c>
      <c r="R10" s="1">
        <f t="shared" si="4"/>
        <v>1.2365959919080913</v>
      </c>
      <c r="S10" s="139" t="str">
        <f t="shared" si="5"/>
        <v xml:space="preserve">(3,2,1,1,1,3); </v>
      </c>
      <c r="T10" s="155">
        <v>0</v>
      </c>
      <c r="U10" s="29">
        <f t="shared" si="6"/>
        <v>1</v>
      </c>
      <c r="V10" s="1">
        <f t="shared" si="7"/>
        <v>1.2365959919080913</v>
      </c>
      <c r="W10" s="139" t="str">
        <f t="shared" si="8"/>
        <v xml:space="preserve">(3,2,1,1,1,3); </v>
      </c>
      <c r="X10" s="155">
        <v>0</v>
      </c>
      <c r="Y10" s="29">
        <f t="shared" si="9"/>
        <v>1</v>
      </c>
      <c r="Z10" s="1">
        <f t="shared" si="10"/>
        <v>1.2365959919080913</v>
      </c>
      <c r="AA10" s="139" t="str">
        <f t="shared" si="11"/>
        <v xml:space="preserve">(3,2,1,1,1,3); </v>
      </c>
      <c r="AB10" s="155">
        <v>0</v>
      </c>
      <c r="AC10" s="29">
        <f t="shared" si="12"/>
        <v>1</v>
      </c>
      <c r="AD10" s="1">
        <f t="shared" si="13"/>
        <v>1.2365959919080913</v>
      </c>
      <c r="AE10" s="139" t="str">
        <f t="shared" si="14"/>
        <v xml:space="preserve">(3,2,1,1,1,3); </v>
      </c>
      <c r="AF10" s="155">
        <v>0</v>
      </c>
      <c r="AG10" s="29">
        <f t="shared" si="15"/>
        <v>1</v>
      </c>
      <c r="AH10" s="1">
        <f t="shared" si="16"/>
        <v>1.2365959919080913</v>
      </c>
      <c r="AI10" s="139" t="str">
        <f t="shared" si="17"/>
        <v xml:space="preserve">(3,2,1,1,1,3); </v>
      </c>
      <c r="AJ10" s="155">
        <v>0</v>
      </c>
      <c r="AK10" s="29">
        <f t="shared" si="18"/>
        <v>1</v>
      </c>
      <c r="AL10" s="1">
        <f t="shared" si="19"/>
        <v>1.2365959919080913</v>
      </c>
      <c r="AM10" s="31" t="str">
        <f t="shared" si="20"/>
        <v xml:space="preserve">(3,2,1,1,1,3); </v>
      </c>
      <c r="AN10" s="155">
        <v>0</v>
      </c>
      <c r="AO10" s="29">
        <f t="shared" si="21"/>
        <v>1</v>
      </c>
      <c r="AP10" s="1">
        <f t="shared" si="22"/>
        <v>1.2365959919080913</v>
      </c>
      <c r="AQ10" s="139" t="str">
        <f t="shared" si="23"/>
        <v xml:space="preserve">(3,2,1,1,1,3); </v>
      </c>
      <c r="AR10" s="155">
        <v>0</v>
      </c>
      <c r="AS10" s="29">
        <f t="shared" si="24"/>
        <v>1</v>
      </c>
      <c r="AT10" s="1">
        <f t="shared" si="25"/>
        <v>1.2365959919080913</v>
      </c>
      <c r="AU10" s="31" t="str">
        <f t="shared" si="26"/>
        <v xml:space="preserve">(3,2,1,1,1,3); </v>
      </c>
      <c r="AV10" s="155">
        <v>0</v>
      </c>
      <c r="AW10" s="29">
        <f t="shared" si="27"/>
        <v>1</v>
      </c>
      <c r="AX10" s="1">
        <f t="shared" si="28"/>
        <v>1.2365959919080913</v>
      </c>
      <c r="AY10" s="139" t="str">
        <f t="shared" si="29"/>
        <v xml:space="preserve">(3,2,1,1,1,3); </v>
      </c>
      <c r="AZ10" s="155">
        <v>0</v>
      </c>
      <c r="BA10" s="29">
        <f t="shared" si="30"/>
        <v>1</v>
      </c>
      <c r="BB10" s="1">
        <f t="shared" si="31"/>
        <v>1.2365959919080913</v>
      </c>
      <c r="BC10" s="139" t="str">
        <f t="shared" si="32"/>
        <v xml:space="preserve">(3,2,1,1,1,3); </v>
      </c>
      <c r="BD10" s="155">
        <v>0</v>
      </c>
      <c r="BE10" s="29">
        <f t="shared" si="33"/>
        <v>1</v>
      </c>
      <c r="BF10" s="1">
        <f t="shared" si="34"/>
        <v>1.2365959919080913</v>
      </c>
      <c r="BG10" s="139" t="str">
        <f t="shared" si="35"/>
        <v xml:space="preserve">(3,2,1,1,1,3); </v>
      </c>
      <c r="BH10" s="29">
        <f t="shared" si="36"/>
        <v>1</v>
      </c>
      <c r="BI10" s="1">
        <f t="shared" si="37"/>
        <v>1.2365959919080913</v>
      </c>
      <c r="BJ10" s="139" t="str">
        <f t="shared" si="38"/>
        <v xml:space="preserve">(3,2,1,1,1,3); </v>
      </c>
      <c r="BK10" s="155">
        <v>0</v>
      </c>
      <c r="BL10" s="29">
        <f t="shared" si="39"/>
        <v>1</v>
      </c>
      <c r="BM10" s="1">
        <f t="shared" si="40"/>
        <v>1.2365959919080913</v>
      </c>
      <c r="BN10" s="139" t="str">
        <f t="shared" si="41"/>
        <v xml:space="preserve">(3,2,1,1,1,3); </v>
      </c>
      <c r="BO10" s="155">
        <v>0</v>
      </c>
      <c r="BP10" s="29">
        <f t="shared" si="42"/>
        <v>1</v>
      </c>
      <c r="BQ10" s="1">
        <f t="shared" si="43"/>
        <v>1.2365959919080913</v>
      </c>
      <c r="BR10" s="139" t="str">
        <f t="shared" si="44"/>
        <v xml:space="preserve">(3,2,1,1,1,3); </v>
      </c>
      <c r="BS10" s="155">
        <v>0</v>
      </c>
      <c r="BT10" s="29">
        <f t="shared" si="45"/>
        <v>1</v>
      </c>
      <c r="BU10" s="1">
        <f t="shared" si="46"/>
        <v>1.2365959919080913</v>
      </c>
      <c r="BV10" s="139" t="str">
        <f t="shared" si="47"/>
        <v xml:space="preserve">(3,2,1,1,1,3); </v>
      </c>
      <c r="BW10" s="155">
        <v>0</v>
      </c>
      <c r="BX10" s="29">
        <f t="shared" si="48"/>
        <v>1</v>
      </c>
      <c r="BY10" s="1">
        <f t="shared" si="49"/>
        <v>1.2365959919080913</v>
      </c>
      <c r="BZ10" s="31" t="str">
        <f>DQ10&amp;"; "&amp;DF10</f>
        <v xml:space="preserve">(3,2,1,1,1,3); </v>
      </c>
      <c r="CA10" s="155">
        <f t="shared" si="73"/>
        <v>0</v>
      </c>
      <c r="CB10" s="29">
        <f t="shared" si="50"/>
        <v>1</v>
      </c>
      <c r="CC10" s="1">
        <f t="shared" si="51"/>
        <v>1.2365959919080913</v>
      </c>
      <c r="CD10" s="139" t="str">
        <f t="shared" si="63"/>
        <v xml:space="preserve">(3,2,1,1,1,3); </v>
      </c>
      <c r="CE10" s="155">
        <f t="shared" si="74"/>
        <v>0</v>
      </c>
      <c r="CF10" s="29">
        <f t="shared" si="52"/>
        <v>1</v>
      </c>
      <c r="CG10" s="1">
        <f t="shared" si="53"/>
        <v>1.2365959919080913</v>
      </c>
      <c r="CH10" s="139" t="str">
        <f t="shared" si="64"/>
        <v xml:space="preserve">(3,2,1,1,1,3); </v>
      </c>
      <c r="CI10" s="155">
        <f t="shared" si="75"/>
        <v>0</v>
      </c>
      <c r="CJ10" s="29">
        <f t="shared" si="54"/>
        <v>1</v>
      </c>
      <c r="CK10" s="1">
        <f t="shared" si="55"/>
        <v>1.2365959919080913</v>
      </c>
      <c r="CL10" s="139" t="str">
        <f t="shared" si="65"/>
        <v xml:space="preserve">(3,2,1,1,1,3); </v>
      </c>
      <c r="CM10" s="155">
        <f t="shared" si="76"/>
        <v>0</v>
      </c>
      <c r="CN10" s="29">
        <f t="shared" si="56"/>
        <v>1</v>
      </c>
      <c r="CO10" s="1">
        <f t="shared" si="57"/>
        <v>1.2365959919080913</v>
      </c>
      <c r="CP10" s="139" t="str">
        <f t="shared" si="66"/>
        <v xml:space="preserve">(3,2,1,1,1,3); </v>
      </c>
      <c r="CQ10" s="155">
        <f t="shared" si="77"/>
        <v>0</v>
      </c>
      <c r="CR10" s="29">
        <f t="shared" si="58"/>
        <v>1</v>
      </c>
      <c r="CS10" s="1">
        <f t="shared" si="59"/>
        <v>1.2365959919080913</v>
      </c>
      <c r="CT10" s="139" t="str">
        <f t="shared" si="67"/>
        <v xml:space="preserve">(3,2,1,1,1,3); </v>
      </c>
      <c r="CU10" s="155">
        <f>CE10</f>
        <v>0</v>
      </c>
      <c r="CV10" s="29">
        <f t="shared" si="60"/>
        <v>1</v>
      </c>
      <c r="CW10" s="1">
        <f t="shared" si="61"/>
        <v>1.2365959919080913</v>
      </c>
      <c r="CX10" s="139" t="str">
        <f t="shared" si="68"/>
        <v xml:space="preserve">(3,2,1,1,1,3); </v>
      </c>
      <c r="CY10" s="155" t="e">
        <f>1/(lifetime*560*1000)*DC10</f>
        <v>#REF!</v>
      </c>
      <c r="CZ10" s="29">
        <v>1</v>
      </c>
      <c r="DA10" s="1">
        <f t="shared" si="69"/>
        <v>1.2365959919080913</v>
      </c>
      <c r="DB10" s="31" t="str">
        <f>DQ10&amp;"; average yield, estimation for share of technologies. Basic uncertainty = "&amp;DN10</f>
        <v>(3,2,1,1,1,3); average yield, estimation for share of technologies. Basic uncertainty = 1.2</v>
      </c>
      <c r="DC10" s="287" t="e">
        <f>#REF!</f>
        <v>#REF!</v>
      </c>
      <c r="DD10" s="468">
        <v>4576</v>
      </c>
      <c r="DE10" s="287"/>
      <c r="DF10" s="115"/>
      <c r="DG10" s="10">
        <v>3</v>
      </c>
      <c r="DH10" s="50">
        <v>2</v>
      </c>
      <c r="DI10" s="50">
        <v>1</v>
      </c>
      <c r="DJ10" s="50">
        <v>1</v>
      </c>
      <c r="DK10" s="50">
        <v>1</v>
      </c>
      <c r="DL10" s="50">
        <v>3</v>
      </c>
      <c r="DM10" s="50">
        <f>IF(OR($D10="4",$E10="4"),INDEX([14]NamesElementary!$J$1:$J$65536,MATCH($A10,[14]NamesElementary!$A$1:$A$65536,0),1),INDEX([14]Names!$W$1:$W$65602,MATCH($A10,[14]Names!$F$1:$F$65602,0),1))</f>
        <v>9</v>
      </c>
      <c r="DN10" s="312">
        <f t="shared" ref="DN10:DN15" si="78">1.2</f>
        <v>1.2</v>
      </c>
      <c r="DO10" s="87">
        <f>EXP(SQRT((LN(DS10)^2)+(LN(DT10)^2)+(LN(DU10)^2)+(LN(DV10)^2)+(LN(DW10)^2)+(LN(DX10)^2)))</f>
        <v>1.1150377561073679</v>
      </c>
      <c r="DP10" s="88">
        <f>EXP(SQRT((LN(DS10)^2)+(LN(DT10)^2)+(LN(DU10)^2)+(LN(DV10)^2)+(LN(DW10)^2)+(LN(DX10)^2)+LN(DN10)^2))</f>
        <v>1.2365959919080913</v>
      </c>
      <c r="DQ10" s="89" t="str">
        <f>CONCATENATE("(",DG10,",",DH10,",",DI10,",",DJ10,",",DK10,",",DL10,")")</f>
        <v>(3,2,1,1,1,3)</v>
      </c>
      <c r="DS10" s="52">
        <f>IF(DG10=1,'[14]SDG^2 values'!$B$4,IF(DG10=2,'[14]SDG^2 values'!$C$4,IF(DG10=3,'[14]SDG^2 values'!$D$4,IF(DG10=4,'[14]SDG^2 values'!$E$4,IF(DG10=5,'[14]SDG^2 values'!$F$4,1)))))</f>
        <v>1.1000000000000001</v>
      </c>
      <c r="DT10" s="52">
        <f>IF(DH10=1,'[14]SDG^2 values'!$B$5,IF(DH10=2,'[14]SDG^2 values'!$C$5,IF(DH10=3,'[14]SDG^2 values'!$D$5,IF(DH10=4,'[14]SDG^2 values'!$E$5,IF(DH10=5,'[14]SDG^2 values'!$F$5,1)))))</f>
        <v>1.02</v>
      </c>
      <c r="DU10" s="52">
        <f>IF(DI10=1,'[14]SDG^2 values'!$B$6,IF(DI10=2,'[14]SDG^2 values'!$C$6,IF(DI10=3,'[14]SDG^2 values'!$D$6,IF(DI10=4,'[14]SDG^2 values'!$E$6,IF(DI10=5,'[14]SDG^2 values'!$F$6,1)))))</f>
        <v>1</v>
      </c>
      <c r="DV10" s="52">
        <f>IF(DJ10=1,'[14]SDG^2 values'!$B$7,IF(DJ10=2,'[14]SDG^2 values'!$C$7,IF(DJ10=3,'[14]SDG^2 values'!$D$7,IF(DJ10=4,'[14]SDG^2 values'!$E$7,IF(DJ10=5,'[14]SDG^2 values'!$F$7,1)))))</f>
        <v>1</v>
      </c>
      <c r="DW10" s="52">
        <f>IF(DK10=1,'[14]SDG^2 values'!$B$8,IF(DK10=2,'[14]SDG^2 values'!$C$8,IF(DK10=3,'[14]SDG^2 values'!$D$8,IF(DK10=4,'[14]SDG^2 values'!$E$8,IF(DK10=5,'[14]SDG^2 values'!$F$8,1)))))</f>
        <v>1</v>
      </c>
      <c r="DX10" s="52">
        <f>IF(DL10=1,'[14]SDG^2 values'!$B$9,IF(DL10=2,'[14]SDG^2 values'!$C$9,IF(DL10=3,'[14]SDG^2 values'!$D$9,IF(DL10=4,'[14]SDG^2 values'!$E$9,IF(DL10=5,'[14]SDG^2 values'!$F$9,1)))))</f>
        <v>1.05</v>
      </c>
    </row>
    <row r="11" spans="1:128" ht="27" customHeight="1">
      <c r="A11" s="464" t="s">
        <v>723</v>
      </c>
      <c r="B11" s="168"/>
      <c r="C11" s="151"/>
      <c r="D11" s="152" t="s">
        <v>526</v>
      </c>
      <c r="E11" s="153" t="s">
        <v>402</v>
      </c>
      <c r="F11" s="144" t="str">
        <f>IF(OR(D11="4",E11="4"),INDEX([14]NamesElementary!$B$1:$B$65536,MATCH(A11,[14]NamesElementary!$A$1:$A$65536,0),1),INDEX([14]Names!$J$1:$J$65602,MATCH(A11,[14]Names!$F$1:$F$65602,0),1))</f>
        <v>93 kWp slanted-roof installation, single-Si, laminated,  integrated, on roof</v>
      </c>
      <c r="G11" s="125" t="str">
        <f>IF(OR(D11="4",E11="4"),"-",INDEX([14]Names!$K$1:$K$65602,MATCH(A11,[14]Names!$F$1:$F$65602,0),1))</f>
        <v>CH</v>
      </c>
      <c r="H11" s="154" t="str">
        <f>IF(OR(D11="4",E11="4"),INDEX([14]NamesElementary!$D$1:$D$65536,MATCH($A11,[14]NamesElementary!$A$1:$A$65536,0),1),"-")</f>
        <v>-</v>
      </c>
      <c r="I11" s="123" t="str">
        <f>IF(OR(D11="4",E11="4"),INDEX([14]NamesElementary!$E$1:$E$65536,MATCH($A11,[14]NamesElementary!$A$1:$A$65536,0),1),"-")</f>
        <v>-</v>
      </c>
      <c r="J11" s="124">
        <f>IF(OR(D11="4",E11="4"),"-",INDEX([14]Names!$N$1:$N$65602,MATCH(A11,[14]Names!$F$1:$F$65602,0),1))</f>
        <v>1</v>
      </c>
      <c r="K11" s="125" t="str">
        <f>IF(OR(D11="4",E11="4"),INDEX([14]NamesElementary!$G$1:$G$65536,MATCH(A11,[14]NamesElementary!$A$1:$A$65536,0),1),INDEX([14]Names!$O$1:$O$65602,MATCH(A11,[14]Names!$F$1:$F$65602,0),1))</f>
        <v>unit</v>
      </c>
      <c r="L11" s="165">
        <v>0</v>
      </c>
      <c r="M11" s="29">
        <f t="shared" si="0"/>
        <v>1</v>
      </c>
      <c r="N11" s="1">
        <f t="shared" si="1"/>
        <v>1.2365959919080913</v>
      </c>
      <c r="O11" s="139" t="str">
        <f t="shared" si="2"/>
        <v xml:space="preserve">(3,2,1,1,1,3); </v>
      </c>
      <c r="P11" s="155">
        <v>0</v>
      </c>
      <c r="Q11" s="29">
        <f t="shared" si="3"/>
        <v>1</v>
      </c>
      <c r="R11" s="1">
        <f t="shared" si="4"/>
        <v>1.2365959919080913</v>
      </c>
      <c r="S11" s="139" t="str">
        <f t="shared" si="5"/>
        <v xml:space="preserve">(3,2,1,1,1,3); </v>
      </c>
      <c r="T11" s="155">
        <v>0</v>
      </c>
      <c r="U11" s="29">
        <f t="shared" si="6"/>
        <v>1</v>
      </c>
      <c r="V11" s="1">
        <f t="shared" si="7"/>
        <v>1.2365959919080913</v>
      </c>
      <c r="W11" s="139" t="str">
        <f t="shared" si="8"/>
        <v xml:space="preserve">(3,2,1,1,1,3); </v>
      </c>
      <c r="X11" s="155">
        <v>0</v>
      </c>
      <c r="Y11" s="29">
        <f t="shared" si="9"/>
        <v>1</v>
      </c>
      <c r="Z11" s="1">
        <f t="shared" si="10"/>
        <v>1.2365959919080913</v>
      </c>
      <c r="AA11" s="139" t="str">
        <f t="shared" si="11"/>
        <v xml:space="preserve">(3,2,1,1,1,3); </v>
      </c>
      <c r="AB11" s="155">
        <v>0</v>
      </c>
      <c r="AC11" s="29">
        <f t="shared" si="12"/>
        <v>1</v>
      </c>
      <c r="AD11" s="1">
        <f t="shared" si="13"/>
        <v>1.2365959919080913</v>
      </c>
      <c r="AE11" s="139" t="str">
        <f t="shared" si="14"/>
        <v xml:space="preserve">(3,2,1,1,1,3); </v>
      </c>
      <c r="AF11" s="155">
        <v>0</v>
      </c>
      <c r="AG11" s="29">
        <f t="shared" si="15"/>
        <v>1</v>
      </c>
      <c r="AH11" s="1">
        <f t="shared" si="16"/>
        <v>1.2365959919080913</v>
      </c>
      <c r="AI11" s="139" t="str">
        <f t="shared" si="17"/>
        <v xml:space="preserve">(3,2,1,1,1,3); </v>
      </c>
      <c r="AJ11" s="155">
        <v>0</v>
      </c>
      <c r="AK11" s="29">
        <f t="shared" si="18"/>
        <v>1</v>
      </c>
      <c r="AL11" s="1">
        <f t="shared" si="19"/>
        <v>1.2365959919080913</v>
      </c>
      <c r="AM11" s="31" t="str">
        <f t="shared" si="20"/>
        <v xml:space="preserve">(3,2,1,1,1,3); </v>
      </c>
      <c r="AN11" s="155">
        <v>0</v>
      </c>
      <c r="AO11" s="29">
        <f t="shared" si="21"/>
        <v>1</v>
      </c>
      <c r="AP11" s="1">
        <f t="shared" si="22"/>
        <v>1.2365959919080913</v>
      </c>
      <c r="AQ11" s="139" t="str">
        <f t="shared" si="23"/>
        <v xml:space="preserve">(3,2,1,1,1,3); </v>
      </c>
      <c r="AR11" s="155">
        <v>0</v>
      </c>
      <c r="AS11" s="29">
        <f t="shared" si="24"/>
        <v>1</v>
      </c>
      <c r="AT11" s="1">
        <f t="shared" si="25"/>
        <v>1.2365959919080913</v>
      </c>
      <c r="AU11" s="31" t="str">
        <f t="shared" si="26"/>
        <v xml:space="preserve">(3,2,1,1,1,3); </v>
      </c>
      <c r="AV11" s="155">
        <v>0</v>
      </c>
      <c r="AW11" s="29">
        <f t="shared" si="27"/>
        <v>1</v>
      </c>
      <c r="AX11" s="1">
        <f t="shared" si="28"/>
        <v>1.2365959919080913</v>
      </c>
      <c r="AY11" s="139" t="str">
        <f t="shared" si="29"/>
        <v xml:space="preserve">(3,2,1,1,1,3); </v>
      </c>
      <c r="AZ11" s="155">
        <v>0</v>
      </c>
      <c r="BA11" s="29">
        <f t="shared" si="30"/>
        <v>1</v>
      </c>
      <c r="BB11" s="1">
        <f t="shared" si="31"/>
        <v>1.2365959919080913</v>
      </c>
      <c r="BC11" s="139" t="str">
        <f t="shared" si="32"/>
        <v xml:space="preserve">(3,2,1,1,1,3); </v>
      </c>
      <c r="BD11" s="155">
        <v>0</v>
      </c>
      <c r="BE11" s="29">
        <f t="shared" si="33"/>
        <v>1</v>
      </c>
      <c r="BF11" s="1">
        <f t="shared" si="34"/>
        <v>1.2365959919080913</v>
      </c>
      <c r="BG11" s="139" t="str">
        <f t="shared" si="35"/>
        <v xml:space="preserve">(3,2,1,1,1,3); </v>
      </c>
      <c r="BH11" s="29">
        <f t="shared" si="36"/>
        <v>1</v>
      </c>
      <c r="BI11" s="1">
        <f t="shared" si="37"/>
        <v>1.2365959919080913</v>
      </c>
      <c r="BJ11" s="139" t="str">
        <f t="shared" si="38"/>
        <v xml:space="preserve">(3,2,1,1,1,3); </v>
      </c>
      <c r="BK11" s="155">
        <v>0</v>
      </c>
      <c r="BL11" s="29">
        <f t="shared" si="39"/>
        <v>1</v>
      </c>
      <c r="BM11" s="1">
        <f t="shared" si="40"/>
        <v>1.2365959919080913</v>
      </c>
      <c r="BN11" s="139" t="str">
        <f t="shared" si="41"/>
        <v xml:space="preserve">(3,2,1,1,1,3); </v>
      </c>
      <c r="BO11" s="155">
        <v>0</v>
      </c>
      <c r="BP11" s="29">
        <f t="shared" si="42"/>
        <v>1</v>
      </c>
      <c r="BQ11" s="1">
        <f t="shared" si="43"/>
        <v>1.2365959919080913</v>
      </c>
      <c r="BR11" s="139" t="str">
        <f t="shared" si="44"/>
        <v xml:space="preserve">(3,2,1,1,1,3); </v>
      </c>
      <c r="BS11" s="155">
        <v>0</v>
      </c>
      <c r="BT11" s="29">
        <f t="shared" si="45"/>
        <v>1</v>
      </c>
      <c r="BU11" s="1">
        <f t="shared" si="46"/>
        <v>1.2365959919080913</v>
      </c>
      <c r="BV11" s="139" t="str">
        <f t="shared" si="47"/>
        <v xml:space="preserve">(3,2,1,1,1,3); </v>
      </c>
      <c r="BW11" s="155">
        <v>0</v>
      </c>
      <c r="BX11" s="29">
        <f t="shared" si="48"/>
        <v>1</v>
      </c>
      <c r="BY11" s="1">
        <f t="shared" si="49"/>
        <v>1.2365959919080913</v>
      </c>
      <c r="BZ11" s="31" t="str">
        <f>DQ11&amp;"; "&amp;DF11</f>
        <v xml:space="preserve">(3,2,1,1,1,3); </v>
      </c>
      <c r="CA11" s="155">
        <f t="shared" si="73"/>
        <v>0</v>
      </c>
      <c r="CB11" s="29">
        <f t="shared" si="50"/>
        <v>1</v>
      </c>
      <c r="CC11" s="1">
        <f t="shared" si="51"/>
        <v>1.2365959919080913</v>
      </c>
      <c r="CD11" s="139" t="str">
        <f t="shared" si="63"/>
        <v xml:space="preserve">(3,2,1,1,1,3); </v>
      </c>
      <c r="CE11" s="155">
        <f t="shared" si="74"/>
        <v>0</v>
      </c>
      <c r="CF11" s="29">
        <f t="shared" si="52"/>
        <v>1</v>
      </c>
      <c r="CG11" s="1">
        <f t="shared" si="53"/>
        <v>1.2365959919080913</v>
      </c>
      <c r="CH11" s="139" t="str">
        <f t="shared" si="64"/>
        <v xml:space="preserve">(3,2,1,1,1,3); </v>
      </c>
      <c r="CI11" s="155">
        <f t="shared" si="75"/>
        <v>0</v>
      </c>
      <c r="CJ11" s="29">
        <f t="shared" si="54"/>
        <v>1</v>
      </c>
      <c r="CK11" s="1">
        <f t="shared" si="55"/>
        <v>1.2365959919080913</v>
      </c>
      <c r="CL11" s="139" t="str">
        <f t="shared" si="65"/>
        <v xml:space="preserve">(3,2,1,1,1,3); </v>
      </c>
      <c r="CM11" s="155">
        <f t="shared" si="76"/>
        <v>0</v>
      </c>
      <c r="CN11" s="29">
        <f t="shared" si="56"/>
        <v>1</v>
      </c>
      <c r="CO11" s="1">
        <f t="shared" si="57"/>
        <v>1.2365959919080913</v>
      </c>
      <c r="CP11" s="139" t="str">
        <f t="shared" si="66"/>
        <v xml:space="preserve">(3,2,1,1,1,3); </v>
      </c>
      <c r="CQ11" s="155">
        <f t="shared" si="77"/>
        <v>0</v>
      </c>
      <c r="CR11" s="29">
        <f t="shared" si="58"/>
        <v>1</v>
      </c>
      <c r="CS11" s="1">
        <f t="shared" si="59"/>
        <v>1.2365959919080913</v>
      </c>
      <c r="CT11" s="139" t="str">
        <f t="shared" si="67"/>
        <v xml:space="preserve">(3,2,1,1,1,3); </v>
      </c>
      <c r="CU11" s="155">
        <f t="shared" ref="CU11:CU26" si="79">BO11</f>
        <v>0</v>
      </c>
      <c r="CV11" s="29">
        <f t="shared" si="60"/>
        <v>1</v>
      </c>
      <c r="CW11" s="1">
        <f t="shared" si="61"/>
        <v>1.2365959919080913</v>
      </c>
      <c r="CX11" s="139" t="str">
        <f t="shared" si="68"/>
        <v xml:space="preserve">(3,2,1,1,1,3); </v>
      </c>
      <c r="CY11" s="155" t="e">
        <f>1/(lifetime*87000)*DC11</f>
        <v>#REF!</v>
      </c>
      <c r="CZ11" s="29">
        <v>1</v>
      </c>
      <c r="DA11" s="1">
        <f t="shared" si="69"/>
        <v>1.2365959919080913</v>
      </c>
      <c r="DB11" s="31" t="str">
        <f>DQ11&amp;"; average yield, estimation for share of technologies. Basic uncertainty = "&amp;DN11</f>
        <v>(3,2,1,1,1,3); average yield, estimation for share of technologies. Basic uncertainty = 1.2</v>
      </c>
      <c r="DC11" s="287" t="e">
        <f>#REF!</f>
        <v>#REF!</v>
      </c>
      <c r="DD11" s="468">
        <v>664.07766990291259</v>
      </c>
      <c r="DE11" s="287"/>
      <c r="DF11" s="115"/>
      <c r="DG11" s="10">
        <v>3</v>
      </c>
      <c r="DH11" s="50">
        <v>2</v>
      </c>
      <c r="DI11" s="50">
        <v>1</v>
      </c>
      <c r="DJ11" s="50">
        <v>1</v>
      </c>
      <c r="DK11" s="50">
        <v>1</v>
      </c>
      <c r="DL11" s="50">
        <v>3</v>
      </c>
      <c r="DM11" s="50">
        <f>IF(OR($D11="4",$E11="4"),INDEX([14]NamesElementary!$J$1:$J$65536,MATCH($A11,[14]NamesElementary!$A$1:$A$65536,0),1),INDEX([14]Names!$W$1:$W$65602,MATCH($A11,[14]Names!$F$1:$F$65602,0),1))</f>
        <v>9</v>
      </c>
      <c r="DN11" s="312">
        <f t="shared" si="78"/>
        <v>1.2</v>
      </c>
      <c r="DO11" s="87">
        <f>EXP(SQRT((LN(DS11)^2)+(LN(DT11)^2)+(LN(DU11)^2)+(LN(DV11)^2)+(LN(DW11)^2)+(LN(DX11)^2)))</f>
        <v>1.1150377561073679</v>
      </c>
      <c r="DP11" s="88">
        <f>EXP(SQRT((LN(DS11)^2)+(LN(DT11)^2)+(LN(DU11)^2)+(LN(DV11)^2)+(LN(DW11)^2)+(LN(DX11)^2)+LN(DN11)^2))</f>
        <v>1.2365959919080913</v>
      </c>
      <c r="DQ11" s="89" t="str">
        <f>CONCATENATE("(",DG11,",",DH11,",",DI11,",",DJ11,",",DK11,",",DL11,")")</f>
        <v>(3,2,1,1,1,3)</v>
      </c>
      <c r="DS11" s="52">
        <f>IF(DG11=1,'[14]SDG^2 values'!$B$4,IF(DG11=2,'[14]SDG^2 values'!$C$4,IF(DG11=3,'[14]SDG^2 values'!$D$4,IF(DG11=4,'[14]SDG^2 values'!$E$4,IF(DG11=5,'[14]SDG^2 values'!$F$4,1)))))</f>
        <v>1.1000000000000001</v>
      </c>
      <c r="DT11" s="52">
        <f>IF(DH11=1,'[14]SDG^2 values'!$B$5,IF(DH11=2,'[14]SDG^2 values'!$C$5,IF(DH11=3,'[14]SDG^2 values'!$D$5,IF(DH11=4,'[14]SDG^2 values'!$E$5,IF(DH11=5,'[14]SDG^2 values'!$F$5,1)))))</f>
        <v>1.02</v>
      </c>
      <c r="DU11" s="52">
        <f>IF(DI11=1,'[14]SDG^2 values'!$B$6,IF(DI11=2,'[14]SDG^2 values'!$C$6,IF(DI11=3,'[14]SDG^2 values'!$D$6,IF(DI11=4,'[14]SDG^2 values'!$E$6,IF(DI11=5,'[14]SDG^2 values'!$F$6,1)))))</f>
        <v>1</v>
      </c>
      <c r="DV11" s="52">
        <f>IF(DJ11=1,'[14]SDG^2 values'!$B$7,IF(DJ11=2,'[14]SDG^2 values'!$C$7,IF(DJ11=3,'[14]SDG^2 values'!$D$7,IF(DJ11=4,'[14]SDG^2 values'!$E$7,IF(DJ11=5,'[14]SDG^2 values'!$F$7,1)))))</f>
        <v>1</v>
      </c>
      <c r="DW11" s="52">
        <f>IF(DK11=1,'[14]SDG^2 values'!$B$8,IF(DK11=2,'[14]SDG^2 values'!$C$8,IF(DK11=3,'[14]SDG^2 values'!$D$8,IF(DK11=4,'[14]SDG^2 values'!$E$8,IF(DK11=5,'[14]SDG^2 values'!$F$8,1)))))</f>
        <v>1</v>
      </c>
      <c r="DX11" s="52">
        <f>IF(DL11=1,'[14]SDG^2 values'!$B$9,IF(DL11=2,'[14]SDG^2 values'!$C$9,IF(DL11=3,'[14]SDG^2 values'!$D$9,IF(DL11=4,'[14]SDG^2 values'!$E$9,IF(DL11=5,'[14]SDG^2 values'!$F$9,1)))))</f>
        <v>1.05</v>
      </c>
    </row>
    <row r="12" spans="1:128" ht="18" customHeight="1">
      <c r="A12" s="464" t="s">
        <v>724</v>
      </c>
      <c r="B12" s="168"/>
      <c r="C12" s="151"/>
      <c r="D12" s="152" t="s">
        <v>526</v>
      </c>
      <c r="E12" s="153" t="s">
        <v>402</v>
      </c>
      <c r="F12" s="144" t="str">
        <f>IF(OR(D12="4",E12="4"),INDEX([14]NamesElementary!$B$1:$B$65536,MATCH(A12,[14]NamesElementary!$A$1:$A$65536,0),1),INDEX([14]Names!$J$1:$J$65602,MATCH(A12,[14]Names!$F$1:$F$65602,0),1))</f>
        <v>156 kWp flat-roof installation, multi-Si, on roof</v>
      </c>
      <c r="G12" s="125" t="str">
        <f>IF(OR(D12="4",E12="4"),"-",INDEX([14]Names!$K$1:$K$65602,MATCH(A12,[14]Names!$F$1:$F$65602,0),1))</f>
        <v>CH</v>
      </c>
      <c r="H12" s="154" t="str">
        <f>IF(OR(D12="4",E12="4"),INDEX([14]NamesElementary!$D$1:$D$65536,MATCH($A12,[14]NamesElementary!$A$1:$A$65536,0),1),"-")</f>
        <v>-</v>
      </c>
      <c r="I12" s="123" t="str">
        <f>IF(OR(D12="4",E12="4"),INDEX([14]NamesElementary!$E$1:$E$65536,MATCH($A12,[14]NamesElementary!$A$1:$A$65536,0),1),"-")</f>
        <v>-</v>
      </c>
      <c r="J12" s="124">
        <f>IF(OR(D12="4",E12="4"),"-",INDEX([14]Names!$N$1:$N$65602,MATCH(A12,[14]Names!$F$1:$F$65602,0),1))</f>
        <v>1</v>
      </c>
      <c r="K12" s="125" t="str">
        <f>IF(OR(D12="4",E12="4"),INDEX([14]NamesElementary!$G$1:$G$65536,MATCH(A12,[14]NamesElementary!$A$1:$A$65536,0),1),INDEX([14]Names!$O$1:$O$65602,MATCH(A12,[14]Names!$F$1:$F$65602,0),1))</f>
        <v>unit</v>
      </c>
      <c r="L12" s="165">
        <v>0</v>
      </c>
      <c r="M12" s="29">
        <f t="shared" si="0"/>
        <v>1</v>
      </c>
      <c r="N12" s="1">
        <f t="shared" si="1"/>
        <v>1.2365959919080913</v>
      </c>
      <c r="O12" s="139" t="str">
        <f t="shared" si="2"/>
        <v xml:space="preserve">(3,2,1,1,1,3); </v>
      </c>
      <c r="P12" s="155">
        <v>0</v>
      </c>
      <c r="Q12" s="29">
        <f t="shared" si="3"/>
        <v>1</v>
      </c>
      <c r="R12" s="1">
        <f t="shared" si="4"/>
        <v>1.2365959919080913</v>
      </c>
      <c r="S12" s="139" t="str">
        <f t="shared" si="5"/>
        <v xml:space="preserve">(3,2,1,1,1,3); </v>
      </c>
      <c r="T12" s="155">
        <v>0</v>
      </c>
      <c r="U12" s="29">
        <f t="shared" si="6"/>
        <v>1</v>
      </c>
      <c r="V12" s="1">
        <f t="shared" si="7"/>
        <v>1.2365959919080913</v>
      </c>
      <c r="W12" s="139" t="str">
        <f t="shared" si="8"/>
        <v xml:space="preserve">(3,2,1,1,1,3); </v>
      </c>
      <c r="X12" s="155">
        <v>0</v>
      </c>
      <c r="Y12" s="29">
        <f t="shared" si="9"/>
        <v>1</v>
      </c>
      <c r="Z12" s="1">
        <f t="shared" si="10"/>
        <v>1.2365959919080913</v>
      </c>
      <c r="AA12" s="139" t="str">
        <f t="shared" si="11"/>
        <v xml:space="preserve">(3,2,1,1,1,3); </v>
      </c>
      <c r="AB12" s="155">
        <v>0</v>
      </c>
      <c r="AC12" s="29">
        <f t="shared" si="12"/>
        <v>1</v>
      </c>
      <c r="AD12" s="1">
        <f t="shared" si="13"/>
        <v>1.2365959919080913</v>
      </c>
      <c r="AE12" s="139" t="str">
        <f t="shared" si="14"/>
        <v xml:space="preserve">(3,2,1,1,1,3); </v>
      </c>
      <c r="AF12" s="155">
        <v>0</v>
      </c>
      <c r="AG12" s="29">
        <f t="shared" si="15"/>
        <v>1</v>
      </c>
      <c r="AH12" s="1">
        <f t="shared" si="16"/>
        <v>1.2365959919080913</v>
      </c>
      <c r="AI12" s="139" t="str">
        <f t="shared" si="17"/>
        <v xml:space="preserve">(3,2,1,1,1,3); </v>
      </c>
      <c r="AJ12" s="155">
        <v>0</v>
      </c>
      <c r="AK12" s="29">
        <f t="shared" si="18"/>
        <v>1</v>
      </c>
      <c r="AL12" s="1">
        <f t="shared" si="19"/>
        <v>1.2365959919080913</v>
      </c>
      <c r="AM12" s="31" t="str">
        <f t="shared" si="20"/>
        <v xml:space="preserve">(3,2,1,1,1,3); </v>
      </c>
      <c r="AN12" s="155">
        <v>0</v>
      </c>
      <c r="AO12" s="29">
        <f t="shared" si="21"/>
        <v>1</v>
      </c>
      <c r="AP12" s="1">
        <f t="shared" si="22"/>
        <v>1.2365959919080913</v>
      </c>
      <c r="AQ12" s="139" t="str">
        <f t="shared" si="23"/>
        <v xml:space="preserve">(3,2,1,1,1,3); </v>
      </c>
      <c r="AR12" s="155">
        <v>0</v>
      </c>
      <c r="AS12" s="29">
        <f t="shared" si="24"/>
        <v>1</v>
      </c>
      <c r="AT12" s="1">
        <f t="shared" si="25"/>
        <v>1.2365959919080913</v>
      </c>
      <c r="AU12" s="31" t="str">
        <f t="shared" si="26"/>
        <v xml:space="preserve">(3,2,1,1,1,3); </v>
      </c>
      <c r="AV12" s="155">
        <v>0</v>
      </c>
      <c r="AW12" s="29">
        <f t="shared" si="27"/>
        <v>1</v>
      </c>
      <c r="AX12" s="1">
        <f t="shared" si="28"/>
        <v>1.2365959919080913</v>
      </c>
      <c r="AY12" s="139" t="str">
        <f t="shared" si="29"/>
        <v xml:space="preserve">(3,2,1,1,1,3); </v>
      </c>
      <c r="AZ12" s="155">
        <v>0</v>
      </c>
      <c r="BA12" s="29">
        <f t="shared" si="30"/>
        <v>1</v>
      </c>
      <c r="BB12" s="1">
        <f t="shared" si="31"/>
        <v>1.2365959919080913</v>
      </c>
      <c r="BC12" s="139" t="str">
        <f t="shared" si="32"/>
        <v xml:space="preserve">(3,2,1,1,1,3); </v>
      </c>
      <c r="BD12" s="155">
        <v>0</v>
      </c>
      <c r="BE12" s="29">
        <f t="shared" si="33"/>
        <v>1</v>
      </c>
      <c r="BF12" s="1">
        <f t="shared" si="34"/>
        <v>1.2365959919080913</v>
      </c>
      <c r="BG12" s="139" t="str">
        <f t="shared" si="35"/>
        <v xml:space="preserve">(3,2,1,1,1,3); </v>
      </c>
      <c r="BH12" s="29">
        <f t="shared" si="36"/>
        <v>1</v>
      </c>
      <c r="BI12" s="1">
        <f t="shared" si="37"/>
        <v>1.2365959919080913</v>
      </c>
      <c r="BJ12" s="139" t="str">
        <f t="shared" si="38"/>
        <v xml:space="preserve">(3,2,1,1,1,3); </v>
      </c>
      <c r="BK12" s="155">
        <v>0</v>
      </c>
      <c r="BL12" s="29">
        <f t="shared" si="39"/>
        <v>1</v>
      </c>
      <c r="BM12" s="1">
        <f t="shared" si="40"/>
        <v>1.2365959919080913</v>
      </c>
      <c r="BN12" s="139" t="str">
        <f t="shared" si="41"/>
        <v xml:space="preserve">(3,2,1,1,1,3); </v>
      </c>
      <c r="BO12" s="155">
        <v>0</v>
      </c>
      <c r="BP12" s="29">
        <f t="shared" si="42"/>
        <v>1</v>
      </c>
      <c r="BQ12" s="1">
        <f t="shared" si="43"/>
        <v>1.2365959919080913</v>
      </c>
      <c r="BR12" s="139" t="str">
        <f t="shared" si="44"/>
        <v xml:space="preserve">(3,2,1,1,1,3); </v>
      </c>
      <c r="BS12" s="155">
        <v>0</v>
      </c>
      <c r="BT12" s="29">
        <f t="shared" si="45"/>
        <v>1</v>
      </c>
      <c r="BU12" s="1">
        <f t="shared" si="46"/>
        <v>1.2365959919080913</v>
      </c>
      <c r="BV12" s="139" t="str">
        <f t="shared" si="47"/>
        <v xml:space="preserve">(3,2,1,1,1,3); </v>
      </c>
      <c r="BW12" s="155">
        <v>0</v>
      </c>
      <c r="BX12" s="29">
        <f t="shared" si="48"/>
        <v>1</v>
      </c>
      <c r="BY12" s="1">
        <f t="shared" si="49"/>
        <v>1.2365959919080913</v>
      </c>
      <c r="BZ12" s="31" t="str">
        <f>DQ12&amp;"; "&amp;DF12</f>
        <v xml:space="preserve">(3,2,1,1,1,3); </v>
      </c>
      <c r="CA12" s="155">
        <f t="shared" si="73"/>
        <v>0</v>
      </c>
      <c r="CB12" s="29">
        <f t="shared" si="50"/>
        <v>1</v>
      </c>
      <c r="CC12" s="1">
        <f t="shared" si="51"/>
        <v>1.2365959919080913</v>
      </c>
      <c r="CD12" s="139" t="str">
        <f t="shared" si="63"/>
        <v xml:space="preserve">(3,2,1,1,1,3); </v>
      </c>
      <c r="CE12" s="155">
        <f t="shared" si="74"/>
        <v>0</v>
      </c>
      <c r="CF12" s="29">
        <f t="shared" si="52"/>
        <v>1</v>
      </c>
      <c r="CG12" s="1">
        <f t="shared" si="53"/>
        <v>1.2365959919080913</v>
      </c>
      <c r="CH12" s="139" t="str">
        <f t="shared" si="64"/>
        <v xml:space="preserve">(3,2,1,1,1,3); </v>
      </c>
      <c r="CI12" s="155">
        <f t="shared" si="75"/>
        <v>0</v>
      </c>
      <c r="CJ12" s="29">
        <f t="shared" si="54"/>
        <v>1</v>
      </c>
      <c r="CK12" s="1">
        <f t="shared" si="55"/>
        <v>1.2365959919080913</v>
      </c>
      <c r="CL12" s="139" t="str">
        <f t="shared" si="65"/>
        <v xml:space="preserve">(3,2,1,1,1,3); </v>
      </c>
      <c r="CM12" s="155">
        <f t="shared" si="76"/>
        <v>0</v>
      </c>
      <c r="CN12" s="29">
        <f t="shared" si="56"/>
        <v>1</v>
      </c>
      <c r="CO12" s="1">
        <f t="shared" si="57"/>
        <v>1.2365959919080913</v>
      </c>
      <c r="CP12" s="139" t="str">
        <f t="shared" si="66"/>
        <v xml:space="preserve">(3,2,1,1,1,3); </v>
      </c>
      <c r="CQ12" s="155">
        <f t="shared" si="77"/>
        <v>0</v>
      </c>
      <c r="CR12" s="29">
        <f t="shared" si="58"/>
        <v>1</v>
      </c>
      <c r="CS12" s="1">
        <f t="shared" si="59"/>
        <v>1.2365959919080913</v>
      </c>
      <c r="CT12" s="139" t="str">
        <f t="shared" si="67"/>
        <v xml:space="preserve">(3,2,1,1,1,3); </v>
      </c>
      <c r="CU12" s="155">
        <f t="shared" si="79"/>
        <v>0</v>
      </c>
      <c r="CV12" s="29">
        <f t="shared" si="60"/>
        <v>1</v>
      </c>
      <c r="CW12" s="1">
        <f t="shared" si="61"/>
        <v>1.2365959919080913</v>
      </c>
      <c r="CX12" s="139" t="str">
        <f t="shared" si="68"/>
        <v xml:space="preserve">(3,2,1,1,1,3); </v>
      </c>
      <c r="CY12" s="155" t="e">
        <f>1/(lifetime*140000)*DC12</f>
        <v>#REF!</v>
      </c>
      <c r="CZ12" s="29">
        <v>1</v>
      </c>
      <c r="DA12" s="1">
        <f t="shared" si="69"/>
        <v>1.2365959919080913</v>
      </c>
      <c r="DB12" s="31" t="str">
        <f>DQ12&amp;"; average yield, estimation for share of technologies. Basic uncertainty = "&amp;DN12</f>
        <v>(3,2,1,1,1,3); average yield, estimation for share of technologies. Basic uncertainty = 1.2</v>
      </c>
      <c r="DC12" s="287" t="e">
        <f>#REF!</f>
        <v>#REF!</v>
      </c>
      <c r="DD12" s="468">
        <v>1170</v>
      </c>
      <c r="DE12" s="287"/>
      <c r="DF12" s="115"/>
      <c r="DG12" s="10">
        <v>3</v>
      </c>
      <c r="DH12" s="50">
        <v>2</v>
      </c>
      <c r="DI12" s="50">
        <v>1</v>
      </c>
      <c r="DJ12" s="50">
        <v>1</v>
      </c>
      <c r="DK12" s="50">
        <v>1</v>
      </c>
      <c r="DL12" s="50">
        <v>3</v>
      </c>
      <c r="DM12" s="50">
        <f>IF(OR($D12="4",$E12="4"),INDEX([14]NamesElementary!$J$1:$J$65536,MATCH($A12,[14]NamesElementary!$A$1:$A$65536,0),1),INDEX([14]Names!$W$1:$W$65602,MATCH($A12,[14]Names!$F$1:$F$65602,0),1))</f>
        <v>9</v>
      </c>
      <c r="DN12" s="312">
        <f t="shared" si="78"/>
        <v>1.2</v>
      </c>
      <c r="DO12" s="87">
        <f>EXP(SQRT((LN(DS12)^2)+(LN(DT12)^2)+(LN(DU12)^2)+(LN(DV12)^2)+(LN(DW12)^2)+(LN(DX12)^2)))</f>
        <v>1.1150377561073679</v>
      </c>
      <c r="DP12" s="88">
        <f>EXP(SQRT((LN(DS12)^2)+(LN(DT12)^2)+(LN(DU12)^2)+(LN(DV12)^2)+(LN(DW12)^2)+(LN(DX12)^2)+LN(DN12)^2))</f>
        <v>1.2365959919080913</v>
      </c>
      <c r="DQ12" s="89" t="str">
        <f>CONCATENATE("(",DG12,",",DH12,",",DI12,",",DJ12,",",DK12,",",DL12,")")</f>
        <v>(3,2,1,1,1,3)</v>
      </c>
      <c r="DS12" s="52">
        <f>IF(DG12=1,'[14]SDG^2 values'!$B$4,IF(DG12=2,'[14]SDG^2 values'!$C$4,IF(DG12=3,'[14]SDG^2 values'!$D$4,IF(DG12=4,'[14]SDG^2 values'!$E$4,IF(DG12=5,'[14]SDG^2 values'!$F$4,1)))))</f>
        <v>1.1000000000000001</v>
      </c>
      <c r="DT12" s="52">
        <f>IF(DH12=1,'[14]SDG^2 values'!$B$5,IF(DH12=2,'[14]SDG^2 values'!$C$5,IF(DH12=3,'[14]SDG^2 values'!$D$5,IF(DH12=4,'[14]SDG^2 values'!$E$5,IF(DH12=5,'[14]SDG^2 values'!$F$5,1)))))</f>
        <v>1.02</v>
      </c>
      <c r="DU12" s="52">
        <f>IF(DI12=1,'[14]SDG^2 values'!$B$6,IF(DI12=2,'[14]SDG^2 values'!$C$6,IF(DI12=3,'[14]SDG^2 values'!$D$6,IF(DI12=4,'[14]SDG^2 values'!$E$6,IF(DI12=5,'[14]SDG^2 values'!$F$6,1)))))</f>
        <v>1</v>
      </c>
      <c r="DV12" s="52">
        <f>IF(DJ12=1,'[14]SDG^2 values'!$B$7,IF(DJ12=2,'[14]SDG^2 values'!$C$7,IF(DJ12=3,'[14]SDG^2 values'!$D$7,IF(DJ12=4,'[14]SDG^2 values'!$E$7,IF(DJ12=5,'[14]SDG^2 values'!$F$7,1)))))</f>
        <v>1</v>
      </c>
      <c r="DW12" s="52">
        <f>IF(DK12=1,'[14]SDG^2 values'!$B$8,IF(DK12=2,'[14]SDG^2 values'!$C$8,IF(DK12=3,'[14]SDG^2 values'!$D$8,IF(DK12=4,'[14]SDG^2 values'!$E$8,IF(DK12=5,'[14]SDG^2 values'!$F$8,1)))))</f>
        <v>1</v>
      </c>
      <c r="DX12" s="52">
        <f>IF(DL12=1,'[14]SDG^2 values'!$B$9,IF(DL12=2,'[14]SDG^2 values'!$C$9,IF(DL12=3,'[14]SDG^2 values'!$D$9,IF(DL12=4,'[14]SDG^2 values'!$E$9,IF(DL12=5,'[14]SDG^2 values'!$F$9,1)))))</f>
        <v>1.05</v>
      </c>
    </row>
    <row r="13" spans="1:128" ht="18" customHeight="1">
      <c r="A13" s="464" t="s">
        <v>721</v>
      </c>
      <c r="B13" s="168"/>
      <c r="C13" s="151"/>
      <c r="D13" s="152" t="s">
        <v>526</v>
      </c>
      <c r="E13" s="153" t="s">
        <v>402</v>
      </c>
      <c r="F13" s="144" t="str">
        <f>IF(OR(D13="4",E13="4"),INDEX([14]NamesElementary!$B$1:$B$65536,MATCH(A13,[14]NamesElementary!$A$1:$A$65536,0),1),INDEX([14]Names!$J$1:$J$65602,MATCH(A13,[14]Names!$F$1:$F$65602,0),1))</f>
        <v>280 kWp flat-roof installation, single-Si, on roof</v>
      </c>
      <c r="G13" s="125" t="str">
        <f>IF(OR(D13="4",E13="4"),"-",INDEX([14]Names!$K$1:$K$65602,MATCH(A13,[14]Names!$F$1:$F$65602,0),1))</f>
        <v>CH</v>
      </c>
      <c r="H13" s="154" t="str">
        <f>IF(OR(D13="4",E13="4"),INDEX([14]NamesElementary!$D$1:$D$65536,MATCH($A13,[14]NamesElementary!$A$1:$A$65536,0),1),"-")</f>
        <v>-</v>
      </c>
      <c r="I13" s="123" t="str">
        <f>IF(OR(D13="4",E13="4"),INDEX([14]NamesElementary!$E$1:$E$65536,MATCH($A13,[14]NamesElementary!$A$1:$A$65536,0),1),"-")</f>
        <v>-</v>
      </c>
      <c r="J13" s="124">
        <f>IF(OR(D13="4",E13="4"),"-",INDEX([14]Names!$N$1:$N$65602,MATCH(A13,[14]Names!$F$1:$F$65602,0),1))</f>
        <v>1</v>
      </c>
      <c r="K13" s="125" t="str">
        <f>IF(OR(D13="4",E13="4"),INDEX([14]NamesElementary!$G$1:$G$65536,MATCH(A13,[14]NamesElementary!$A$1:$A$65536,0),1),INDEX([14]Names!$O$1:$O$65602,MATCH(A13,[14]Names!$F$1:$F$65602,0),1))</f>
        <v>unit</v>
      </c>
      <c r="L13" s="165">
        <v>0</v>
      </c>
      <c r="M13" s="29">
        <f t="shared" si="0"/>
        <v>1</v>
      </c>
      <c r="N13" s="1">
        <f t="shared" si="1"/>
        <v>1.2365959919080913</v>
      </c>
      <c r="O13" s="139" t="str">
        <f t="shared" si="2"/>
        <v xml:space="preserve">(3,2,1,1,1,3); </v>
      </c>
      <c r="P13" s="155">
        <v>0</v>
      </c>
      <c r="Q13" s="29">
        <f t="shared" si="3"/>
        <v>1</v>
      </c>
      <c r="R13" s="1">
        <f t="shared" si="4"/>
        <v>1.2365959919080913</v>
      </c>
      <c r="S13" s="139" t="str">
        <f t="shared" si="5"/>
        <v xml:space="preserve">(3,2,1,1,1,3); </v>
      </c>
      <c r="T13" s="155">
        <v>0</v>
      </c>
      <c r="U13" s="29">
        <f t="shared" si="6"/>
        <v>1</v>
      </c>
      <c r="V13" s="1">
        <f t="shared" si="7"/>
        <v>1.2365959919080913</v>
      </c>
      <c r="W13" s="139" t="str">
        <f t="shared" si="8"/>
        <v xml:space="preserve">(3,2,1,1,1,3); </v>
      </c>
      <c r="X13" s="155">
        <v>0</v>
      </c>
      <c r="Y13" s="29">
        <f t="shared" si="9"/>
        <v>1</v>
      </c>
      <c r="Z13" s="1">
        <f t="shared" si="10"/>
        <v>1.2365959919080913</v>
      </c>
      <c r="AA13" s="139" t="str">
        <f t="shared" si="11"/>
        <v xml:space="preserve">(3,2,1,1,1,3); </v>
      </c>
      <c r="AB13" s="155">
        <v>0</v>
      </c>
      <c r="AC13" s="29">
        <f t="shared" si="12"/>
        <v>1</v>
      </c>
      <c r="AD13" s="1">
        <f t="shared" si="13"/>
        <v>1.2365959919080913</v>
      </c>
      <c r="AE13" s="139" t="str">
        <f t="shared" si="14"/>
        <v xml:space="preserve">(3,2,1,1,1,3); </v>
      </c>
      <c r="AF13" s="155">
        <v>0</v>
      </c>
      <c r="AG13" s="29">
        <f t="shared" si="15"/>
        <v>1</v>
      </c>
      <c r="AH13" s="1">
        <f t="shared" si="16"/>
        <v>1.2365959919080913</v>
      </c>
      <c r="AI13" s="139" t="str">
        <f t="shared" si="17"/>
        <v xml:space="preserve">(3,2,1,1,1,3); </v>
      </c>
      <c r="AJ13" s="155">
        <v>0</v>
      </c>
      <c r="AK13" s="29">
        <f t="shared" si="18"/>
        <v>1</v>
      </c>
      <c r="AL13" s="1">
        <f t="shared" si="19"/>
        <v>1.2365959919080913</v>
      </c>
      <c r="AM13" s="31" t="str">
        <f t="shared" si="20"/>
        <v xml:space="preserve">(3,2,1,1,1,3); </v>
      </c>
      <c r="AN13" s="155">
        <v>0</v>
      </c>
      <c r="AO13" s="29">
        <f t="shared" si="21"/>
        <v>1</v>
      </c>
      <c r="AP13" s="1">
        <f t="shared" si="22"/>
        <v>1.2365959919080913</v>
      </c>
      <c r="AQ13" s="139" t="str">
        <f t="shared" si="23"/>
        <v xml:space="preserve">(3,2,1,1,1,3); </v>
      </c>
      <c r="AR13" s="155">
        <v>0</v>
      </c>
      <c r="AS13" s="29">
        <f t="shared" si="24"/>
        <v>1</v>
      </c>
      <c r="AT13" s="1">
        <f t="shared" si="25"/>
        <v>1.2365959919080913</v>
      </c>
      <c r="AU13" s="31" t="str">
        <f t="shared" si="26"/>
        <v xml:space="preserve">(3,2,1,1,1,3); </v>
      </c>
      <c r="AV13" s="155">
        <v>0</v>
      </c>
      <c r="AW13" s="29">
        <f t="shared" si="27"/>
        <v>1</v>
      </c>
      <c r="AX13" s="1">
        <f t="shared" si="28"/>
        <v>1.2365959919080913</v>
      </c>
      <c r="AY13" s="139" t="str">
        <f t="shared" si="29"/>
        <v xml:space="preserve">(3,2,1,1,1,3); </v>
      </c>
      <c r="AZ13" s="155">
        <v>0</v>
      </c>
      <c r="BA13" s="29">
        <f t="shared" si="30"/>
        <v>1</v>
      </c>
      <c r="BB13" s="1">
        <f t="shared" si="31"/>
        <v>1.2365959919080913</v>
      </c>
      <c r="BC13" s="139" t="str">
        <f t="shared" si="32"/>
        <v xml:space="preserve">(3,2,1,1,1,3); </v>
      </c>
      <c r="BD13" s="155">
        <v>0</v>
      </c>
      <c r="BE13" s="29">
        <f t="shared" si="33"/>
        <v>1</v>
      </c>
      <c r="BF13" s="1">
        <f t="shared" si="34"/>
        <v>1.2365959919080913</v>
      </c>
      <c r="BG13" s="139" t="str">
        <f t="shared" si="35"/>
        <v xml:space="preserve">(3,2,1,1,1,3); </v>
      </c>
      <c r="BH13" s="29">
        <f t="shared" si="36"/>
        <v>1</v>
      </c>
      <c r="BI13" s="1">
        <f t="shared" si="37"/>
        <v>1.2365959919080913</v>
      </c>
      <c r="BJ13" s="139" t="str">
        <f t="shared" si="38"/>
        <v xml:space="preserve">(3,2,1,1,1,3); </v>
      </c>
      <c r="BK13" s="155">
        <v>0</v>
      </c>
      <c r="BL13" s="29">
        <f t="shared" si="39"/>
        <v>1</v>
      </c>
      <c r="BM13" s="1">
        <f t="shared" si="40"/>
        <v>1.2365959919080913</v>
      </c>
      <c r="BN13" s="139" t="str">
        <f t="shared" si="41"/>
        <v xml:space="preserve">(3,2,1,1,1,3); </v>
      </c>
      <c r="BO13" s="155">
        <v>0</v>
      </c>
      <c r="BP13" s="29">
        <f t="shared" si="42"/>
        <v>1</v>
      </c>
      <c r="BQ13" s="1">
        <f t="shared" si="43"/>
        <v>1.2365959919080913</v>
      </c>
      <c r="BR13" s="139" t="str">
        <f t="shared" si="44"/>
        <v xml:space="preserve">(3,2,1,1,1,3); </v>
      </c>
      <c r="BS13" s="155">
        <v>0</v>
      </c>
      <c r="BT13" s="29">
        <f t="shared" si="45"/>
        <v>1</v>
      </c>
      <c r="BU13" s="1">
        <f t="shared" si="46"/>
        <v>1.2365959919080913</v>
      </c>
      <c r="BV13" s="139" t="str">
        <f t="shared" si="47"/>
        <v xml:space="preserve">(3,2,1,1,1,3); </v>
      </c>
      <c r="BW13" s="155">
        <v>0</v>
      </c>
      <c r="BX13" s="29">
        <f t="shared" si="48"/>
        <v>1</v>
      </c>
      <c r="BY13" s="1">
        <f t="shared" si="49"/>
        <v>1.2365959919080913</v>
      </c>
      <c r="BZ13" s="31" t="str">
        <f>DQ13&amp;"; "&amp;DF13</f>
        <v xml:space="preserve">(3,2,1,1,1,3); </v>
      </c>
      <c r="CA13" s="155">
        <f t="shared" si="73"/>
        <v>0</v>
      </c>
      <c r="CB13" s="29">
        <f t="shared" si="50"/>
        <v>1</v>
      </c>
      <c r="CC13" s="1">
        <f t="shared" si="51"/>
        <v>1.2365959919080913</v>
      </c>
      <c r="CD13" s="139" t="str">
        <f t="shared" si="63"/>
        <v xml:space="preserve">(3,2,1,1,1,3); </v>
      </c>
      <c r="CE13" s="155">
        <f t="shared" si="74"/>
        <v>0</v>
      </c>
      <c r="CF13" s="29">
        <f t="shared" si="52"/>
        <v>1</v>
      </c>
      <c r="CG13" s="1">
        <f t="shared" si="53"/>
        <v>1.2365959919080913</v>
      </c>
      <c r="CH13" s="139" t="str">
        <f t="shared" si="64"/>
        <v xml:space="preserve">(3,2,1,1,1,3); </v>
      </c>
      <c r="CI13" s="155">
        <f t="shared" si="75"/>
        <v>0</v>
      </c>
      <c r="CJ13" s="29">
        <f t="shared" si="54"/>
        <v>1</v>
      </c>
      <c r="CK13" s="1">
        <f t="shared" si="55"/>
        <v>1.2365959919080913</v>
      </c>
      <c r="CL13" s="139" t="str">
        <f t="shared" si="65"/>
        <v xml:space="preserve">(3,2,1,1,1,3); </v>
      </c>
      <c r="CM13" s="155">
        <f t="shared" si="76"/>
        <v>0</v>
      </c>
      <c r="CN13" s="29">
        <f t="shared" si="56"/>
        <v>1</v>
      </c>
      <c r="CO13" s="1">
        <f t="shared" si="57"/>
        <v>1.2365959919080913</v>
      </c>
      <c r="CP13" s="139" t="str">
        <f t="shared" si="66"/>
        <v xml:space="preserve">(3,2,1,1,1,3); </v>
      </c>
      <c r="CQ13" s="155">
        <f t="shared" si="77"/>
        <v>0</v>
      </c>
      <c r="CR13" s="29">
        <f t="shared" si="58"/>
        <v>1</v>
      </c>
      <c r="CS13" s="1">
        <f t="shared" si="59"/>
        <v>1.2365959919080913</v>
      </c>
      <c r="CT13" s="139" t="str">
        <f t="shared" si="67"/>
        <v xml:space="preserve">(3,2,1,1,1,3); </v>
      </c>
      <c r="CU13" s="155">
        <f t="shared" si="79"/>
        <v>0</v>
      </c>
      <c r="CV13" s="29">
        <f t="shared" si="60"/>
        <v>1</v>
      </c>
      <c r="CW13" s="1">
        <f t="shared" si="61"/>
        <v>1.2365959919080913</v>
      </c>
      <c r="CX13" s="139" t="str">
        <f t="shared" si="68"/>
        <v xml:space="preserve">(3,2,1,1,1,3); </v>
      </c>
      <c r="CY13" s="155" t="e">
        <f>1/(lifetime*323000)*DC13</f>
        <v>#REF!</v>
      </c>
      <c r="CZ13" s="29">
        <v>1</v>
      </c>
      <c r="DA13" s="1">
        <f t="shared" si="69"/>
        <v>1.2365959919080913</v>
      </c>
      <c r="DB13" s="31" t="str">
        <f>DQ13&amp;"; average yield, estimation for share of technologies. Basic uncertainty = "&amp;DN13</f>
        <v>(3,2,1,1,1,3); average yield, estimation for share of technologies. Basic uncertainty = 1.2</v>
      </c>
      <c r="DC13" s="287" t="e">
        <f>#REF!</f>
        <v>#REF!</v>
      </c>
      <c r="DD13" s="468">
        <v>2077.4</v>
      </c>
      <c r="DE13" s="287"/>
      <c r="DF13" s="115"/>
      <c r="DG13" s="10">
        <v>3</v>
      </c>
      <c r="DH13" s="50">
        <v>2</v>
      </c>
      <c r="DI13" s="50">
        <v>1</v>
      </c>
      <c r="DJ13" s="50">
        <v>1</v>
      </c>
      <c r="DK13" s="50">
        <v>1</v>
      </c>
      <c r="DL13" s="50">
        <v>3</v>
      </c>
      <c r="DM13" s="50">
        <f>IF(OR($D13="4",$E13="4"),INDEX([14]NamesElementary!$J$1:$J$65536,MATCH($A13,[14]NamesElementary!$A$1:$A$65536,0),1),INDEX([14]Names!$W$1:$W$65602,MATCH($A13,[14]Names!$F$1:$F$65602,0),1))</f>
        <v>9</v>
      </c>
      <c r="DN13" s="312">
        <f t="shared" si="78"/>
        <v>1.2</v>
      </c>
      <c r="DO13" s="87">
        <f>EXP(SQRT((LN(DS13)^2)+(LN(DT13)^2)+(LN(DU13)^2)+(LN(DV13)^2)+(LN(DW13)^2)+(LN(DX13)^2)))</f>
        <v>1.1150377561073679</v>
      </c>
      <c r="DP13" s="88">
        <f>EXP(SQRT((LN(DS13)^2)+(LN(DT13)^2)+(LN(DU13)^2)+(LN(DV13)^2)+(LN(DW13)^2)+(LN(DX13)^2)+LN(DN13)^2))</f>
        <v>1.2365959919080913</v>
      </c>
      <c r="DQ13" s="89" t="str">
        <f>CONCATENATE("(",DG13,",",DH13,",",DI13,",",DJ13,",",DK13,",",DL13,")")</f>
        <v>(3,2,1,1,1,3)</v>
      </c>
      <c r="DS13" s="52">
        <f>IF(DG13=1,'[14]SDG^2 values'!$B$4,IF(DG13=2,'[14]SDG^2 values'!$C$4,IF(DG13=3,'[14]SDG^2 values'!$D$4,IF(DG13=4,'[14]SDG^2 values'!$E$4,IF(DG13=5,'[14]SDG^2 values'!$F$4,1)))))</f>
        <v>1.1000000000000001</v>
      </c>
      <c r="DT13" s="52">
        <f>IF(DH13=1,'[14]SDG^2 values'!$B$5,IF(DH13=2,'[14]SDG^2 values'!$C$5,IF(DH13=3,'[14]SDG^2 values'!$D$5,IF(DH13=4,'[14]SDG^2 values'!$E$5,IF(DH13=5,'[14]SDG^2 values'!$F$5,1)))))</f>
        <v>1.02</v>
      </c>
      <c r="DU13" s="52">
        <f>IF(DI13=1,'[14]SDG^2 values'!$B$6,IF(DI13=2,'[14]SDG^2 values'!$C$6,IF(DI13=3,'[14]SDG^2 values'!$D$6,IF(DI13=4,'[14]SDG^2 values'!$E$6,IF(DI13=5,'[14]SDG^2 values'!$F$6,1)))))</f>
        <v>1</v>
      </c>
      <c r="DV13" s="52">
        <f>IF(DJ13=1,'[14]SDG^2 values'!$B$7,IF(DJ13=2,'[14]SDG^2 values'!$C$7,IF(DJ13=3,'[14]SDG^2 values'!$D$7,IF(DJ13=4,'[14]SDG^2 values'!$E$7,IF(DJ13=5,'[14]SDG^2 values'!$F$7,1)))))</f>
        <v>1</v>
      </c>
      <c r="DW13" s="52">
        <f>IF(DK13=1,'[14]SDG^2 values'!$B$8,IF(DK13=2,'[14]SDG^2 values'!$C$8,IF(DK13=3,'[14]SDG^2 values'!$D$8,IF(DK13=4,'[14]SDG^2 values'!$E$8,IF(DK13=5,'[14]SDG^2 values'!$F$8,1)))))</f>
        <v>1</v>
      </c>
      <c r="DX13" s="52">
        <f>IF(DL13=1,'[14]SDG^2 values'!$B$9,IF(DL13=2,'[14]SDG^2 values'!$C$9,IF(DL13=3,'[14]SDG^2 values'!$D$9,IF(DL13=4,'[14]SDG^2 values'!$E$9,IF(DL13=5,'[14]SDG^2 values'!$F$9,1)))))</f>
        <v>1.05</v>
      </c>
    </row>
    <row r="14" spans="1:128" ht="18" customHeight="1">
      <c r="A14" s="464" t="s">
        <v>722</v>
      </c>
      <c r="B14" s="168"/>
      <c r="C14" s="151"/>
      <c r="D14" s="152" t="s">
        <v>526</v>
      </c>
      <c r="E14" s="153" t="s">
        <v>402</v>
      </c>
      <c r="F14" s="144" t="str">
        <f>IF(OR(D14="4",E14="4"),INDEX([14]NamesElementary!$B$1:$B$65536,MATCH(A14,[14]NamesElementary!$A$1:$A$65536,0),1),INDEX([14]Names!$J$1:$J$65602,MATCH(A14,[14]Names!$F$1:$F$65602,0),1))</f>
        <v>1.3 MWp slanted-roof installation, multi-Si, panel, mounted, on roof</v>
      </c>
      <c r="G14" s="125" t="str">
        <f>IF(OR(D14="4",E14="4"),"-",INDEX([14]Names!$K$1:$K$65602,MATCH(A14,[14]Names!$F$1:$F$65602,0),1))</f>
        <v>CH</v>
      </c>
      <c r="H14" s="154" t="str">
        <f>IF(OR(D14="4",E14="4"),INDEX([14]NamesElementary!$D$1:$D$65536,MATCH($A14,[14]NamesElementary!$A$1:$A$65536,0),1),"-")</f>
        <v>-</v>
      </c>
      <c r="I14" s="123" t="str">
        <f>IF(OR(D14="4",E14="4"),INDEX([14]NamesElementary!$E$1:$E$65536,MATCH($A14,[14]NamesElementary!$A$1:$A$65536,0),1),"-")</f>
        <v>-</v>
      </c>
      <c r="J14" s="124">
        <f>IF(OR(D14="4",E14="4"),"-",INDEX([14]Names!$N$1:$N$65602,MATCH(A14,[14]Names!$F$1:$F$65602,0),1))</f>
        <v>1</v>
      </c>
      <c r="K14" s="125" t="str">
        <f>IF(OR(D14="4",E14="4"),INDEX([14]NamesElementary!$G$1:$G$65536,MATCH(A14,[14]NamesElementary!$A$1:$A$65536,0),1),INDEX([14]Names!$O$1:$O$65602,MATCH(A14,[14]Names!$F$1:$F$65602,0),1))</f>
        <v>unit</v>
      </c>
      <c r="L14" s="165">
        <v>0</v>
      </c>
      <c r="M14" s="29">
        <f t="shared" si="0"/>
        <v>1</v>
      </c>
      <c r="N14" s="1">
        <f t="shared" si="1"/>
        <v>1.2365959919080913</v>
      </c>
      <c r="O14" s="139" t="str">
        <f t="shared" si="2"/>
        <v xml:space="preserve">(3,2,1,1,1,3); </v>
      </c>
      <c r="P14" s="155">
        <v>0</v>
      </c>
      <c r="Q14" s="29">
        <f t="shared" si="3"/>
        <v>1</v>
      </c>
      <c r="R14" s="1">
        <f t="shared" si="4"/>
        <v>1.2365959919080913</v>
      </c>
      <c r="S14" s="139" t="str">
        <f t="shared" si="5"/>
        <v xml:space="preserve">(3,2,1,1,1,3); </v>
      </c>
      <c r="T14" s="155">
        <v>0</v>
      </c>
      <c r="U14" s="29">
        <f t="shared" si="6"/>
        <v>1</v>
      </c>
      <c r="V14" s="1">
        <f t="shared" si="7"/>
        <v>1.2365959919080913</v>
      </c>
      <c r="W14" s="139" t="str">
        <f t="shared" si="8"/>
        <v xml:space="preserve">(3,2,1,1,1,3); </v>
      </c>
      <c r="X14" s="155">
        <v>0</v>
      </c>
      <c r="Y14" s="29">
        <f t="shared" si="9"/>
        <v>1</v>
      </c>
      <c r="Z14" s="1">
        <f t="shared" si="10"/>
        <v>1.2365959919080913</v>
      </c>
      <c r="AA14" s="139" t="str">
        <f t="shared" si="11"/>
        <v xml:space="preserve">(3,2,1,1,1,3); </v>
      </c>
      <c r="AB14" s="155">
        <v>0</v>
      </c>
      <c r="AC14" s="29">
        <f t="shared" si="12"/>
        <v>1</v>
      </c>
      <c r="AD14" s="1">
        <f t="shared" si="13"/>
        <v>1.2365959919080913</v>
      </c>
      <c r="AE14" s="139" t="str">
        <f t="shared" si="14"/>
        <v xml:space="preserve">(3,2,1,1,1,3); </v>
      </c>
      <c r="AF14" s="155">
        <v>0</v>
      </c>
      <c r="AG14" s="29">
        <f t="shared" si="15"/>
        <v>1</v>
      </c>
      <c r="AH14" s="1">
        <f t="shared" si="16"/>
        <v>1.2365959919080913</v>
      </c>
      <c r="AI14" s="139" t="str">
        <f t="shared" si="17"/>
        <v xml:space="preserve">(3,2,1,1,1,3); </v>
      </c>
      <c r="AJ14" s="155">
        <v>0</v>
      </c>
      <c r="AK14" s="29">
        <f t="shared" si="18"/>
        <v>1</v>
      </c>
      <c r="AL14" s="1">
        <f t="shared" si="19"/>
        <v>1.2365959919080913</v>
      </c>
      <c r="AM14" s="31" t="str">
        <f t="shared" si="20"/>
        <v xml:space="preserve">(3,2,1,1,1,3); </v>
      </c>
      <c r="AN14" s="155">
        <v>0</v>
      </c>
      <c r="AO14" s="29">
        <f t="shared" si="21"/>
        <v>1</v>
      </c>
      <c r="AP14" s="1">
        <f t="shared" si="22"/>
        <v>1.2365959919080913</v>
      </c>
      <c r="AQ14" s="139" t="str">
        <f t="shared" si="23"/>
        <v xml:space="preserve">(3,2,1,1,1,3); </v>
      </c>
      <c r="AR14" s="155">
        <v>0</v>
      </c>
      <c r="AS14" s="29">
        <f t="shared" si="24"/>
        <v>1</v>
      </c>
      <c r="AT14" s="1">
        <f t="shared" si="25"/>
        <v>1.2365959919080913</v>
      </c>
      <c r="AU14" s="31" t="str">
        <f t="shared" si="26"/>
        <v xml:space="preserve">(3,2,1,1,1,3); </v>
      </c>
      <c r="AV14" s="155">
        <v>0</v>
      </c>
      <c r="AW14" s="29">
        <f t="shared" si="27"/>
        <v>1</v>
      </c>
      <c r="AX14" s="1">
        <f t="shared" si="28"/>
        <v>1.2365959919080913</v>
      </c>
      <c r="AY14" s="139" t="str">
        <f t="shared" si="29"/>
        <v xml:space="preserve">(3,2,1,1,1,3); </v>
      </c>
      <c r="AZ14" s="155">
        <v>0</v>
      </c>
      <c r="BA14" s="29">
        <f t="shared" si="30"/>
        <v>1</v>
      </c>
      <c r="BB14" s="1">
        <f t="shared" si="31"/>
        <v>1.2365959919080913</v>
      </c>
      <c r="BC14" s="139" t="str">
        <f t="shared" si="32"/>
        <v xml:space="preserve">(3,2,1,1,1,3); </v>
      </c>
      <c r="BD14" s="155">
        <v>0</v>
      </c>
      <c r="BE14" s="29">
        <f t="shared" si="33"/>
        <v>1</v>
      </c>
      <c r="BF14" s="1">
        <f t="shared" si="34"/>
        <v>1.2365959919080913</v>
      </c>
      <c r="BG14" s="139" t="str">
        <f t="shared" si="35"/>
        <v xml:space="preserve">(3,2,1,1,1,3); </v>
      </c>
      <c r="BH14" s="29">
        <f t="shared" si="36"/>
        <v>1</v>
      </c>
      <c r="BI14" s="1">
        <f t="shared" si="37"/>
        <v>1.2365959919080913</v>
      </c>
      <c r="BJ14" s="139" t="str">
        <f t="shared" si="38"/>
        <v xml:space="preserve">(3,2,1,1,1,3); </v>
      </c>
      <c r="BK14" s="155">
        <v>0</v>
      </c>
      <c r="BL14" s="29">
        <f t="shared" si="39"/>
        <v>1</v>
      </c>
      <c r="BM14" s="1">
        <f t="shared" si="40"/>
        <v>1.2365959919080913</v>
      </c>
      <c r="BN14" s="139" t="str">
        <f t="shared" si="41"/>
        <v xml:space="preserve">(3,2,1,1,1,3); </v>
      </c>
      <c r="BO14" s="155">
        <v>0</v>
      </c>
      <c r="BP14" s="29">
        <f t="shared" si="42"/>
        <v>1</v>
      </c>
      <c r="BQ14" s="1">
        <f t="shared" si="43"/>
        <v>1.2365959919080913</v>
      </c>
      <c r="BR14" s="139" t="str">
        <f t="shared" si="44"/>
        <v xml:space="preserve">(3,2,1,1,1,3); </v>
      </c>
      <c r="BS14" s="155">
        <v>0</v>
      </c>
      <c r="BT14" s="29">
        <f t="shared" si="45"/>
        <v>1</v>
      </c>
      <c r="BU14" s="1">
        <f t="shared" si="46"/>
        <v>1.2365959919080913</v>
      </c>
      <c r="BV14" s="139" t="str">
        <f t="shared" si="47"/>
        <v xml:space="preserve">(3,2,1,1,1,3); </v>
      </c>
      <c r="BW14" s="155">
        <v>0</v>
      </c>
      <c r="BX14" s="29">
        <f t="shared" si="48"/>
        <v>1</v>
      </c>
      <c r="BY14" s="1">
        <f t="shared" si="49"/>
        <v>1.2365959919080913</v>
      </c>
      <c r="BZ14" s="31" t="str">
        <f>DQ14&amp;"; "&amp;DF14</f>
        <v xml:space="preserve">(3,2,1,1,1,3); </v>
      </c>
      <c r="CA14" s="155">
        <f t="shared" si="73"/>
        <v>0</v>
      </c>
      <c r="CB14" s="29">
        <f t="shared" si="50"/>
        <v>1</v>
      </c>
      <c r="CC14" s="1">
        <f t="shared" si="51"/>
        <v>1.2365959919080913</v>
      </c>
      <c r="CD14" s="139" t="str">
        <f t="shared" si="63"/>
        <v xml:space="preserve">(3,2,1,1,1,3); </v>
      </c>
      <c r="CE14" s="155">
        <f t="shared" si="74"/>
        <v>0</v>
      </c>
      <c r="CF14" s="29">
        <f t="shared" si="52"/>
        <v>1</v>
      </c>
      <c r="CG14" s="1">
        <f t="shared" si="53"/>
        <v>1.2365959919080913</v>
      </c>
      <c r="CH14" s="139" t="str">
        <f t="shared" si="64"/>
        <v xml:space="preserve">(3,2,1,1,1,3); </v>
      </c>
      <c r="CI14" s="155">
        <f t="shared" si="75"/>
        <v>0</v>
      </c>
      <c r="CJ14" s="29">
        <f t="shared" si="54"/>
        <v>1</v>
      </c>
      <c r="CK14" s="1">
        <f t="shared" si="55"/>
        <v>1.2365959919080913</v>
      </c>
      <c r="CL14" s="139" t="str">
        <f t="shared" si="65"/>
        <v xml:space="preserve">(3,2,1,1,1,3); </v>
      </c>
      <c r="CM14" s="155">
        <f t="shared" si="76"/>
        <v>0</v>
      </c>
      <c r="CN14" s="29">
        <f t="shared" si="56"/>
        <v>1</v>
      </c>
      <c r="CO14" s="1">
        <f t="shared" si="57"/>
        <v>1.2365959919080913</v>
      </c>
      <c r="CP14" s="139" t="str">
        <f t="shared" si="66"/>
        <v xml:space="preserve">(3,2,1,1,1,3); </v>
      </c>
      <c r="CQ14" s="155">
        <f t="shared" si="77"/>
        <v>0</v>
      </c>
      <c r="CR14" s="29">
        <f t="shared" si="58"/>
        <v>1</v>
      </c>
      <c r="CS14" s="1">
        <f t="shared" si="59"/>
        <v>1.2365959919080913</v>
      </c>
      <c r="CT14" s="139" t="str">
        <f t="shared" si="67"/>
        <v xml:space="preserve">(3,2,1,1,1,3); </v>
      </c>
      <c r="CU14" s="155">
        <f t="shared" si="79"/>
        <v>0</v>
      </c>
      <c r="CV14" s="29">
        <f t="shared" si="60"/>
        <v>1</v>
      </c>
      <c r="CW14" s="1">
        <f t="shared" si="61"/>
        <v>1.2365959919080913</v>
      </c>
      <c r="CX14" s="139" t="str">
        <f t="shared" si="68"/>
        <v xml:space="preserve">(3,2,1,1,1,3); </v>
      </c>
      <c r="CY14" s="155" t="e">
        <f>1/(lifetime*1300*1000)*DC14</f>
        <v>#REF!</v>
      </c>
      <c r="CZ14" s="29">
        <v>1</v>
      </c>
      <c r="DA14" s="1">
        <f t="shared" si="69"/>
        <v>1.2365959919080913</v>
      </c>
      <c r="DB14" s="31" t="str">
        <f>DQ14&amp;"; average yield, estimation for share of technologies. Basic uncertainty = "&amp;DN14</f>
        <v>(3,2,1,1,1,3); average yield, estimation for share of technologies. Basic uncertainty = 1.2</v>
      </c>
      <c r="DC14" s="287" t="e">
        <f>#REF!</f>
        <v>#REF!</v>
      </c>
      <c r="DD14" s="468">
        <v>10126</v>
      </c>
      <c r="DE14" s="287"/>
      <c r="DF14" s="115"/>
      <c r="DG14" s="10">
        <v>3</v>
      </c>
      <c r="DH14" s="50">
        <v>2</v>
      </c>
      <c r="DI14" s="50">
        <v>1</v>
      </c>
      <c r="DJ14" s="50">
        <v>1</v>
      </c>
      <c r="DK14" s="50">
        <v>1</v>
      </c>
      <c r="DL14" s="50">
        <v>3</v>
      </c>
      <c r="DM14" s="50">
        <f>IF(OR($D14="4",$E14="4"),INDEX([14]NamesElementary!$J$1:$J$65536,MATCH($A14,[14]NamesElementary!$A$1:$A$65536,0),1),INDEX([14]Names!$W$1:$W$65602,MATCH($A14,[14]Names!$F$1:$F$65602,0),1))</f>
        <v>9</v>
      </c>
      <c r="DN14" s="312">
        <f t="shared" si="78"/>
        <v>1.2</v>
      </c>
      <c r="DO14" s="87">
        <f>EXP(SQRT((LN(DS14)^2)+(LN(DT14)^2)+(LN(DU14)^2)+(LN(DV14)^2)+(LN(DW14)^2)+(LN(DX14)^2)))</f>
        <v>1.1150377561073679</v>
      </c>
      <c r="DP14" s="88">
        <f>EXP(SQRT((LN(DS14)^2)+(LN(DT14)^2)+(LN(DU14)^2)+(LN(DV14)^2)+(LN(DW14)^2)+(LN(DX14)^2)+LN(DN14)^2))</f>
        <v>1.2365959919080913</v>
      </c>
      <c r="DQ14" s="89" t="str">
        <f>CONCATENATE("(",DG14,",",DH14,",",DI14,",",DJ14,",",DK14,",",DL14,")")</f>
        <v>(3,2,1,1,1,3)</v>
      </c>
      <c r="DS14" s="52">
        <f>IF(DG14=1,'[14]SDG^2 values'!$B$4,IF(DG14=2,'[14]SDG^2 values'!$C$4,IF(DG14=3,'[14]SDG^2 values'!$D$4,IF(DG14=4,'[14]SDG^2 values'!$E$4,IF(DG14=5,'[14]SDG^2 values'!$F$4,1)))))</f>
        <v>1.1000000000000001</v>
      </c>
      <c r="DT14" s="52">
        <f>IF(DH14=1,'[14]SDG^2 values'!$B$5,IF(DH14=2,'[14]SDG^2 values'!$C$5,IF(DH14=3,'[14]SDG^2 values'!$D$5,IF(DH14=4,'[14]SDG^2 values'!$E$5,IF(DH14=5,'[14]SDG^2 values'!$F$5,1)))))</f>
        <v>1.02</v>
      </c>
      <c r="DU14" s="52">
        <f>IF(DI14=1,'[14]SDG^2 values'!$B$6,IF(DI14=2,'[14]SDG^2 values'!$C$6,IF(DI14=3,'[14]SDG^2 values'!$D$6,IF(DI14=4,'[14]SDG^2 values'!$E$6,IF(DI14=5,'[14]SDG^2 values'!$F$6,1)))))</f>
        <v>1</v>
      </c>
      <c r="DV14" s="52">
        <f>IF(DJ14=1,'[14]SDG^2 values'!$B$7,IF(DJ14=2,'[14]SDG^2 values'!$C$7,IF(DJ14=3,'[14]SDG^2 values'!$D$7,IF(DJ14=4,'[14]SDG^2 values'!$E$7,IF(DJ14=5,'[14]SDG^2 values'!$F$7,1)))))</f>
        <v>1</v>
      </c>
      <c r="DW14" s="52">
        <f>IF(DK14=1,'[14]SDG^2 values'!$B$8,IF(DK14=2,'[14]SDG^2 values'!$C$8,IF(DK14=3,'[14]SDG^2 values'!$D$8,IF(DK14=4,'[14]SDG^2 values'!$E$8,IF(DK14=5,'[14]SDG^2 values'!$F$8,1)))))</f>
        <v>1</v>
      </c>
      <c r="DX14" s="52">
        <f>IF(DL14=1,'[14]SDG^2 values'!$B$9,IF(DL14=2,'[14]SDG^2 values'!$C$9,IF(DL14=3,'[14]SDG^2 values'!$D$9,IF(DL14=4,'[14]SDG^2 values'!$E$9,IF(DL14=5,'[14]SDG^2 values'!$F$9,1)))))</f>
        <v>1.05</v>
      </c>
    </row>
    <row r="15" spans="1:128" ht="18" customHeight="1">
      <c r="A15" s="156">
        <v>1310</v>
      </c>
      <c r="B15" s="168"/>
      <c r="C15" s="151"/>
      <c r="D15" s="152" t="s">
        <v>526</v>
      </c>
      <c r="E15" s="153" t="s">
        <v>402</v>
      </c>
      <c r="F15" s="144" t="str">
        <f>IF(OR(D15="4",E15="4"),INDEX([14]NamesElementary!$B$1:$B$65536,MATCH(A15,[14]NamesElementary!$A$1:$A$65536,0),1),INDEX([14]Names!$J$1:$J$65602,MATCH(A15,[14]Names!$F$1:$F$65602,0),1))</f>
        <v>3kWp facade installation, single-Si, laminated, integrated, at building</v>
      </c>
      <c r="G15" s="125" t="str">
        <f>IF(OR(D15="4",E15="4"),"-",INDEX([14]Names!$K$1:$K$65602,MATCH(A15,[14]Names!$F$1:$F$65602,0),1))</f>
        <v>CH</v>
      </c>
      <c r="H15" s="154" t="str">
        <f>IF(OR(D15="4",E15="4"),INDEX([14]NamesElementary!$D$1:$D$65536,MATCH($A15,[14]NamesElementary!$A$1:$A$65536,0),1),"-")</f>
        <v>-</v>
      </c>
      <c r="I15" s="123" t="str">
        <f>IF(OR(D15="4",E15="4"),INDEX([14]NamesElementary!$E$1:$E$65536,MATCH($A15,[14]NamesElementary!$A$1:$A$65536,0),1),"-")</f>
        <v>-</v>
      </c>
      <c r="J15" s="124">
        <f>IF(OR(D15="4",E15="4"),"-",INDEX([14]Names!$N$1:$N$65602,MATCH(A15,[14]Names!$F$1:$F$65602,0),1))</f>
        <v>1</v>
      </c>
      <c r="K15" s="125" t="str">
        <f>IF(OR(D15="4",E15="4"),INDEX([14]NamesElementary!$G$1:$G$65536,MATCH(A15,[14]NamesElementary!$A$1:$A$65536,0),1),INDEX([14]Names!$O$1:$O$65602,MATCH(A15,[14]Names!$F$1:$F$65602,0),1))</f>
        <v>unit</v>
      </c>
      <c r="L15" s="155" t="e">
        <f>1/(Fassade*3*lifetime)</f>
        <v>#REF!</v>
      </c>
      <c r="M15" s="29">
        <f t="shared" si="0"/>
        <v>1</v>
      </c>
      <c r="N15" s="1">
        <f t="shared" si="1"/>
        <v>1.2365959919080913</v>
      </c>
      <c r="O15" s="139" t="str">
        <f t="shared" si="2"/>
        <v>(3,2,1,1,1,3); yield at good installation, average is lower while optimum would be higher, basic uncertainty = 1.2</v>
      </c>
      <c r="P15" s="155">
        <v>0</v>
      </c>
      <c r="Q15" s="29">
        <f t="shared" si="3"/>
        <v>1</v>
      </c>
      <c r="R15" s="1">
        <f t="shared" si="4"/>
        <v>1.2365959919080913</v>
      </c>
      <c r="S15" s="139" t="str">
        <f t="shared" si="5"/>
        <v>(3,2,1,1,1,3); yield at good installation, average is lower while optimum would be higher, basic uncertainty = 1.2</v>
      </c>
      <c r="T15" s="155">
        <v>0</v>
      </c>
      <c r="U15" s="29">
        <f t="shared" si="6"/>
        <v>1</v>
      </c>
      <c r="V15" s="1">
        <f t="shared" si="7"/>
        <v>1.2365959919080913</v>
      </c>
      <c r="W15" s="139" t="str">
        <f t="shared" si="8"/>
        <v>(3,2,1,1,1,3); yield at good installation, average is lower while optimum would be higher, basic uncertainty = 1.2</v>
      </c>
      <c r="X15" s="155">
        <v>0</v>
      </c>
      <c r="Y15" s="29">
        <f t="shared" si="9"/>
        <v>1</v>
      </c>
      <c r="Z15" s="1">
        <f t="shared" si="10"/>
        <v>1.2365959919080913</v>
      </c>
      <c r="AA15" s="139" t="str">
        <f t="shared" si="11"/>
        <v>(3,2,1,1,1,3); yield at good installation, average is lower while optimum would be higher, basic uncertainty = 1.2</v>
      </c>
      <c r="AB15" s="155">
        <v>0</v>
      </c>
      <c r="AC15" s="29">
        <f t="shared" si="12"/>
        <v>1</v>
      </c>
      <c r="AD15" s="1">
        <f t="shared" si="13"/>
        <v>1.2365959919080913</v>
      </c>
      <c r="AE15" s="139" t="str">
        <f t="shared" si="14"/>
        <v>(3,2,1,1,1,3); yield at good installation, average is lower while optimum would be higher, basic uncertainty = 1.2</v>
      </c>
      <c r="AF15" s="155">
        <v>0</v>
      </c>
      <c r="AG15" s="29">
        <f t="shared" si="15"/>
        <v>1</v>
      </c>
      <c r="AH15" s="1">
        <f t="shared" si="16"/>
        <v>1.2365959919080913</v>
      </c>
      <c r="AI15" s="139" t="str">
        <f t="shared" si="17"/>
        <v>(3,2,1,1,1,3); yield at good installation, average is lower while optimum would be higher, basic uncertainty = 1.2</v>
      </c>
      <c r="AJ15" s="155">
        <v>0</v>
      </c>
      <c r="AK15" s="29">
        <f t="shared" si="18"/>
        <v>1</v>
      </c>
      <c r="AL15" s="1">
        <f t="shared" si="19"/>
        <v>1.2365959919080913</v>
      </c>
      <c r="AM15" s="31" t="str">
        <f t="shared" si="20"/>
        <v>(3,2,1,1,1,3); yield at good installation, average is lower while optimum would be higher, basic uncertainty = 1.2</v>
      </c>
      <c r="AN15" s="155">
        <v>0</v>
      </c>
      <c r="AO15" s="29">
        <f t="shared" si="21"/>
        <v>1</v>
      </c>
      <c r="AP15" s="1">
        <f t="shared" si="22"/>
        <v>1.2365959919080913</v>
      </c>
      <c r="AQ15" s="139" t="str">
        <f t="shared" si="23"/>
        <v>(3,2,1,1,1,3); yield at good installation, average is lower while optimum would be higher, basic uncertainty = 1.2</v>
      </c>
      <c r="AR15" s="155">
        <v>0</v>
      </c>
      <c r="AS15" s="29">
        <f t="shared" si="24"/>
        <v>1</v>
      </c>
      <c r="AT15" s="1">
        <f t="shared" si="25"/>
        <v>1.2365959919080913</v>
      </c>
      <c r="AU15" s="31" t="str">
        <f t="shared" si="26"/>
        <v>(3,2,1,1,1,3); yield at good installation, average is lower while optimum would be higher, basic uncertainty = 1.2</v>
      </c>
      <c r="AV15" s="155">
        <v>0</v>
      </c>
      <c r="AW15" s="29">
        <f t="shared" si="27"/>
        <v>1</v>
      </c>
      <c r="AX15" s="1">
        <f t="shared" si="28"/>
        <v>1.2365959919080913</v>
      </c>
      <c r="AY15" s="139" t="str">
        <f t="shared" si="29"/>
        <v>(3,2,1,1,1,3); yield at good installation, average is lower while optimum would be higher, basic uncertainty = 1.2</v>
      </c>
      <c r="AZ15" s="155">
        <v>0</v>
      </c>
      <c r="BA15" s="29">
        <f t="shared" si="30"/>
        <v>1</v>
      </c>
      <c r="BB15" s="1">
        <f t="shared" si="31"/>
        <v>1.2365959919080913</v>
      </c>
      <c r="BC15" s="139" t="str">
        <f t="shared" si="32"/>
        <v>(3,2,1,1,1,3); yield at good installation, average is lower while optimum would be higher, basic uncertainty = 1.2</v>
      </c>
      <c r="BD15" s="155">
        <v>0</v>
      </c>
      <c r="BE15" s="29">
        <f t="shared" si="33"/>
        <v>1</v>
      </c>
      <c r="BF15" s="1">
        <f t="shared" si="34"/>
        <v>1.2365959919080913</v>
      </c>
      <c r="BG15" s="139" t="str">
        <f t="shared" si="35"/>
        <v>(3,2,1,1,1,3); yield at good installation, average is lower while optimum would be higher, basic uncertainty = 1.2</v>
      </c>
      <c r="BH15" s="29">
        <f t="shared" si="36"/>
        <v>1</v>
      </c>
      <c r="BI15" s="1">
        <f t="shared" si="37"/>
        <v>1.2365959919080913</v>
      </c>
      <c r="BJ15" s="139" t="str">
        <f t="shared" si="38"/>
        <v>(3,2,1,1,1,3); yield at good installation, average is lower while optimum would be higher, basic uncertainty = 1.2</v>
      </c>
      <c r="BK15" s="155">
        <v>0</v>
      </c>
      <c r="BL15" s="29">
        <f t="shared" si="39"/>
        <v>1</v>
      </c>
      <c r="BM15" s="1">
        <f t="shared" si="40"/>
        <v>1.2365959919080913</v>
      </c>
      <c r="BN15" s="139" t="str">
        <f t="shared" si="41"/>
        <v>(3,2,1,1,1,3); yield at good installation, average is lower while optimum would be higher, basic uncertainty = 1.2</v>
      </c>
      <c r="BO15" s="155">
        <v>0</v>
      </c>
      <c r="BP15" s="29">
        <f t="shared" si="42"/>
        <v>1</v>
      </c>
      <c r="BQ15" s="1">
        <f t="shared" si="43"/>
        <v>1.2365959919080913</v>
      </c>
      <c r="BR15" s="139" t="str">
        <f t="shared" si="44"/>
        <v>(3,2,1,1,1,3); yield at good installation, average is lower while optimum would be higher, basic uncertainty = 1.2</v>
      </c>
      <c r="BS15" s="155">
        <v>0</v>
      </c>
      <c r="BT15" s="29">
        <f t="shared" si="45"/>
        <v>1</v>
      </c>
      <c r="BU15" s="1">
        <f t="shared" si="46"/>
        <v>1.2365959919080913</v>
      </c>
      <c r="BV15" s="139" t="str">
        <f t="shared" si="47"/>
        <v>(3,2,1,1,1,3); yield at good installation, average is lower while optimum would be higher, basic uncertainty = 1.2</v>
      </c>
      <c r="BW15" s="155">
        <v>0</v>
      </c>
      <c r="BX15" s="29">
        <f t="shared" si="48"/>
        <v>1</v>
      </c>
      <c r="BY15" s="1">
        <f t="shared" si="49"/>
        <v>1.2365959919080913</v>
      </c>
      <c r="BZ15" s="31" t="str">
        <f t="shared" si="62"/>
        <v>(3,2,1,1,1,3); yield at good installation, average is lower while optimum would be higher, basic uncertainty = 1.2</v>
      </c>
      <c r="CA15" s="155">
        <f t="shared" si="73"/>
        <v>0</v>
      </c>
      <c r="CB15" s="29">
        <f t="shared" si="50"/>
        <v>1</v>
      </c>
      <c r="CC15" s="1">
        <f t="shared" si="51"/>
        <v>1.2365959919080913</v>
      </c>
      <c r="CD15" s="139" t="str">
        <f t="shared" si="63"/>
        <v>(3,2,1,1,1,3); yield at good installation, average is lower while optimum would be higher, basic uncertainty = 1.2</v>
      </c>
      <c r="CE15" s="155">
        <f t="shared" si="74"/>
        <v>0</v>
      </c>
      <c r="CF15" s="29">
        <f t="shared" si="52"/>
        <v>1</v>
      </c>
      <c r="CG15" s="1">
        <f t="shared" si="53"/>
        <v>1.2365959919080913</v>
      </c>
      <c r="CH15" s="139" t="str">
        <f t="shared" si="64"/>
        <v>(3,2,1,1,1,3); yield at good installation, average is lower while optimum would be higher, basic uncertainty = 1.2</v>
      </c>
      <c r="CI15" s="155">
        <f t="shared" si="75"/>
        <v>0</v>
      </c>
      <c r="CJ15" s="29">
        <f t="shared" si="54"/>
        <v>1</v>
      </c>
      <c r="CK15" s="1">
        <f t="shared" si="55"/>
        <v>1.2365959919080913</v>
      </c>
      <c r="CL15" s="139" t="str">
        <f t="shared" si="65"/>
        <v>(3,2,1,1,1,3); yield at good installation, average is lower while optimum would be higher, basic uncertainty = 1.2</v>
      </c>
      <c r="CM15" s="155">
        <f t="shared" si="76"/>
        <v>0</v>
      </c>
      <c r="CN15" s="29">
        <f t="shared" si="56"/>
        <v>1</v>
      </c>
      <c r="CO15" s="1">
        <f t="shared" si="57"/>
        <v>1.2365959919080913</v>
      </c>
      <c r="CP15" s="139" t="str">
        <f t="shared" si="66"/>
        <v>(3,2,1,1,1,3); yield at good installation, average is lower while optimum would be higher, basic uncertainty = 1.2</v>
      </c>
      <c r="CQ15" s="155">
        <f t="shared" si="77"/>
        <v>0</v>
      </c>
      <c r="CR15" s="29">
        <f t="shared" si="58"/>
        <v>1</v>
      </c>
      <c r="CS15" s="1">
        <f t="shared" si="59"/>
        <v>1.2365959919080913</v>
      </c>
      <c r="CT15" s="139" t="str">
        <f t="shared" si="67"/>
        <v>(3,2,1,1,1,3); yield at good installation, average is lower while optimum would be higher, basic uncertainty = 1.2</v>
      </c>
      <c r="CU15" s="155">
        <f t="shared" si="79"/>
        <v>0</v>
      </c>
      <c r="CV15" s="29">
        <f t="shared" si="60"/>
        <v>1</v>
      </c>
      <c r="CW15" s="1">
        <f t="shared" si="61"/>
        <v>1.2365959919080913</v>
      </c>
      <c r="CX15" s="139" t="str">
        <f t="shared" si="68"/>
        <v>(3,2,1,1,1,3); yield at good installation, average is lower while optimum would be higher, basic uncertainty = 1.2</v>
      </c>
      <c r="CY15" s="155" t="e">
        <f>1/(#REF!*3*lifetime)*DC15</f>
        <v>#REF!</v>
      </c>
      <c r="CZ15" s="29">
        <v>1</v>
      </c>
      <c r="DA15" s="1">
        <f t="shared" si="69"/>
        <v>1.2365959919080913</v>
      </c>
      <c r="DB15" s="31" t="str">
        <f t="shared" ref="DB15:DB30" si="80">DQ15&amp;"; average yield, estimation for share of technologies. Basic uncertainty = "&amp;DN15</f>
        <v>(3,2,1,1,1,3); average yield, estimation for share of technologies. Basic uncertainty = 1.2</v>
      </c>
      <c r="DC15" s="287" t="e">
        <f>#REF!</f>
        <v>#REF!</v>
      </c>
      <c r="DD15" s="289" t="e">
        <f>#REF!</f>
        <v>#REF!</v>
      </c>
      <c r="DE15" s="287" t="e">
        <f>#REF!</f>
        <v>#REF!</v>
      </c>
      <c r="DF15" s="115" t="s">
        <v>488</v>
      </c>
      <c r="DG15" s="10">
        <v>3</v>
      </c>
      <c r="DH15" s="50">
        <v>2</v>
      </c>
      <c r="DI15" s="50">
        <v>1</v>
      </c>
      <c r="DJ15" s="50">
        <v>1</v>
      </c>
      <c r="DK15" s="50">
        <v>1</v>
      </c>
      <c r="DL15" s="50">
        <v>3</v>
      </c>
      <c r="DM15" s="50">
        <f>IF(OR($D15="4",$E15="4"),INDEX([14]NamesElementary!$J$1:$J$65536,MATCH($A15,[14]NamesElementary!$A$1:$A$65536,0),1),INDEX([14]Names!$W$1:$W$65602,MATCH($A15,[14]Names!$F$1:$F$65602,0),1))</f>
        <v>9</v>
      </c>
      <c r="DN15" s="312">
        <f t="shared" si="78"/>
        <v>1.2</v>
      </c>
      <c r="DO15" s="87">
        <f t="shared" si="70"/>
        <v>1.1150377561073679</v>
      </c>
      <c r="DP15" s="88">
        <f t="shared" si="71"/>
        <v>1.2365959919080913</v>
      </c>
      <c r="DQ15" s="89" t="str">
        <f t="shared" si="72"/>
        <v>(3,2,1,1,1,3)</v>
      </c>
      <c r="DS15" s="52">
        <f>IF(DG15=1,'[14]SDG^2 values'!$B$4,IF(DG15=2,'[14]SDG^2 values'!$C$4,IF(DG15=3,'[14]SDG^2 values'!$D$4,IF(DG15=4,'[14]SDG^2 values'!$E$4,IF(DG15=5,'[14]SDG^2 values'!$F$4,1)))))</f>
        <v>1.1000000000000001</v>
      </c>
      <c r="DT15" s="52">
        <f>IF(DH15=1,'[14]SDG^2 values'!$B$5,IF(DH15=2,'[14]SDG^2 values'!$C$5,IF(DH15=3,'[14]SDG^2 values'!$D$5,IF(DH15=4,'[14]SDG^2 values'!$E$5,IF(DH15=5,'[14]SDG^2 values'!$F$5,1)))))</f>
        <v>1.02</v>
      </c>
      <c r="DU15" s="52">
        <f>IF(DI15=1,'[14]SDG^2 values'!$B$6,IF(DI15=2,'[14]SDG^2 values'!$C$6,IF(DI15=3,'[14]SDG^2 values'!$D$6,IF(DI15=4,'[14]SDG^2 values'!$E$6,IF(DI15=5,'[14]SDG^2 values'!$F$6,1)))))</f>
        <v>1</v>
      </c>
      <c r="DV15" s="52">
        <f>IF(DJ15=1,'[14]SDG^2 values'!$B$7,IF(DJ15=2,'[14]SDG^2 values'!$C$7,IF(DJ15=3,'[14]SDG^2 values'!$D$7,IF(DJ15=4,'[14]SDG^2 values'!$E$7,IF(DJ15=5,'[14]SDG^2 values'!$F$7,1)))))</f>
        <v>1</v>
      </c>
      <c r="DW15" s="52">
        <f>IF(DK15=1,'[14]SDG^2 values'!$B$8,IF(DK15=2,'[14]SDG^2 values'!$C$8,IF(DK15=3,'[14]SDG^2 values'!$D$8,IF(DK15=4,'[14]SDG^2 values'!$E$8,IF(DK15=5,'[14]SDG^2 values'!$F$8,1)))))</f>
        <v>1</v>
      </c>
      <c r="DX15" s="52">
        <f>IF(DL15=1,'[14]SDG^2 values'!$B$9,IF(DL15=2,'[14]SDG^2 values'!$C$9,IF(DL15=3,'[14]SDG^2 values'!$D$9,IF(DL15=4,'[14]SDG^2 values'!$E$9,IF(DL15=5,'[14]SDG^2 values'!$F$9,1)))))</f>
        <v>1.05</v>
      </c>
    </row>
    <row r="16" spans="1:128" ht="18" customHeight="1">
      <c r="A16" s="156">
        <v>1312</v>
      </c>
      <c r="B16" s="168" t="s">
        <v>525</v>
      </c>
      <c r="C16" s="151"/>
      <c r="D16" s="152" t="s">
        <v>526</v>
      </c>
      <c r="E16" s="153" t="s">
        <v>402</v>
      </c>
      <c r="F16" s="144" t="str">
        <f>IF(OR(D16="4",E16="4"),INDEX([14]NamesElementary!$B$1:$B$65536,MATCH(A16,[14]NamesElementary!$A$1:$A$65536,0),1),INDEX([14]Names!$J$1:$J$65602,MATCH(A16,[14]Names!$F$1:$F$65602,0),1))</f>
        <v>3kWp facade installation, single-Si, panel, mounted, at building</v>
      </c>
      <c r="G16" s="125" t="str">
        <f>IF(OR(D16="4",E16="4"),"-",INDEX([14]Names!$K$1:$K$65602,MATCH(A16,[14]Names!$F$1:$F$65602,0),1))</f>
        <v>CH</v>
      </c>
      <c r="H16" s="154" t="str">
        <f>IF(OR(D16="4",E16="4"),INDEX([14]NamesElementary!$D$1:$D$65536,MATCH($A16,[14]NamesElementary!$A$1:$A$65536,0),1),"-")</f>
        <v>-</v>
      </c>
      <c r="I16" s="123" t="str">
        <f>IF(OR(D16="4",E16="4"),INDEX([14]NamesElementary!$E$1:$E$65536,MATCH($A16,[14]NamesElementary!$A$1:$A$65536,0),1),"-")</f>
        <v>-</v>
      </c>
      <c r="J16" s="124">
        <f>IF(OR(D16="4",E16="4"),"-",INDEX([14]Names!$N$1:$N$65602,MATCH(A16,[14]Names!$F$1:$F$65602,0),1))</f>
        <v>1</v>
      </c>
      <c r="K16" s="125" t="str">
        <f>IF(OR(D16="4",E16="4"),INDEX([14]NamesElementary!$G$1:$G$65536,MATCH(A16,[14]NamesElementary!$A$1:$A$65536,0),1),INDEX([14]Names!$O$1:$O$65602,MATCH(A16,[14]Names!$F$1:$F$65602,0),1))</f>
        <v>unit</v>
      </c>
      <c r="L16" s="155">
        <v>0</v>
      </c>
      <c r="M16" s="29">
        <f t="shared" si="0"/>
        <v>1</v>
      </c>
      <c r="N16" s="1">
        <f t="shared" si="1"/>
        <v>1.2365959919080913</v>
      </c>
      <c r="O16" s="139" t="str">
        <f t="shared" si="2"/>
        <v>(3,2,1,1,1,3); yield at good installation, average is lower while optimum would be higher, basic uncertainty = 1.2</v>
      </c>
      <c r="P16" s="155" t="e">
        <f>1/(Fassade*3*lifetime)</f>
        <v>#REF!</v>
      </c>
      <c r="Q16" s="29">
        <f t="shared" si="3"/>
        <v>1</v>
      </c>
      <c r="R16" s="1">
        <f t="shared" si="4"/>
        <v>1.2365959919080913</v>
      </c>
      <c r="S16" s="139" t="str">
        <f t="shared" si="5"/>
        <v>(3,2,1,1,1,3); yield at good installation, average is lower while optimum would be higher, basic uncertainty = 1.2</v>
      </c>
      <c r="T16" s="155">
        <v>0</v>
      </c>
      <c r="U16" s="29">
        <f t="shared" si="6"/>
        <v>1</v>
      </c>
      <c r="V16" s="1">
        <f t="shared" si="7"/>
        <v>1.2365959919080913</v>
      </c>
      <c r="W16" s="139" t="str">
        <f t="shared" si="8"/>
        <v>(3,2,1,1,1,3); yield at good installation, average is lower while optimum would be higher, basic uncertainty = 1.2</v>
      </c>
      <c r="X16" s="155">
        <v>0</v>
      </c>
      <c r="Y16" s="29">
        <f t="shared" si="9"/>
        <v>1</v>
      </c>
      <c r="Z16" s="1">
        <f t="shared" si="10"/>
        <v>1.2365959919080913</v>
      </c>
      <c r="AA16" s="139" t="str">
        <f t="shared" si="11"/>
        <v>(3,2,1,1,1,3); yield at good installation, average is lower while optimum would be higher, basic uncertainty = 1.2</v>
      </c>
      <c r="AB16" s="155">
        <v>0</v>
      </c>
      <c r="AC16" s="29">
        <f t="shared" si="12"/>
        <v>1</v>
      </c>
      <c r="AD16" s="1">
        <f t="shared" si="13"/>
        <v>1.2365959919080913</v>
      </c>
      <c r="AE16" s="139" t="str">
        <f t="shared" si="14"/>
        <v>(3,2,1,1,1,3); yield at good installation, average is lower while optimum would be higher, basic uncertainty = 1.2</v>
      </c>
      <c r="AF16" s="155">
        <v>0</v>
      </c>
      <c r="AG16" s="29">
        <f t="shared" si="15"/>
        <v>1</v>
      </c>
      <c r="AH16" s="1">
        <f t="shared" si="16"/>
        <v>1.2365959919080913</v>
      </c>
      <c r="AI16" s="139" t="str">
        <f t="shared" si="17"/>
        <v>(3,2,1,1,1,3); yield at good installation, average is lower while optimum would be higher, basic uncertainty = 1.2</v>
      </c>
      <c r="AJ16" s="155">
        <v>0</v>
      </c>
      <c r="AK16" s="29">
        <f t="shared" si="18"/>
        <v>1</v>
      </c>
      <c r="AL16" s="1">
        <f t="shared" si="19"/>
        <v>1.2365959919080913</v>
      </c>
      <c r="AM16" s="31" t="str">
        <f t="shared" si="20"/>
        <v>(3,2,1,1,1,3); yield at good installation, average is lower while optimum would be higher, basic uncertainty = 1.2</v>
      </c>
      <c r="AN16" s="155">
        <v>0</v>
      </c>
      <c r="AO16" s="29">
        <f t="shared" si="21"/>
        <v>1</v>
      </c>
      <c r="AP16" s="1">
        <f t="shared" si="22"/>
        <v>1.2365959919080913</v>
      </c>
      <c r="AQ16" s="139" t="str">
        <f t="shared" si="23"/>
        <v>(3,2,1,1,1,3); yield at good installation, average is lower while optimum would be higher, basic uncertainty = 1.2</v>
      </c>
      <c r="AR16" s="155">
        <v>0</v>
      </c>
      <c r="AS16" s="29">
        <f t="shared" si="24"/>
        <v>1</v>
      </c>
      <c r="AT16" s="1">
        <f t="shared" si="25"/>
        <v>1.2365959919080913</v>
      </c>
      <c r="AU16" s="31" t="str">
        <f t="shared" si="26"/>
        <v>(3,2,1,1,1,3); yield at good installation, average is lower while optimum would be higher, basic uncertainty = 1.2</v>
      </c>
      <c r="AV16" s="155">
        <v>0</v>
      </c>
      <c r="AW16" s="29">
        <f t="shared" si="27"/>
        <v>1</v>
      </c>
      <c r="AX16" s="1">
        <f t="shared" si="28"/>
        <v>1.2365959919080913</v>
      </c>
      <c r="AY16" s="139" t="str">
        <f t="shared" si="29"/>
        <v>(3,2,1,1,1,3); yield at good installation, average is lower while optimum would be higher, basic uncertainty = 1.2</v>
      </c>
      <c r="AZ16" s="155">
        <v>0</v>
      </c>
      <c r="BA16" s="29">
        <f t="shared" si="30"/>
        <v>1</v>
      </c>
      <c r="BB16" s="1">
        <f t="shared" si="31"/>
        <v>1.2365959919080913</v>
      </c>
      <c r="BC16" s="139" t="str">
        <f t="shared" si="32"/>
        <v>(3,2,1,1,1,3); yield at good installation, average is lower while optimum would be higher, basic uncertainty = 1.2</v>
      </c>
      <c r="BD16" s="155">
        <v>0</v>
      </c>
      <c r="BE16" s="29">
        <f t="shared" si="33"/>
        <v>1</v>
      </c>
      <c r="BF16" s="1">
        <f t="shared" si="34"/>
        <v>1.2365959919080913</v>
      </c>
      <c r="BG16" s="139" t="str">
        <f t="shared" si="35"/>
        <v>(3,2,1,1,1,3); yield at good installation, average is lower while optimum would be higher, basic uncertainty = 1.2</v>
      </c>
      <c r="BH16" s="29">
        <f t="shared" si="36"/>
        <v>1</v>
      </c>
      <c r="BI16" s="1">
        <f t="shared" si="37"/>
        <v>1.2365959919080913</v>
      </c>
      <c r="BJ16" s="139" t="str">
        <f t="shared" si="38"/>
        <v>(3,2,1,1,1,3); yield at good installation, average is lower while optimum would be higher, basic uncertainty = 1.2</v>
      </c>
      <c r="BK16" s="155">
        <v>0</v>
      </c>
      <c r="BL16" s="29">
        <f t="shared" si="39"/>
        <v>1</v>
      </c>
      <c r="BM16" s="1">
        <f t="shared" si="40"/>
        <v>1.2365959919080913</v>
      </c>
      <c r="BN16" s="139" t="str">
        <f t="shared" si="41"/>
        <v>(3,2,1,1,1,3); yield at good installation, average is lower while optimum would be higher, basic uncertainty = 1.2</v>
      </c>
      <c r="BO16" s="155">
        <v>0</v>
      </c>
      <c r="BP16" s="29">
        <f t="shared" si="42"/>
        <v>1</v>
      </c>
      <c r="BQ16" s="1">
        <f t="shared" si="43"/>
        <v>1.2365959919080913</v>
      </c>
      <c r="BR16" s="139" t="str">
        <f t="shared" si="44"/>
        <v>(3,2,1,1,1,3); yield at good installation, average is lower while optimum would be higher, basic uncertainty = 1.2</v>
      </c>
      <c r="BS16" s="155">
        <v>0</v>
      </c>
      <c r="BT16" s="29">
        <f t="shared" si="45"/>
        <v>1</v>
      </c>
      <c r="BU16" s="1">
        <f t="shared" si="46"/>
        <v>1.2365959919080913</v>
      </c>
      <c r="BV16" s="139" t="str">
        <f t="shared" si="47"/>
        <v>(3,2,1,1,1,3); yield at good installation, average is lower while optimum would be higher, basic uncertainty = 1.2</v>
      </c>
      <c r="BW16" s="155">
        <v>0</v>
      </c>
      <c r="BX16" s="29">
        <f t="shared" si="48"/>
        <v>1</v>
      </c>
      <c r="BY16" s="1">
        <f t="shared" si="49"/>
        <v>1.2365959919080913</v>
      </c>
      <c r="BZ16" s="31" t="str">
        <f t="shared" si="62"/>
        <v>(3,2,1,1,1,3); yield at good installation, average is lower while optimum would be higher, basic uncertainty = 1.2</v>
      </c>
      <c r="CA16" s="155">
        <f t="shared" si="73"/>
        <v>0</v>
      </c>
      <c r="CB16" s="29">
        <f t="shared" si="50"/>
        <v>1</v>
      </c>
      <c r="CC16" s="1">
        <f t="shared" si="51"/>
        <v>1.2365959919080913</v>
      </c>
      <c r="CD16" s="139" t="str">
        <f t="shared" si="63"/>
        <v>(3,2,1,1,1,3); yield at good installation, average is lower while optimum would be higher, basic uncertainty = 1.2</v>
      </c>
      <c r="CE16" s="155">
        <f t="shared" si="74"/>
        <v>0</v>
      </c>
      <c r="CF16" s="29">
        <f t="shared" si="52"/>
        <v>1</v>
      </c>
      <c r="CG16" s="1">
        <f t="shared" si="53"/>
        <v>1.2365959919080913</v>
      </c>
      <c r="CH16" s="139" t="str">
        <f t="shared" si="64"/>
        <v>(3,2,1,1,1,3); yield at good installation, average is lower while optimum would be higher, basic uncertainty = 1.2</v>
      </c>
      <c r="CI16" s="155">
        <f t="shared" si="75"/>
        <v>0</v>
      </c>
      <c r="CJ16" s="29">
        <f t="shared" si="54"/>
        <v>1</v>
      </c>
      <c r="CK16" s="1">
        <f t="shared" si="55"/>
        <v>1.2365959919080913</v>
      </c>
      <c r="CL16" s="139" t="str">
        <f t="shared" si="65"/>
        <v>(3,2,1,1,1,3); yield at good installation, average is lower while optimum would be higher, basic uncertainty = 1.2</v>
      </c>
      <c r="CM16" s="155">
        <f t="shared" si="76"/>
        <v>0</v>
      </c>
      <c r="CN16" s="29">
        <f t="shared" si="56"/>
        <v>1</v>
      </c>
      <c r="CO16" s="1">
        <f t="shared" si="57"/>
        <v>1.2365959919080913</v>
      </c>
      <c r="CP16" s="139" t="str">
        <f t="shared" si="66"/>
        <v>(3,2,1,1,1,3); yield at good installation, average is lower while optimum would be higher, basic uncertainty = 1.2</v>
      </c>
      <c r="CQ16" s="155">
        <f t="shared" si="77"/>
        <v>0</v>
      </c>
      <c r="CR16" s="29">
        <f t="shared" si="58"/>
        <v>1</v>
      </c>
      <c r="CS16" s="1">
        <f t="shared" si="59"/>
        <v>1.2365959919080913</v>
      </c>
      <c r="CT16" s="139" t="str">
        <f t="shared" si="67"/>
        <v>(3,2,1,1,1,3); yield at good installation, average is lower while optimum would be higher, basic uncertainty = 1.2</v>
      </c>
      <c r="CU16" s="155">
        <f t="shared" si="79"/>
        <v>0</v>
      </c>
      <c r="CV16" s="29">
        <f t="shared" si="60"/>
        <v>1</v>
      </c>
      <c r="CW16" s="1">
        <f t="shared" si="61"/>
        <v>1.2365959919080913</v>
      </c>
      <c r="CX16" s="139" t="str">
        <f t="shared" si="68"/>
        <v>(3,2,1,1,1,3); yield at good installation, average is lower while optimum would be higher, basic uncertainty = 1.2</v>
      </c>
      <c r="CY16" s="155" t="e">
        <f>1/(#REF!*3*lifetime)*DC16</f>
        <v>#REF!</v>
      </c>
      <c r="CZ16" s="29">
        <v>1</v>
      </c>
      <c r="DA16" s="1">
        <f t="shared" si="69"/>
        <v>1.2365959919080913</v>
      </c>
      <c r="DB16" s="31" t="str">
        <f t="shared" si="80"/>
        <v>(3,2,1,1,1,3); average yield, estimation for share of technologies. Basic uncertainty = 1.2</v>
      </c>
      <c r="DC16" s="287" t="e">
        <f>#REF!</f>
        <v>#REF!</v>
      </c>
      <c r="DD16" s="289" t="e">
        <f>#REF!</f>
        <v>#REF!</v>
      </c>
      <c r="DE16" s="287" t="e">
        <f>#REF!</f>
        <v>#REF!</v>
      </c>
      <c r="DF16" s="115" t="str">
        <f t="shared" ref="DF16:DF36" si="81">DF15</f>
        <v>yield at good installation, average is lower while optimum would be higher, basic uncertainty = 1.2</v>
      </c>
      <c r="DG16" s="10">
        <f t="shared" ref="DG16:DG36" si="82">DG15</f>
        <v>3</v>
      </c>
      <c r="DH16" s="50">
        <v>2</v>
      </c>
      <c r="DI16" s="50">
        <v>1</v>
      </c>
      <c r="DJ16" s="50">
        <v>1</v>
      </c>
      <c r="DK16" s="50">
        <v>1</v>
      </c>
      <c r="DL16" s="50">
        <v>3</v>
      </c>
      <c r="DM16" s="50">
        <f>IF(OR($D16="4",$E16="4"),INDEX([14]NamesElementary!$J$1:$J$65536,MATCH($A16,[14]NamesElementary!$A$1:$A$65536,0),1),INDEX([14]Names!$W$1:$W$65602,MATCH($A16,[14]Names!$F$1:$F$65602,0),1))</f>
        <v>9</v>
      </c>
      <c r="DN16" s="312">
        <f t="shared" ref="DN16:DN36" si="83">DN15</f>
        <v>1.2</v>
      </c>
      <c r="DO16" s="87">
        <f t="shared" si="70"/>
        <v>1.1150377561073679</v>
      </c>
      <c r="DP16" s="88">
        <f t="shared" si="71"/>
        <v>1.2365959919080913</v>
      </c>
      <c r="DQ16" s="89" t="str">
        <f t="shared" si="72"/>
        <v>(3,2,1,1,1,3)</v>
      </c>
      <c r="DS16" s="52">
        <f>IF(DG16=1,'[14]SDG^2 values'!$B$4,IF(DG16=2,'[14]SDG^2 values'!$C$4,IF(DG16=3,'[14]SDG^2 values'!$D$4,IF(DG16=4,'[14]SDG^2 values'!$E$4,IF(DG16=5,'[14]SDG^2 values'!$F$4,1)))))</f>
        <v>1.1000000000000001</v>
      </c>
      <c r="DT16" s="52">
        <f>IF(DH16=1,'[14]SDG^2 values'!$B$5,IF(DH16=2,'[14]SDG^2 values'!$C$5,IF(DH16=3,'[14]SDG^2 values'!$D$5,IF(DH16=4,'[14]SDG^2 values'!$E$5,IF(DH16=5,'[14]SDG^2 values'!$F$5,1)))))</f>
        <v>1.02</v>
      </c>
      <c r="DU16" s="52">
        <f>IF(DI16=1,'[14]SDG^2 values'!$B$6,IF(DI16=2,'[14]SDG^2 values'!$C$6,IF(DI16=3,'[14]SDG^2 values'!$D$6,IF(DI16=4,'[14]SDG^2 values'!$E$6,IF(DI16=5,'[14]SDG^2 values'!$F$6,1)))))</f>
        <v>1</v>
      </c>
      <c r="DV16" s="52">
        <f>IF(DJ16=1,'[14]SDG^2 values'!$B$7,IF(DJ16=2,'[14]SDG^2 values'!$C$7,IF(DJ16=3,'[14]SDG^2 values'!$D$7,IF(DJ16=4,'[14]SDG^2 values'!$E$7,IF(DJ16=5,'[14]SDG^2 values'!$F$7,1)))))</f>
        <v>1</v>
      </c>
      <c r="DW16" s="52">
        <f>IF(DK16=1,'[14]SDG^2 values'!$B$8,IF(DK16=2,'[14]SDG^2 values'!$C$8,IF(DK16=3,'[14]SDG^2 values'!$D$8,IF(DK16=4,'[14]SDG^2 values'!$E$8,IF(DK16=5,'[14]SDG^2 values'!$F$8,1)))))</f>
        <v>1</v>
      </c>
      <c r="DX16" s="52">
        <f>IF(DL16=1,'[14]SDG^2 values'!$B$9,IF(DL16=2,'[14]SDG^2 values'!$C$9,IF(DL16=3,'[14]SDG^2 values'!$D$9,IF(DL16=4,'[14]SDG^2 values'!$E$9,IF(DL16=5,'[14]SDG^2 values'!$F$9,1)))))</f>
        <v>1.05</v>
      </c>
    </row>
    <row r="17" spans="1:128" ht="18" customHeight="1">
      <c r="A17" s="156">
        <v>1314</v>
      </c>
      <c r="B17" s="168" t="s">
        <v>525</v>
      </c>
      <c r="C17" s="151"/>
      <c r="D17" s="152" t="s">
        <v>526</v>
      </c>
      <c r="E17" s="153" t="s">
        <v>402</v>
      </c>
      <c r="F17" s="144" t="str">
        <f>IF(OR(D17="4",E17="4"),INDEX([14]NamesElementary!$B$1:$B$65536,MATCH(A17,[14]NamesElementary!$A$1:$A$65536,0),1),INDEX([14]Names!$J$1:$J$65602,MATCH(A17,[14]Names!$F$1:$F$65602,0),1))</f>
        <v>3kWp facade installation, multi-Si, laminated, integrated, at building</v>
      </c>
      <c r="G17" s="125" t="str">
        <f>IF(OR(D17="4",E17="4"),"-",INDEX([14]Names!$K$1:$K$65602,MATCH(A17,[14]Names!$F$1:$F$65602,0),1))</f>
        <v>CH</v>
      </c>
      <c r="H17" s="154" t="str">
        <f>IF(OR(D17="4",E17="4"),INDEX([14]NamesElementary!$D$1:$D$65536,MATCH($A17,[14]NamesElementary!$A$1:$A$65536,0),1),"-")</f>
        <v>-</v>
      </c>
      <c r="I17" s="123" t="str">
        <f>IF(OR(D17="4",E17="4"),INDEX([14]NamesElementary!$E$1:$E$65536,MATCH($A17,[14]NamesElementary!$A$1:$A$65536,0),1),"-")</f>
        <v>-</v>
      </c>
      <c r="J17" s="124">
        <f>IF(OR(D17="4",E17="4"),"-",INDEX([14]Names!$N$1:$N$65602,MATCH(A17,[14]Names!$F$1:$F$65602,0),1))</f>
        <v>1</v>
      </c>
      <c r="K17" s="125" t="str">
        <f>IF(OR(D17="4",E17="4"),INDEX([14]NamesElementary!$G$1:$G$65536,MATCH(A17,[14]NamesElementary!$A$1:$A$65536,0),1),INDEX([14]Names!$O$1:$O$65602,MATCH(A17,[14]Names!$F$1:$F$65602,0),1))</f>
        <v>unit</v>
      </c>
      <c r="L17" s="155">
        <v>0</v>
      </c>
      <c r="M17" s="29">
        <f t="shared" si="0"/>
        <v>1</v>
      </c>
      <c r="N17" s="1">
        <f t="shared" si="1"/>
        <v>1.2365959919080913</v>
      </c>
      <c r="O17" s="139" t="str">
        <f t="shared" si="2"/>
        <v>(3,2,1,1,1,3); yield at good installation, average is lower while optimum would be higher, basic uncertainty = 1.2</v>
      </c>
      <c r="P17" s="155">
        <v>0</v>
      </c>
      <c r="Q17" s="29">
        <f t="shared" si="3"/>
        <v>1</v>
      </c>
      <c r="R17" s="1">
        <f t="shared" si="4"/>
        <v>1.2365959919080913</v>
      </c>
      <c r="S17" s="139" t="str">
        <f t="shared" si="5"/>
        <v>(3,2,1,1,1,3); yield at good installation, average is lower while optimum would be higher, basic uncertainty = 1.2</v>
      </c>
      <c r="T17" s="155" t="e">
        <f>1/(Fassade*3*lifetime)</f>
        <v>#REF!</v>
      </c>
      <c r="U17" s="29">
        <f t="shared" si="6"/>
        <v>1</v>
      </c>
      <c r="V17" s="1">
        <f t="shared" si="7"/>
        <v>1.2365959919080913</v>
      </c>
      <c r="W17" s="139" t="str">
        <f t="shared" si="8"/>
        <v>(3,2,1,1,1,3); yield at good installation, average is lower while optimum would be higher, basic uncertainty = 1.2</v>
      </c>
      <c r="X17" s="155">
        <v>0</v>
      </c>
      <c r="Y17" s="29">
        <f t="shared" si="9"/>
        <v>1</v>
      </c>
      <c r="Z17" s="1">
        <f t="shared" si="10"/>
        <v>1.2365959919080913</v>
      </c>
      <c r="AA17" s="139" t="str">
        <f t="shared" si="11"/>
        <v>(3,2,1,1,1,3); yield at good installation, average is lower while optimum would be higher, basic uncertainty = 1.2</v>
      </c>
      <c r="AB17" s="155">
        <v>0</v>
      </c>
      <c r="AC17" s="29">
        <f t="shared" si="12"/>
        <v>1</v>
      </c>
      <c r="AD17" s="1">
        <f t="shared" si="13"/>
        <v>1.2365959919080913</v>
      </c>
      <c r="AE17" s="139" t="str">
        <f t="shared" si="14"/>
        <v>(3,2,1,1,1,3); yield at good installation, average is lower while optimum would be higher, basic uncertainty = 1.2</v>
      </c>
      <c r="AF17" s="155">
        <v>0</v>
      </c>
      <c r="AG17" s="29">
        <f t="shared" si="15"/>
        <v>1</v>
      </c>
      <c r="AH17" s="1">
        <f t="shared" si="16"/>
        <v>1.2365959919080913</v>
      </c>
      <c r="AI17" s="139" t="str">
        <f t="shared" si="17"/>
        <v>(3,2,1,1,1,3); yield at good installation, average is lower while optimum would be higher, basic uncertainty = 1.2</v>
      </c>
      <c r="AJ17" s="155">
        <v>0</v>
      </c>
      <c r="AK17" s="29">
        <f t="shared" si="18"/>
        <v>1</v>
      </c>
      <c r="AL17" s="1">
        <f t="shared" si="19"/>
        <v>1.2365959919080913</v>
      </c>
      <c r="AM17" s="31" t="str">
        <f t="shared" si="20"/>
        <v>(3,2,1,1,1,3); yield at good installation, average is lower while optimum would be higher, basic uncertainty = 1.2</v>
      </c>
      <c r="AN17" s="155">
        <v>0</v>
      </c>
      <c r="AO17" s="29">
        <f t="shared" si="21"/>
        <v>1</v>
      </c>
      <c r="AP17" s="1">
        <f t="shared" si="22"/>
        <v>1.2365959919080913</v>
      </c>
      <c r="AQ17" s="139" t="str">
        <f t="shared" si="23"/>
        <v>(3,2,1,1,1,3); yield at good installation, average is lower while optimum would be higher, basic uncertainty = 1.2</v>
      </c>
      <c r="AR17" s="155">
        <v>0</v>
      </c>
      <c r="AS17" s="29">
        <f t="shared" si="24"/>
        <v>1</v>
      </c>
      <c r="AT17" s="1">
        <f t="shared" si="25"/>
        <v>1.2365959919080913</v>
      </c>
      <c r="AU17" s="31" t="str">
        <f t="shared" si="26"/>
        <v>(3,2,1,1,1,3); yield at good installation, average is lower while optimum would be higher, basic uncertainty = 1.2</v>
      </c>
      <c r="AV17" s="155">
        <v>0</v>
      </c>
      <c r="AW17" s="29">
        <f t="shared" si="27"/>
        <v>1</v>
      </c>
      <c r="AX17" s="1">
        <f t="shared" si="28"/>
        <v>1.2365959919080913</v>
      </c>
      <c r="AY17" s="139" t="str">
        <f t="shared" si="29"/>
        <v>(3,2,1,1,1,3); yield at good installation, average is lower while optimum would be higher, basic uncertainty = 1.2</v>
      </c>
      <c r="AZ17" s="155">
        <v>0</v>
      </c>
      <c r="BA17" s="29">
        <f t="shared" si="30"/>
        <v>1</v>
      </c>
      <c r="BB17" s="1">
        <f t="shared" si="31"/>
        <v>1.2365959919080913</v>
      </c>
      <c r="BC17" s="139" t="str">
        <f t="shared" si="32"/>
        <v>(3,2,1,1,1,3); yield at good installation, average is lower while optimum would be higher, basic uncertainty = 1.2</v>
      </c>
      <c r="BD17" s="155">
        <v>0</v>
      </c>
      <c r="BE17" s="29">
        <f t="shared" si="33"/>
        <v>1</v>
      </c>
      <c r="BF17" s="1">
        <f t="shared" si="34"/>
        <v>1.2365959919080913</v>
      </c>
      <c r="BG17" s="139" t="str">
        <f t="shared" si="35"/>
        <v>(3,2,1,1,1,3); yield at good installation, average is lower while optimum would be higher, basic uncertainty = 1.2</v>
      </c>
      <c r="BH17" s="29">
        <f t="shared" si="36"/>
        <v>1</v>
      </c>
      <c r="BI17" s="1">
        <f t="shared" si="37"/>
        <v>1.2365959919080913</v>
      </c>
      <c r="BJ17" s="139" t="str">
        <f t="shared" si="38"/>
        <v>(3,2,1,1,1,3); yield at good installation, average is lower while optimum would be higher, basic uncertainty = 1.2</v>
      </c>
      <c r="BK17" s="155">
        <v>0</v>
      </c>
      <c r="BL17" s="29">
        <f t="shared" si="39"/>
        <v>1</v>
      </c>
      <c r="BM17" s="1">
        <f t="shared" si="40"/>
        <v>1.2365959919080913</v>
      </c>
      <c r="BN17" s="139" t="str">
        <f t="shared" si="41"/>
        <v>(3,2,1,1,1,3); yield at good installation, average is lower while optimum would be higher, basic uncertainty = 1.2</v>
      </c>
      <c r="BO17" s="155">
        <v>0</v>
      </c>
      <c r="BP17" s="29">
        <f t="shared" si="42"/>
        <v>1</v>
      </c>
      <c r="BQ17" s="1">
        <f t="shared" si="43"/>
        <v>1.2365959919080913</v>
      </c>
      <c r="BR17" s="139" t="str">
        <f t="shared" si="44"/>
        <v>(3,2,1,1,1,3); yield at good installation, average is lower while optimum would be higher, basic uncertainty = 1.2</v>
      </c>
      <c r="BS17" s="155">
        <v>0</v>
      </c>
      <c r="BT17" s="29">
        <f t="shared" si="45"/>
        <v>1</v>
      </c>
      <c r="BU17" s="1">
        <f t="shared" si="46"/>
        <v>1.2365959919080913</v>
      </c>
      <c r="BV17" s="139" t="str">
        <f t="shared" si="47"/>
        <v>(3,2,1,1,1,3); yield at good installation, average is lower while optimum would be higher, basic uncertainty = 1.2</v>
      </c>
      <c r="BW17" s="155">
        <v>0</v>
      </c>
      <c r="BX17" s="29">
        <f t="shared" si="48"/>
        <v>1</v>
      </c>
      <c r="BY17" s="1">
        <f t="shared" si="49"/>
        <v>1.2365959919080913</v>
      </c>
      <c r="BZ17" s="31" t="str">
        <f t="shared" si="62"/>
        <v>(3,2,1,1,1,3); yield at good installation, average is lower while optimum would be higher, basic uncertainty = 1.2</v>
      </c>
      <c r="CA17" s="155">
        <f t="shared" si="73"/>
        <v>0</v>
      </c>
      <c r="CB17" s="29">
        <f t="shared" si="50"/>
        <v>1</v>
      </c>
      <c r="CC17" s="1">
        <f t="shared" si="51"/>
        <v>1.2365959919080913</v>
      </c>
      <c r="CD17" s="139" t="str">
        <f t="shared" si="63"/>
        <v>(3,2,1,1,1,3); yield at good installation, average is lower while optimum would be higher, basic uncertainty = 1.2</v>
      </c>
      <c r="CE17" s="155">
        <f t="shared" si="74"/>
        <v>0</v>
      </c>
      <c r="CF17" s="29">
        <f t="shared" si="52"/>
        <v>1</v>
      </c>
      <c r="CG17" s="1">
        <f t="shared" si="53"/>
        <v>1.2365959919080913</v>
      </c>
      <c r="CH17" s="139" t="str">
        <f t="shared" si="64"/>
        <v>(3,2,1,1,1,3); yield at good installation, average is lower while optimum would be higher, basic uncertainty = 1.2</v>
      </c>
      <c r="CI17" s="155">
        <f t="shared" si="75"/>
        <v>0</v>
      </c>
      <c r="CJ17" s="29">
        <f t="shared" si="54"/>
        <v>1</v>
      </c>
      <c r="CK17" s="1">
        <f t="shared" si="55"/>
        <v>1.2365959919080913</v>
      </c>
      <c r="CL17" s="139" t="str">
        <f t="shared" si="65"/>
        <v>(3,2,1,1,1,3); yield at good installation, average is lower while optimum would be higher, basic uncertainty = 1.2</v>
      </c>
      <c r="CM17" s="155">
        <f t="shared" si="76"/>
        <v>0</v>
      </c>
      <c r="CN17" s="29">
        <f t="shared" si="56"/>
        <v>1</v>
      </c>
      <c r="CO17" s="1">
        <f t="shared" si="57"/>
        <v>1.2365959919080913</v>
      </c>
      <c r="CP17" s="139" t="str">
        <f t="shared" si="66"/>
        <v>(3,2,1,1,1,3); yield at good installation, average is lower while optimum would be higher, basic uncertainty = 1.2</v>
      </c>
      <c r="CQ17" s="155">
        <f t="shared" si="77"/>
        <v>0</v>
      </c>
      <c r="CR17" s="29">
        <f t="shared" si="58"/>
        <v>1</v>
      </c>
      <c r="CS17" s="1">
        <f t="shared" si="59"/>
        <v>1.2365959919080913</v>
      </c>
      <c r="CT17" s="139" t="str">
        <f t="shared" si="67"/>
        <v>(3,2,1,1,1,3); yield at good installation, average is lower while optimum would be higher, basic uncertainty = 1.2</v>
      </c>
      <c r="CU17" s="155">
        <f t="shared" si="79"/>
        <v>0</v>
      </c>
      <c r="CV17" s="29">
        <f t="shared" si="60"/>
        <v>1</v>
      </c>
      <c r="CW17" s="1">
        <f t="shared" si="61"/>
        <v>1.2365959919080913</v>
      </c>
      <c r="CX17" s="139" t="str">
        <f t="shared" si="68"/>
        <v>(3,2,1,1,1,3); yield at good installation, average is lower while optimum would be higher, basic uncertainty = 1.2</v>
      </c>
      <c r="CY17" s="155" t="e">
        <f>1/(#REF!*3*lifetime)*DC17</f>
        <v>#REF!</v>
      </c>
      <c r="CZ17" s="29">
        <v>1</v>
      </c>
      <c r="DA17" s="1">
        <f t="shared" si="69"/>
        <v>1.2365959919080913</v>
      </c>
      <c r="DB17" s="31" t="str">
        <f t="shared" si="80"/>
        <v>(3,2,1,1,1,3); average yield, estimation for share of technologies. Basic uncertainty = 1.2</v>
      </c>
      <c r="DC17" s="287" t="e">
        <f>#REF!</f>
        <v>#REF!</v>
      </c>
      <c r="DD17" s="289" t="e">
        <f>#REF!</f>
        <v>#REF!</v>
      </c>
      <c r="DE17" s="287" t="e">
        <f>#REF!</f>
        <v>#REF!</v>
      </c>
      <c r="DF17" s="115" t="str">
        <f t="shared" si="81"/>
        <v>yield at good installation, average is lower while optimum would be higher, basic uncertainty = 1.2</v>
      </c>
      <c r="DG17" s="10">
        <f t="shared" si="82"/>
        <v>3</v>
      </c>
      <c r="DH17" s="50">
        <v>2</v>
      </c>
      <c r="DI17" s="50">
        <v>1</v>
      </c>
      <c r="DJ17" s="50">
        <v>1</v>
      </c>
      <c r="DK17" s="50">
        <v>1</v>
      </c>
      <c r="DL17" s="50">
        <v>3</v>
      </c>
      <c r="DM17" s="50">
        <f>IF(OR($D17="4",$E17="4"),INDEX([14]NamesElementary!$J$1:$J$65536,MATCH($A17,[14]NamesElementary!$A$1:$A$65536,0),1),INDEX([14]Names!$W$1:$W$65602,MATCH($A17,[14]Names!$F$1:$F$65602,0),1))</f>
        <v>9</v>
      </c>
      <c r="DN17" s="312">
        <f t="shared" si="83"/>
        <v>1.2</v>
      </c>
      <c r="DO17" s="87">
        <f t="shared" si="70"/>
        <v>1.1150377561073679</v>
      </c>
      <c r="DP17" s="88">
        <f t="shared" si="71"/>
        <v>1.2365959919080913</v>
      </c>
      <c r="DQ17" s="89" t="str">
        <f t="shared" si="72"/>
        <v>(3,2,1,1,1,3)</v>
      </c>
      <c r="DS17" s="52">
        <f>IF(DG17=1,'[14]SDG^2 values'!$B$4,IF(DG17=2,'[14]SDG^2 values'!$C$4,IF(DG17=3,'[14]SDG^2 values'!$D$4,IF(DG17=4,'[14]SDG^2 values'!$E$4,IF(DG17=5,'[14]SDG^2 values'!$F$4,1)))))</f>
        <v>1.1000000000000001</v>
      </c>
      <c r="DT17" s="52">
        <f>IF(DH17=1,'[14]SDG^2 values'!$B$5,IF(DH17=2,'[14]SDG^2 values'!$C$5,IF(DH17=3,'[14]SDG^2 values'!$D$5,IF(DH17=4,'[14]SDG^2 values'!$E$5,IF(DH17=5,'[14]SDG^2 values'!$F$5,1)))))</f>
        <v>1.02</v>
      </c>
      <c r="DU17" s="52">
        <f>IF(DI17=1,'[14]SDG^2 values'!$B$6,IF(DI17=2,'[14]SDG^2 values'!$C$6,IF(DI17=3,'[14]SDG^2 values'!$D$6,IF(DI17=4,'[14]SDG^2 values'!$E$6,IF(DI17=5,'[14]SDG^2 values'!$F$6,1)))))</f>
        <v>1</v>
      </c>
      <c r="DV17" s="52">
        <f>IF(DJ17=1,'[14]SDG^2 values'!$B$7,IF(DJ17=2,'[14]SDG^2 values'!$C$7,IF(DJ17=3,'[14]SDG^2 values'!$D$7,IF(DJ17=4,'[14]SDG^2 values'!$E$7,IF(DJ17=5,'[14]SDG^2 values'!$F$7,1)))))</f>
        <v>1</v>
      </c>
      <c r="DW17" s="52">
        <f>IF(DK17=1,'[14]SDG^2 values'!$B$8,IF(DK17=2,'[14]SDG^2 values'!$C$8,IF(DK17=3,'[14]SDG^2 values'!$D$8,IF(DK17=4,'[14]SDG^2 values'!$E$8,IF(DK17=5,'[14]SDG^2 values'!$F$8,1)))))</f>
        <v>1</v>
      </c>
      <c r="DX17" s="52">
        <f>IF(DL17=1,'[14]SDG^2 values'!$B$9,IF(DL17=2,'[14]SDG^2 values'!$C$9,IF(DL17=3,'[14]SDG^2 values'!$D$9,IF(DL17=4,'[14]SDG^2 values'!$E$9,IF(DL17=5,'[14]SDG^2 values'!$F$9,1)))))</f>
        <v>1.05</v>
      </c>
    </row>
    <row r="18" spans="1:128" ht="18" customHeight="1">
      <c r="A18" s="156">
        <v>1316</v>
      </c>
      <c r="B18" s="168" t="s">
        <v>525</v>
      </c>
      <c r="C18" s="151"/>
      <c r="D18" s="152" t="s">
        <v>526</v>
      </c>
      <c r="E18" s="153" t="s">
        <v>402</v>
      </c>
      <c r="F18" s="144" t="str">
        <f>IF(OR(D18="4",E18="4"),INDEX([14]NamesElementary!$B$1:$B$65536,MATCH(A18,[14]NamesElementary!$A$1:$A$65536,0),1),INDEX([14]Names!$J$1:$J$65602,MATCH(A18,[14]Names!$F$1:$F$65602,0),1))</f>
        <v>3kWp facade installation, multi-Si, panel, mounted, at building</v>
      </c>
      <c r="G18" s="125" t="str">
        <f>IF(OR(D18="4",E18="4"),"-",INDEX([14]Names!$K$1:$K$65602,MATCH(A18,[14]Names!$F$1:$F$65602,0),1))</f>
        <v>CH</v>
      </c>
      <c r="H18" s="154" t="str">
        <f>IF(OR(D18="4",E18="4"),INDEX([14]NamesElementary!$D$1:$D$65536,MATCH($A18,[14]NamesElementary!$A$1:$A$65536,0),1),"-")</f>
        <v>-</v>
      </c>
      <c r="I18" s="123" t="str">
        <f>IF(OR(D18="4",E18="4"),INDEX([14]NamesElementary!$E$1:$E$65536,MATCH($A18,[14]NamesElementary!$A$1:$A$65536,0),1),"-")</f>
        <v>-</v>
      </c>
      <c r="J18" s="124">
        <f>IF(OR(D18="4",E18="4"),"-",INDEX([14]Names!$N$1:$N$65602,MATCH(A18,[14]Names!$F$1:$F$65602,0),1))</f>
        <v>1</v>
      </c>
      <c r="K18" s="125" t="str">
        <f>IF(OR(D18="4",E18="4"),INDEX([14]NamesElementary!$G$1:$G$65536,MATCH(A18,[14]NamesElementary!$A$1:$A$65536,0),1),INDEX([14]Names!$O$1:$O$65602,MATCH(A18,[14]Names!$F$1:$F$65602,0),1))</f>
        <v>unit</v>
      </c>
      <c r="L18" s="155">
        <v>0</v>
      </c>
      <c r="M18" s="29">
        <f t="shared" si="0"/>
        <v>1</v>
      </c>
      <c r="N18" s="1">
        <f t="shared" si="1"/>
        <v>1.2365959919080913</v>
      </c>
      <c r="O18" s="139" t="str">
        <f t="shared" si="2"/>
        <v>(3,2,1,1,1,3); yield at good installation, average is lower while optimum would be higher, basic uncertainty = 1.2</v>
      </c>
      <c r="P18" s="155">
        <v>0</v>
      </c>
      <c r="Q18" s="29">
        <f t="shared" si="3"/>
        <v>1</v>
      </c>
      <c r="R18" s="1">
        <f t="shared" si="4"/>
        <v>1.2365959919080913</v>
      </c>
      <c r="S18" s="139" t="str">
        <f t="shared" si="5"/>
        <v>(3,2,1,1,1,3); yield at good installation, average is lower while optimum would be higher, basic uncertainty = 1.2</v>
      </c>
      <c r="T18" s="155">
        <v>0</v>
      </c>
      <c r="U18" s="29">
        <f t="shared" si="6"/>
        <v>1</v>
      </c>
      <c r="V18" s="1">
        <f t="shared" si="7"/>
        <v>1.2365959919080913</v>
      </c>
      <c r="W18" s="139" t="str">
        <f t="shared" si="8"/>
        <v>(3,2,1,1,1,3); yield at good installation, average is lower while optimum would be higher, basic uncertainty = 1.2</v>
      </c>
      <c r="X18" s="155" t="e">
        <f>1/(Fassade*3*lifetime)</f>
        <v>#REF!</v>
      </c>
      <c r="Y18" s="29">
        <f t="shared" si="9"/>
        <v>1</v>
      </c>
      <c r="Z18" s="1">
        <f t="shared" si="10"/>
        <v>1.2365959919080913</v>
      </c>
      <c r="AA18" s="139" t="str">
        <f t="shared" si="11"/>
        <v>(3,2,1,1,1,3); yield at good installation, average is lower while optimum would be higher, basic uncertainty = 1.2</v>
      </c>
      <c r="AB18" s="155">
        <v>0</v>
      </c>
      <c r="AC18" s="29">
        <f t="shared" si="12"/>
        <v>1</v>
      </c>
      <c r="AD18" s="1">
        <f t="shared" si="13"/>
        <v>1.2365959919080913</v>
      </c>
      <c r="AE18" s="139" t="str">
        <f t="shared" si="14"/>
        <v>(3,2,1,1,1,3); yield at good installation, average is lower while optimum would be higher, basic uncertainty = 1.2</v>
      </c>
      <c r="AF18" s="155">
        <v>0</v>
      </c>
      <c r="AG18" s="29">
        <f t="shared" si="15"/>
        <v>1</v>
      </c>
      <c r="AH18" s="1">
        <f t="shared" si="16"/>
        <v>1.2365959919080913</v>
      </c>
      <c r="AI18" s="139" t="str">
        <f t="shared" si="17"/>
        <v>(3,2,1,1,1,3); yield at good installation, average is lower while optimum would be higher, basic uncertainty = 1.2</v>
      </c>
      <c r="AJ18" s="155">
        <v>0</v>
      </c>
      <c r="AK18" s="29">
        <f t="shared" si="18"/>
        <v>1</v>
      </c>
      <c r="AL18" s="1">
        <f t="shared" si="19"/>
        <v>1.2365959919080913</v>
      </c>
      <c r="AM18" s="31" t="str">
        <f t="shared" si="20"/>
        <v>(3,2,1,1,1,3); yield at good installation, average is lower while optimum would be higher, basic uncertainty = 1.2</v>
      </c>
      <c r="AN18" s="155">
        <v>0</v>
      </c>
      <c r="AO18" s="29">
        <f t="shared" si="21"/>
        <v>1</v>
      </c>
      <c r="AP18" s="1">
        <f t="shared" si="22"/>
        <v>1.2365959919080913</v>
      </c>
      <c r="AQ18" s="139" t="str">
        <f t="shared" si="23"/>
        <v>(3,2,1,1,1,3); yield at good installation, average is lower while optimum would be higher, basic uncertainty = 1.2</v>
      </c>
      <c r="AR18" s="155">
        <v>0</v>
      </c>
      <c r="AS18" s="29">
        <f t="shared" si="24"/>
        <v>1</v>
      </c>
      <c r="AT18" s="1">
        <f t="shared" si="25"/>
        <v>1.2365959919080913</v>
      </c>
      <c r="AU18" s="31" t="str">
        <f t="shared" si="26"/>
        <v>(3,2,1,1,1,3); yield at good installation, average is lower while optimum would be higher, basic uncertainty = 1.2</v>
      </c>
      <c r="AV18" s="155">
        <v>0</v>
      </c>
      <c r="AW18" s="29">
        <f t="shared" si="27"/>
        <v>1</v>
      </c>
      <c r="AX18" s="1">
        <f t="shared" si="28"/>
        <v>1.2365959919080913</v>
      </c>
      <c r="AY18" s="139" t="str">
        <f t="shared" si="29"/>
        <v>(3,2,1,1,1,3); yield at good installation, average is lower while optimum would be higher, basic uncertainty = 1.2</v>
      </c>
      <c r="AZ18" s="155">
        <v>0</v>
      </c>
      <c r="BA18" s="29">
        <f t="shared" si="30"/>
        <v>1</v>
      </c>
      <c r="BB18" s="1">
        <f t="shared" si="31"/>
        <v>1.2365959919080913</v>
      </c>
      <c r="BC18" s="139" t="str">
        <f t="shared" si="32"/>
        <v>(3,2,1,1,1,3); yield at good installation, average is lower while optimum would be higher, basic uncertainty = 1.2</v>
      </c>
      <c r="BD18" s="155">
        <v>0</v>
      </c>
      <c r="BE18" s="29">
        <f t="shared" si="33"/>
        <v>1</v>
      </c>
      <c r="BF18" s="1">
        <f t="shared" si="34"/>
        <v>1.2365959919080913</v>
      </c>
      <c r="BG18" s="139" t="str">
        <f t="shared" si="35"/>
        <v>(3,2,1,1,1,3); yield at good installation, average is lower while optimum would be higher, basic uncertainty = 1.2</v>
      </c>
      <c r="BH18" s="29">
        <f t="shared" si="36"/>
        <v>1</v>
      </c>
      <c r="BI18" s="1">
        <f t="shared" si="37"/>
        <v>1.2365959919080913</v>
      </c>
      <c r="BJ18" s="139" t="str">
        <f t="shared" si="38"/>
        <v>(3,2,1,1,1,3); yield at good installation, average is lower while optimum would be higher, basic uncertainty = 1.2</v>
      </c>
      <c r="BK18" s="155">
        <v>0</v>
      </c>
      <c r="BL18" s="29">
        <f t="shared" si="39"/>
        <v>1</v>
      </c>
      <c r="BM18" s="1">
        <f t="shared" si="40"/>
        <v>1.2365959919080913</v>
      </c>
      <c r="BN18" s="139" t="str">
        <f t="shared" si="41"/>
        <v>(3,2,1,1,1,3); yield at good installation, average is lower while optimum would be higher, basic uncertainty = 1.2</v>
      </c>
      <c r="BO18" s="155">
        <v>0</v>
      </c>
      <c r="BP18" s="29">
        <f t="shared" si="42"/>
        <v>1</v>
      </c>
      <c r="BQ18" s="1">
        <f t="shared" si="43"/>
        <v>1.2365959919080913</v>
      </c>
      <c r="BR18" s="139" t="str">
        <f t="shared" si="44"/>
        <v>(3,2,1,1,1,3); yield at good installation, average is lower while optimum would be higher, basic uncertainty = 1.2</v>
      </c>
      <c r="BS18" s="155">
        <v>0</v>
      </c>
      <c r="BT18" s="29">
        <f t="shared" si="45"/>
        <v>1</v>
      </c>
      <c r="BU18" s="1">
        <f t="shared" si="46"/>
        <v>1.2365959919080913</v>
      </c>
      <c r="BV18" s="139" t="str">
        <f t="shared" si="47"/>
        <v>(3,2,1,1,1,3); yield at good installation, average is lower while optimum would be higher, basic uncertainty = 1.2</v>
      </c>
      <c r="BW18" s="155">
        <v>0</v>
      </c>
      <c r="BX18" s="29">
        <f t="shared" si="48"/>
        <v>1</v>
      </c>
      <c r="BY18" s="1">
        <f t="shared" si="49"/>
        <v>1.2365959919080913</v>
      </c>
      <c r="BZ18" s="31" t="str">
        <f t="shared" si="62"/>
        <v>(3,2,1,1,1,3); yield at good installation, average is lower while optimum would be higher, basic uncertainty = 1.2</v>
      </c>
      <c r="CA18" s="155">
        <f t="shared" si="73"/>
        <v>0</v>
      </c>
      <c r="CB18" s="29">
        <f t="shared" si="50"/>
        <v>1</v>
      </c>
      <c r="CC18" s="1">
        <f t="shared" si="51"/>
        <v>1.2365959919080913</v>
      </c>
      <c r="CD18" s="139" t="str">
        <f t="shared" si="63"/>
        <v>(3,2,1,1,1,3); yield at good installation, average is lower while optimum would be higher, basic uncertainty = 1.2</v>
      </c>
      <c r="CE18" s="155">
        <f t="shared" si="74"/>
        <v>0</v>
      </c>
      <c r="CF18" s="29">
        <f t="shared" si="52"/>
        <v>1</v>
      </c>
      <c r="CG18" s="1">
        <f t="shared" si="53"/>
        <v>1.2365959919080913</v>
      </c>
      <c r="CH18" s="139" t="str">
        <f t="shared" si="64"/>
        <v>(3,2,1,1,1,3); yield at good installation, average is lower while optimum would be higher, basic uncertainty = 1.2</v>
      </c>
      <c r="CI18" s="155">
        <f t="shared" si="75"/>
        <v>0</v>
      </c>
      <c r="CJ18" s="29">
        <f t="shared" si="54"/>
        <v>1</v>
      </c>
      <c r="CK18" s="1">
        <f t="shared" si="55"/>
        <v>1.2365959919080913</v>
      </c>
      <c r="CL18" s="139" t="str">
        <f t="shared" si="65"/>
        <v>(3,2,1,1,1,3); yield at good installation, average is lower while optimum would be higher, basic uncertainty = 1.2</v>
      </c>
      <c r="CM18" s="155">
        <f t="shared" si="76"/>
        <v>0</v>
      </c>
      <c r="CN18" s="29">
        <f t="shared" si="56"/>
        <v>1</v>
      </c>
      <c r="CO18" s="1">
        <f t="shared" si="57"/>
        <v>1.2365959919080913</v>
      </c>
      <c r="CP18" s="139" t="str">
        <f t="shared" si="66"/>
        <v>(3,2,1,1,1,3); yield at good installation, average is lower while optimum would be higher, basic uncertainty = 1.2</v>
      </c>
      <c r="CQ18" s="155">
        <f t="shared" si="77"/>
        <v>0</v>
      </c>
      <c r="CR18" s="29">
        <f t="shared" si="58"/>
        <v>1</v>
      </c>
      <c r="CS18" s="1">
        <f t="shared" si="59"/>
        <v>1.2365959919080913</v>
      </c>
      <c r="CT18" s="139" t="str">
        <f t="shared" si="67"/>
        <v>(3,2,1,1,1,3); yield at good installation, average is lower while optimum would be higher, basic uncertainty = 1.2</v>
      </c>
      <c r="CU18" s="155">
        <f t="shared" si="79"/>
        <v>0</v>
      </c>
      <c r="CV18" s="29">
        <f t="shared" si="60"/>
        <v>1</v>
      </c>
      <c r="CW18" s="1">
        <f t="shared" si="61"/>
        <v>1.2365959919080913</v>
      </c>
      <c r="CX18" s="139" t="str">
        <f t="shared" si="68"/>
        <v>(3,2,1,1,1,3); yield at good installation, average is lower while optimum would be higher, basic uncertainty = 1.2</v>
      </c>
      <c r="CY18" s="155" t="e">
        <f>1/(#REF!*3*lifetime)*DC18</f>
        <v>#REF!</v>
      </c>
      <c r="CZ18" s="29">
        <v>1</v>
      </c>
      <c r="DA18" s="1">
        <f t="shared" si="69"/>
        <v>1.2365959919080913</v>
      </c>
      <c r="DB18" s="31" t="str">
        <f t="shared" si="80"/>
        <v>(3,2,1,1,1,3); average yield, estimation for share of technologies. Basic uncertainty = 1.2</v>
      </c>
      <c r="DC18" s="287" t="e">
        <f>#REF!</f>
        <v>#REF!</v>
      </c>
      <c r="DD18" s="289" t="e">
        <f>#REF!</f>
        <v>#REF!</v>
      </c>
      <c r="DE18" s="287" t="e">
        <f>#REF!</f>
        <v>#REF!</v>
      </c>
      <c r="DF18" s="115" t="str">
        <f t="shared" si="81"/>
        <v>yield at good installation, average is lower while optimum would be higher, basic uncertainty = 1.2</v>
      </c>
      <c r="DG18" s="10">
        <f t="shared" si="82"/>
        <v>3</v>
      </c>
      <c r="DH18" s="50">
        <v>2</v>
      </c>
      <c r="DI18" s="50">
        <v>1</v>
      </c>
      <c r="DJ18" s="50">
        <v>1</v>
      </c>
      <c r="DK18" s="50">
        <v>1</v>
      </c>
      <c r="DL18" s="50">
        <v>3</v>
      </c>
      <c r="DM18" s="50">
        <f>IF(OR($D18="4",$E18="4"),INDEX([14]NamesElementary!$J$1:$J$65536,MATCH($A18,[14]NamesElementary!$A$1:$A$65536,0),1),INDEX([14]Names!$W$1:$W$65602,MATCH($A18,[14]Names!$F$1:$F$65602,0),1))</f>
        <v>9</v>
      </c>
      <c r="DN18" s="312">
        <f t="shared" si="83"/>
        <v>1.2</v>
      </c>
      <c r="DO18" s="87">
        <f t="shared" si="70"/>
        <v>1.1150377561073679</v>
      </c>
      <c r="DP18" s="88">
        <f t="shared" si="71"/>
        <v>1.2365959919080913</v>
      </c>
      <c r="DQ18" s="89" t="str">
        <f t="shared" si="72"/>
        <v>(3,2,1,1,1,3)</v>
      </c>
      <c r="DS18" s="52">
        <f>IF(DG18=1,'[14]SDG^2 values'!$B$4,IF(DG18=2,'[14]SDG^2 values'!$C$4,IF(DG18=3,'[14]SDG^2 values'!$D$4,IF(DG18=4,'[14]SDG^2 values'!$E$4,IF(DG18=5,'[14]SDG^2 values'!$F$4,1)))))</f>
        <v>1.1000000000000001</v>
      </c>
      <c r="DT18" s="52">
        <f>IF(DH18=1,'[14]SDG^2 values'!$B$5,IF(DH18=2,'[14]SDG^2 values'!$C$5,IF(DH18=3,'[14]SDG^2 values'!$D$5,IF(DH18=4,'[14]SDG^2 values'!$E$5,IF(DH18=5,'[14]SDG^2 values'!$F$5,1)))))</f>
        <v>1.02</v>
      </c>
      <c r="DU18" s="52">
        <f>IF(DI18=1,'[14]SDG^2 values'!$B$6,IF(DI18=2,'[14]SDG^2 values'!$C$6,IF(DI18=3,'[14]SDG^2 values'!$D$6,IF(DI18=4,'[14]SDG^2 values'!$E$6,IF(DI18=5,'[14]SDG^2 values'!$F$6,1)))))</f>
        <v>1</v>
      </c>
      <c r="DV18" s="52">
        <f>IF(DJ18=1,'[14]SDG^2 values'!$B$7,IF(DJ18=2,'[14]SDG^2 values'!$C$7,IF(DJ18=3,'[14]SDG^2 values'!$D$7,IF(DJ18=4,'[14]SDG^2 values'!$E$7,IF(DJ18=5,'[14]SDG^2 values'!$F$7,1)))))</f>
        <v>1</v>
      </c>
      <c r="DW18" s="52">
        <f>IF(DK18=1,'[14]SDG^2 values'!$B$8,IF(DK18=2,'[14]SDG^2 values'!$C$8,IF(DK18=3,'[14]SDG^2 values'!$D$8,IF(DK18=4,'[14]SDG^2 values'!$E$8,IF(DK18=5,'[14]SDG^2 values'!$F$8,1)))))</f>
        <v>1</v>
      </c>
      <c r="DX18" s="52">
        <f>IF(DL18=1,'[14]SDG^2 values'!$B$9,IF(DL18=2,'[14]SDG^2 values'!$C$9,IF(DL18=3,'[14]SDG^2 values'!$D$9,IF(DL18=4,'[14]SDG^2 values'!$E$9,IF(DL18=5,'[14]SDG^2 values'!$F$9,1)))))</f>
        <v>1.05</v>
      </c>
    </row>
    <row r="19" spans="1:128" ht="18" customHeight="1">
      <c r="A19" s="156">
        <v>1318</v>
      </c>
      <c r="B19" s="168" t="s">
        <v>525</v>
      </c>
      <c r="C19" s="151"/>
      <c r="D19" s="152" t="s">
        <v>526</v>
      </c>
      <c r="E19" s="153" t="s">
        <v>402</v>
      </c>
      <c r="F19" s="144" t="str">
        <f>IF(OR(D19="4",E19="4"),INDEX([14]NamesElementary!$B$1:$B$65536,MATCH(A19,[14]NamesElementary!$A$1:$A$65536,0),1),INDEX([14]Names!$J$1:$J$65602,MATCH(A19,[14]Names!$F$1:$F$65602,0),1))</f>
        <v>3kWp flat roof installation, single-Si, on roof</v>
      </c>
      <c r="G19" s="125" t="str">
        <f>IF(OR(D19="4",E19="4"),"-",INDEX([14]Names!$K$1:$K$65602,MATCH(A19,[14]Names!$F$1:$F$65602,0),1))</f>
        <v>CH</v>
      </c>
      <c r="H19" s="154" t="str">
        <f>IF(OR(D19="4",E19="4"),INDEX([14]NamesElementary!$D$1:$D$65536,MATCH($A19,[14]NamesElementary!$A$1:$A$65536,0),1),"-")</f>
        <v>-</v>
      </c>
      <c r="I19" s="123" t="str">
        <f>IF(OR(D19="4",E19="4"),INDEX([14]NamesElementary!$E$1:$E$65536,MATCH($A19,[14]NamesElementary!$A$1:$A$65536,0),1),"-")</f>
        <v>-</v>
      </c>
      <c r="J19" s="124">
        <f>IF(OR(D19="4",E19="4"),"-",INDEX([14]Names!$N$1:$N$65602,MATCH(A19,[14]Names!$F$1:$F$65602,0),1))</f>
        <v>1</v>
      </c>
      <c r="K19" s="125" t="str">
        <f>IF(OR(D19="4",E19="4"),INDEX([14]NamesElementary!$G$1:$G$65536,MATCH(A19,[14]NamesElementary!$A$1:$A$65536,0),1),INDEX([14]Names!$O$1:$O$65602,MATCH(A19,[14]Names!$F$1:$F$65602,0),1))</f>
        <v>unit</v>
      </c>
      <c r="L19" s="155">
        <v>0</v>
      </c>
      <c r="M19" s="29">
        <f t="shared" si="0"/>
        <v>1</v>
      </c>
      <c r="N19" s="1">
        <f t="shared" si="1"/>
        <v>1.2365959919080913</v>
      </c>
      <c r="O19" s="139" t="str">
        <f t="shared" si="2"/>
        <v>(3,2,1,1,1,3); yield at good installation, average is lower while optimum would be higher, basic uncertainty = 1.2</v>
      </c>
      <c r="P19" s="155">
        <v>0</v>
      </c>
      <c r="Q19" s="29">
        <f t="shared" si="3"/>
        <v>1</v>
      </c>
      <c r="R19" s="1">
        <f t="shared" si="4"/>
        <v>1.2365959919080913</v>
      </c>
      <c r="S19" s="139" t="str">
        <f t="shared" si="5"/>
        <v>(3,2,1,1,1,3); yield at good installation, average is lower while optimum would be higher, basic uncertainty = 1.2</v>
      </c>
      <c r="T19" s="155">
        <v>0</v>
      </c>
      <c r="U19" s="29">
        <f t="shared" si="6"/>
        <v>1</v>
      </c>
      <c r="V19" s="1">
        <f t="shared" si="7"/>
        <v>1.2365959919080913</v>
      </c>
      <c r="W19" s="139" t="str">
        <f t="shared" si="8"/>
        <v>(3,2,1,1,1,3); yield at good installation, average is lower while optimum would be higher, basic uncertainty = 1.2</v>
      </c>
      <c r="X19" s="155">
        <v>0</v>
      </c>
      <c r="Y19" s="29">
        <f t="shared" si="9"/>
        <v>1</v>
      </c>
      <c r="Z19" s="1">
        <f t="shared" si="10"/>
        <v>1.2365959919080913</v>
      </c>
      <c r="AA19" s="139" t="str">
        <f t="shared" si="11"/>
        <v>(3,2,1,1,1,3); yield at good installation, average is lower while optimum would be higher, basic uncertainty = 1.2</v>
      </c>
      <c r="AB19" s="155" t="e">
        <f>1/(Schrägdach*3*lifetime)</f>
        <v>#REF!</v>
      </c>
      <c r="AC19" s="29">
        <f t="shared" si="12"/>
        <v>1</v>
      </c>
      <c r="AD19" s="1">
        <f t="shared" si="13"/>
        <v>1.2365959919080913</v>
      </c>
      <c r="AE19" s="139" t="str">
        <f t="shared" si="14"/>
        <v>(3,2,1,1,1,3); yield at good installation, average is lower while optimum would be higher, basic uncertainty = 1.2</v>
      </c>
      <c r="AF19" s="155">
        <v>0</v>
      </c>
      <c r="AG19" s="29">
        <f t="shared" si="15"/>
        <v>1</v>
      </c>
      <c r="AH19" s="1">
        <f t="shared" si="16"/>
        <v>1.2365959919080913</v>
      </c>
      <c r="AI19" s="139" t="str">
        <f t="shared" si="17"/>
        <v>(3,2,1,1,1,3); yield at good installation, average is lower while optimum would be higher, basic uncertainty = 1.2</v>
      </c>
      <c r="AJ19" s="155">
        <v>0</v>
      </c>
      <c r="AK19" s="29">
        <f t="shared" si="18"/>
        <v>1</v>
      </c>
      <c r="AL19" s="1">
        <f t="shared" si="19"/>
        <v>1.2365959919080913</v>
      </c>
      <c r="AM19" s="31" t="str">
        <f t="shared" si="20"/>
        <v>(3,2,1,1,1,3); yield at good installation, average is lower while optimum would be higher, basic uncertainty = 1.2</v>
      </c>
      <c r="AN19" s="155">
        <v>0</v>
      </c>
      <c r="AO19" s="29">
        <f t="shared" si="21"/>
        <v>1</v>
      </c>
      <c r="AP19" s="1">
        <f t="shared" si="22"/>
        <v>1.2365959919080913</v>
      </c>
      <c r="AQ19" s="139" t="str">
        <f t="shared" si="23"/>
        <v>(3,2,1,1,1,3); yield at good installation, average is lower while optimum would be higher, basic uncertainty = 1.2</v>
      </c>
      <c r="AR19" s="155">
        <v>0</v>
      </c>
      <c r="AS19" s="29">
        <f t="shared" si="24"/>
        <v>1</v>
      </c>
      <c r="AT19" s="1">
        <f t="shared" si="25"/>
        <v>1.2365959919080913</v>
      </c>
      <c r="AU19" s="31" t="str">
        <f t="shared" si="26"/>
        <v>(3,2,1,1,1,3); yield at good installation, average is lower while optimum would be higher, basic uncertainty = 1.2</v>
      </c>
      <c r="AV19" s="155">
        <v>0</v>
      </c>
      <c r="AW19" s="29">
        <f t="shared" si="27"/>
        <v>1</v>
      </c>
      <c r="AX19" s="1">
        <f t="shared" si="28"/>
        <v>1.2365959919080913</v>
      </c>
      <c r="AY19" s="139" t="str">
        <f t="shared" si="29"/>
        <v>(3,2,1,1,1,3); yield at good installation, average is lower while optimum would be higher, basic uncertainty = 1.2</v>
      </c>
      <c r="AZ19" s="155">
        <v>0</v>
      </c>
      <c r="BA19" s="29">
        <f t="shared" si="30"/>
        <v>1</v>
      </c>
      <c r="BB19" s="1">
        <f t="shared" si="31"/>
        <v>1.2365959919080913</v>
      </c>
      <c r="BC19" s="139" t="str">
        <f t="shared" si="32"/>
        <v>(3,2,1,1,1,3); yield at good installation, average is lower while optimum would be higher, basic uncertainty = 1.2</v>
      </c>
      <c r="BD19" s="155">
        <v>0</v>
      </c>
      <c r="BE19" s="29">
        <f t="shared" si="33"/>
        <v>1</v>
      </c>
      <c r="BF19" s="1">
        <f t="shared" si="34"/>
        <v>1.2365959919080913</v>
      </c>
      <c r="BG19" s="139" t="str">
        <f t="shared" si="35"/>
        <v>(3,2,1,1,1,3); yield at good installation, average is lower while optimum would be higher, basic uncertainty = 1.2</v>
      </c>
      <c r="BH19" s="29">
        <f t="shared" si="36"/>
        <v>1</v>
      </c>
      <c r="BI19" s="1">
        <f t="shared" si="37"/>
        <v>1.2365959919080913</v>
      </c>
      <c r="BJ19" s="139" t="str">
        <f t="shared" si="38"/>
        <v>(3,2,1,1,1,3); yield at good installation, average is lower while optimum would be higher, basic uncertainty = 1.2</v>
      </c>
      <c r="BK19" s="155">
        <v>0</v>
      </c>
      <c r="BL19" s="29">
        <f t="shared" si="39"/>
        <v>1</v>
      </c>
      <c r="BM19" s="1">
        <f t="shared" si="40"/>
        <v>1.2365959919080913</v>
      </c>
      <c r="BN19" s="139" t="str">
        <f t="shared" si="41"/>
        <v>(3,2,1,1,1,3); yield at good installation, average is lower while optimum would be higher, basic uncertainty = 1.2</v>
      </c>
      <c r="BO19" s="155">
        <v>0</v>
      </c>
      <c r="BP19" s="29">
        <f t="shared" si="42"/>
        <v>1</v>
      </c>
      <c r="BQ19" s="1">
        <f t="shared" si="43"/>
        <v>1.2365959919080913</v>
      </c>
      <c r="BR19" s="139" t="str">
        <f t="shared" si="44"/>
        <v>(3,2,1,1,1,3); yield at good installation, average is lower while optimum would be higher, basic uncertainty = 1.2</v>
      </c>
      <c r="BS19" s="155">
        <v>0</v>
      </c>
      <c r="BT19" s="29">
        <f t="shared" si="45"/>
        <v>1</v>
      </c>
      <c r="BU19" s="1">
        <f t="shared" si="46"/>
        <v>1.2365959919080913</v>
      </c>
      <c r="BV19" s="139" t="str">
        <f t="shared" si="47"/>
        <v>(3,2,1,1,1,3); yield at good installation, average is lower while optimum would be higher, basic uncertainty = 1.2</v>
      </c>
      <c r="BW19" s="155">
        <v>0</v>
      </c>
      <c r="BX19" s="29">
        <f t="shared" si="48"/>
        <v>1</v>
      </c>
      <c r="BY19" s="1">
        <f t="shared" si="49"/>
        <v>1.2365959919080913</v>
      </c>
      <c r="BZ19" s="31" t="str">
        <f t="shared" si="62"/>
        <v>(3,2,1,1,1,3); yield at good installation, average is lower while optimum would be higher, basic uncertainty = 1.2</v>
      </c>
      <c r="CA19" s="155">
        <f t="shared" si="73"/>
        <v>0</v>
      </c>
      <c r="CB19" s="29">
        <f t="shared" si="50"/>
        <v>1</v>
      </c>
      <c r="CC19" s="1">
        <f t="shared" si="51"/>
        <v>1.2365959919080913</v>
      </c>
      <c r="CD19" s="139" t="str">
        <f t="shared" si="63"/>
        <v>(3,2,1,1,1,3); yield at good installation, average is lower while optimum would be higher, basic uncertainty = 1.2</v>
      </c>
      <c r="CE19" s="155">
        <f t="shared" si="74"/>
        <v>0</v>
      </c>
      <c r="CF19" s="29">
        <f t="shared" si="52"/>
        <v>1</v>
      </c>
      <c r="CG19" s="1">
        <f t="shared" si="53"/>
        <v>1.2365959919080913</v>
      </c>
      <c r="CH19" s="139" t="str">
        <f t="shared" si="64"/>
        <v>(3,2,1,1,1,3); yield at good installation, average is lower while optimum would be higher, basic uncertainty = 1.2</v>
      </c>
      <c r="CI19" s="155">
        <f t="shared" si="75"/>
        <v>0</v>
      </c>
      <c r="CJ19" s="29">
        <f t="shared" si="54"/>
        <v>1</v>
      </c>
      <c r="CK19" s="1">
        <f t="shared" si="55"/>
        <v>1.2365959919080913</v>
      </c>
      <c r="CL19" s="139" t="str">
        <f t="shared" si="65"/>
        <v>(3,2,1,1,1,3); yield at good installation, average is lower while optimum would be higher, basic uncertainty = 1.2</v>
      </c>
      <c r="CM19" s="155">
        <f t="shared" si="76"/>
        <v>0</v>
      </c>
      <c r="CN19" s="29">
        <f t="shared" si="56"/>
        <v>1</v>
      </c>
      <c r="CO19" s="1">
        <f t="shared" si="57"/>
        <v>1.2365959919080913</v>
      </c>
      <c r="CP19" s="139" t="str">
        <f t="shared" si="66"/>
        <v>(3,2,1,1,1,3); yield at good installation, average is lower while optimum would be higher, basic uncertainty = 1.2</v>
      </c>
      <c r="CQ19" s="155">
        <f t="shared" si="77"/>
        <v>0</v>
      </c>
      <c r="CR19" s="29">
        <f t="shared" si="58"/>
        <v>1</v>
      </c>
      <c r="CS19" s="1">
        <f t="shared" si="59"/>
        <v>1.2365959919080913</v>
      </c>
      <c r="CT19" s="139" t="str">
        <f t="shared" si="67"/>
        <v>(3,2,1,1,1,3); yield at good installation, average is lower while optimum would be higher, basic uncertainty = 1.2</v>
      </c>
      <c r="CU19" s="155">
        <f t="shared" si="79"/>
        <v>0</v>
      </c>
      <c r="CV19" s="29">
        <f t="shared" si="60"/>
        <v>1</v>
      </c>
      <c r="CW19" s="1">
        <f t="shared" si="61"/>
        <v>1.2365959919080913</v>
      </c>
      <c r="CX19" s="139" t="str">
        <f t="shared" si="68"/>
        <v>(3,2,1,1,1,3); yield at good installation, average is lower while optimum would be higher, basic uncertainty = 1.2</v>
      </c>
      <c r="CY19" s="155" t="e">
        <f>1/(#REF!*3*lifetime)*DC19</f>
        <v>#REF!</v>
      </c>
      <c r="CZ19" s="29">
        <v>1</v>
      </c>
      <c r="DA19" s="1">
        <f t="shared" si="69"/>
        <v>1.2365959919080913</v>
      </c>
      <c r="DB19" s="31" t="str">
        <f t="shared" si="80"/>
        <v>(3,2,1,1,1,3); average yield, estimation for share of technologies. Basic uncertainty = 1.2</v>
      </c>
      <c r="DC19" s="287" t="e">
        <f>#REF!</f>
        <v>#REF!</v>
      </c>
      <c r="DD19" s="289" t="e">
        <f>#REF!</f>
        <v>#REF!</v>
      </c>
      <c r="DE19" s="287" t="e">
        <f>#REF!</f>
        <v>#REF!</v>
      </c>
      <c r="DF19" s="115" t="str">
        <f t="shared" si="81"/>
        <v>yield at good installation, average is lower while optimum would be higher, basic uncertainty = 1.2</v>
      </c>
      <c r="DG19" s="10">
        <f t="shared" si="82"/>
        <v>3</v>
      </c>
      <c r="DH19" s="50">
        <v>2</v>
      </c>
      <c r="DI19" s="50">
        <v>1</v>
      </c>
      <c r="DJ19" s="50">
        <v>1</v>
      </c>
      <c r="DK19" s="50">
        <v>1</v>
      </c>
      <c r="DL19" s="50">
        <v>3</v>
      </c>
      <c r="DM19" s="50">
        <f>IF(OR($D19="4",$E19="4"),INDEX([14]NamesElementary!$J$1:$J$65536,MATCH($A19,[14]NamesElementary!$A$1:$A$65536,0),1),INDEX([14]Names!$W$1:$W$65602,MATCH($A19,[14]Names!$F$1:$F$65602,0),1))</f>
        <v>9</v>
      </c>
      <c r="DN19" s="312">
        <f t="shared" si="83"/>
        <v>1.2</v>
      </c>
      <c r="DO19" s="87">
        <f t="shared" si="70"/>
        <v>1.1150377561073679</v>
      </c>
      <c r="DP19" s="88">
        <f t="shared" si="71"/>
        <v>1.2365959919080913</v>
      </c>
      <c r="DQ19" s="89" t="str">
        <f t="shared" si="72"/>
        <v>(3,2,1,1,1,3)</v>
      </c>
      <c r="DS19" s="52">
        <f>IF(DG19=1,'[14]SDG^2 values'!$B$4,IF(DG19=2,'[14]SDG^2 values'!$C$4,IF(DG19=3,'[14]SDG^2 values'!$D$4,IF(DG19=4,'[14]SDG^2 values'!$E$4,IF(DG19=5,'[14]SDG^2 values'!$F$4,1)))))</f>
        <v>1.1000000000000001</v>
      </c>
      <c r="DT19" s="52">
        <f>IF(DH19=1,'[14]SDG^2 values'!$B$5,IF(DH19=2,'[14]SDG^2 values'!$C$5,IF(DH19=3,'[14]SDG^2 values'!$D$5,IF(DH19=4,'[14]SDG^2 values'!$E$5,IF(DH19=5,'[14]SDG^2 values'!$F$5,1)))))</f>
        <v>1.02</v>
      </c>
      <c r="DU19" s="52">
        <f>IF(DI19=1,'[14]SDG^2 values'!$B$6,IF(DI19=2,'[14]SDG^2 values'!$C$6,IF(DI19=3,'[14]SDG^2 values'!$D$6,IF(DI19=4,'[14]SDG^2 values'!$E$6,IF(DI19=5,'[14]SDG^2 values'!$F$6,1)))))</f>
        <v>1</v>
      </c>
      <c r="DV19" s="52">
        <f>IF(DJ19=1,'[14]SDG^2 values'!$B$7,IF(DJ19=2,'[14]SDG^2 values'!$C$7,IF(DJ19=3,'[14]SDG^2 values'!$D$7,IF(DJ19=4,'[14]SDG^2 values'!$E$7,IF(DJ19=5,'[14]SDG^2 values'!$F$7,1)))))</f>
        <v>1</v>
      </c>
      <c r="DW19" s="52">
        <f>IF(DK19=1,'[14]SDG^2 values'!$B$8,IF(DK19=2,'[14]SDG^2 values'!$C$8,IF(DK19=3,'[14]SDG^2 values'!$D$8,IF(DK19=4,'[14]SDG^2 values'!$E$8,IF(DK19=5,'[14]SDG^2 values'!$F$8,1)))))</f>
        <v>1</v>
      </c>
      <c r="DX19" s="52">
        <f>IF(DL19=1,'[14]SDG^2 values'!$B$9,IF(DL19=2,'[14]SDG^2 values'!$C$9,IF(DL19=3,'[14]SDG^2 values'!$D$9,IF(DL19=4,'[14]SDG^2 values'!$E$9,IF(DL19=5,'[14]SDG^2 values'!$F$9,1)))))</f>
        <v>1.05</v>
      </c>
    </row>
    <row r="20" spans="1:128" ht="18" customHeight="1">
      <c r="A20" s="156">
        <v>1320</v>
      </c>
      <c r="B20" s="168" t="s">
        <v>525</v>
      </c>
      <c r="C20" s="151"/>
      <c r="D20" s="152" t="s">
        <v>526</v>
      </c>
      <c r="E20" s="153" t="s">
        <v>402</v>
      </c>
      <c r="F20" s="144" t="str">
        <f>IF(OR(D20="4",E20="4"),INDEX([14]NamesElementary!$B$1:$B$65536,MATCH(A20,[14]NamesElementary!$A$1:$A$65536,0),1),INDEX([14]Names!$J$1:$J$65602,MATCH(A20,[14]Names!$F$1:$F$65602,0),1))</f>
        <v>3kWp flat roof installation, multi-Si, on roof</v>
      </c>
      <c r="G20" s="125" t="str">
        <f>IF(OR(D20="4",E20="4"),"-",INDEX([14]Names!$K$1:$K$65602,MATCH(A20,[14]Names!$F$1:$F$65602,0),1))</f>
        <v>CH</v>
      </c>
      <c r="H20" s="154" t="str">
        <f>IF(OR(D20="4",E20="4"),INDEX([14]NamesElementary!$D$1:$D$65536,MATCH($A20,[14]NamesElementary!$A$1:$A$65536,0),1),"-")</f>
        <v>-</v>
      </c>
      <c r="I20" s="123" t="str">
        <f>IF(OR(D20="4",E20="4"),INDEX([14]NamesElementary!$E$1:$E$65536,MATCH($A20,[14]NamesElementary!$A$1:$A$65536,0),1),"-")</f>
        <v>-</v>
      </c>
      <c r="J20" s="124">
        <f>IF(OR(D20="4",E20="4"),"-",INDEX([14]Names!$N$1:$N$65602,MATCH(A20,[14]Names!$F$1:$F$65602,0),1))</f>
        <v>1</v>
      </c>
      <c r="K20" s="125" t="str">
        <f>IF(OR(D20="4",E20="4"),INDEX([14]NamesElementary!$G$1:$G$65536,MATCH(A20,[14]NamesElementary!$A$1:$A$65536,0),1),INDEX([14]Names!$O$1:$O$65602,MATCH(A20,[14]Names!$F$1:$F$65602,0),1))</f>
        <v>unit</v>
      </c>
      <c r="L20" s="155">
        <v>0</v>
      </c>
      <c r="M20" s="29">
        <f t="shared" si="0"/>
        <v>1</v>
      </c>
      <c r="N20" s="1">
        <f t="shared" si="1"/>
        <v>1.2365959919080913</v>
      </c>
      <c r="O20" s="139" t="str">
        <f t="shared" si="2"/>
        <v>(3,2,1,1,1,3); yield at good installation, average is lower while optimum would be higher, basic uncertainty = 1.2</v>
      </c>
      <c r="P20" s="155">
        <v>0</v>
      </c>
      <c r="Q20" s="29">
        <f t="shared" si="3"/>
        <v>1</v>
      </c>
      <c r="R20" s="1">
        <f t="shared" si="4"/>
        <v>1.2365959919080913</v>
      </c>
      <c r="S20" s="139" t="str">
        <f t="shared" si="5"/>
        <v>(3,2,1,1,1,3); yield at good installation, average is lower while optimum would be higher, basic uncertainty = 1.2</v>
      </c>
      <c r="T20" s="155">
        <v>0</v>
      </c>
      <c r="U20" s="29">
        <f t="shared" si="6"/>
        <v>1</v>
      </c>
      <c r="V20" s="1">
        <f t="shared" si="7"/>
        <v>1.2365959919080913</v>
      </c>
      <c r="W20" s="139" t="str">
        <f t="shared" si="8"/>
        <v>(3,2,1,1,1,3); yield at good installation, average is lower while optimum would be higher, basic uncertainty = 1.2</v>
      </c>
      <c r="X20" s="155">
        <v>0</v>
      </c>
      <c r="Y20" s="29">
        <f t="shared" si="9"/>
        <v>1</v>
      </c>
      <c r="Z20" s="1">
        <f t="shared" si="10"/>
        <v>1.2365959919080913</v>
      </c>
      <c r="AA20" s="139" t="str">
        <f t="shared" si="11"/>
        <v>(3,2,1,1,1,3); yield at good installation, average is lower while optimum would be higher, basic uncertainty = 1.2</v>
      </c>
      <c r="AB20" s="155">
        <v>0</v>
      </c>
      <c r="AC20" s="29">
        <f t="shared" si="12"/>
        <v>1</v>
      </c>
      <c r="AD20" s="1">
        <f t="shared" si="13"/>
        <v>1.2365959919080913</v>
      </c>
      <c r="AE20" s="139" t="str">
        <f t="shared" si="14"/>
        <v>(3,2,1,1,1,3); yield at good installation, average is lower while optimum would be higher, basic uncertainty = 1.2</v>
      </c>
      <c r="AF20" s="155" t="e">
        <f>1/(Schrägdach*3*lifetime)</f>
        <v>#REF!</v>
      </c>
      <c r="AG20" s="29">
        <f t="shared" si="15"/>
        <v>1</v>
      </c>
      <c r="AH20" s="1">
        <f t="shared" si="16"/>
        <v>1.2365959919080913</v>
      </c>
      <c r="AI20" s="139" t="str">
        <f t="shared" si="17"/>
        <v>(3,2,1,1,1,3); yield at good installation, average is lower while optimum would be higher, basic uncertainty = 1.2</v>
      </c>
      <c r="AJ20" s="155">
        <v>0</v>
      </c>
      <c r="AK20" s="29">
        <f t="shared" si="18"/>
        <v>1</v>
      </c>
      <c r="AL20" s="1">
        <f t="shared" si="19"/>
        <v>1.2365959919080913</v>
      </c>
      <c r="AM20" s="31" t="str">
        <f t="shared" si="20"/>
        <v>(3,2,1,1,1,3); yield at good installation, average is lower while optimum would be higher, basic uncertainty = 1.2</v>
      </c>
      <c r="AN20" s="155">
        <v>0</v>
      </c>
      <c r="AO20" s="29">
        <f t="shared" si="21"/>
        <v>1</v>
      </c>
      <c r="AP20" s="1">
        <f t="shared" si="22"/>
        <v>1.2365959919080913</v>
      </c>
      <c r="AQ20" s="139" t="str">
        <f t="shared" si="23"/>
        <v>(3,2,1,1,1,3); yield at good installation, average is lower while optimum would be higher, basic uncertainty = 1.2</v>
      </c>
      <c r="AR20" s="155">
        <v>0</v>
      </c>
      <c r="AS20" s="29">
        <f t="shared" si="24"/>
        <v>1</v>
      </c>
      <c r="AT20" s="1">
        <f t="shared" si="25"/>
        <v>1.2365959919080913</v>
      </c>
      <c r="AU20" s="31" t="str">
        <f t="shared" si="26"/>
        <v>(3,2,1,1,1,3); yield at good installation, average is lower while optimum would be higher, basic uncertainty = 1.2</v>
      </c>
      <c r="AV20" s="155">
        <v>0</v>
      </c>
      <c r="AW20" s="29">
        <f t="shared" si="27"/>
        <v>1</v>
      </c>
      <c r="AX20" s="1">
        <f t="shared" si="28"/>
        <v>1.2365959919080913</v>
      </c>
      <c r="AY20" s="139" t="str">
        <f t="shared" si="29"/>
        <v>(3,2,1,1,1,3); yield at good installation, average is lower while optimum would be higher, basic uncertainty = 1.2</v>
      </c>
      <c r="AZ20" s="155">
        <v>0</v>
      </c>
      <c r="BA20" s="29">
        <f t="shared" si="30"/>
        <v>1</v>
      </c>
      <c r="BB20" s="1">
        <f t="shared" si="31"/>
        <v>1.2365959919080913</v>
      </c>
      <c r="BC20" s="139" t="str">
        <f t="shared" si="32"/>
        <v>(3,2,1,1,1,3); yield at good installation, average is lower while optimum would be higher, basic uncertainty = 1.2</v>
      </c>
      <c r="BD20" s="155">
        <v>0</v>
      </c>
      <c r="BE20" s="29">
        <f t="shared" si="33"/>
        <v>1</v>
      </c>
      <c r="BF20" s="1">
        <f t="shared" si="34"/>
        <v>1.2365959919080913</v>
      </c>
      <c r="BG20" s="139" t="str">
        <f t="shared" si="35"/>
        <v>(3,2,1,1,1,3); yield at good installation, average is lower while optimum would be higher, basic uncertainty = 1.2</v>
      </c>
      <c r="BH20" s="29">
        <f t="shared" si="36"/>
        <v>1</v>
      </c>
      <c r="BI20" s="1">
        <f t="shared" si="37"/>
        <v>1.2365959919080913</v>
      </c>
      <c r="BJ20" s="139" t="str">
        <f t="shared" si="38"/>
        <v>(3,2,1,1,1,3); yield at good installation, average is lower while optimum would be higher, basic uncertainty = 1.2</v>
      </c>
      <c r="BK20" s="155">
        <v>0</v>
      </c>
      <c r="BL20" s="29">
        <f t="shared" si="39"/>
        <v>1</v>
      </c>
      <c r="BM20" s="1">
        <f t="shared" si="40"/>
        <v>1.2365959919080913</v>
      </c>
      <c r="BN20" s="139" t="str">
        <f t="shared" si="41"/>
        <v>(3,2,1,1,1,3); yield at good installation, average is lower while optimum would be higher, basic uncertainty = 1.2</v>
      </c>
      <c r="BO20" s="155">
        <v>0</v>
      </c>
      <c r="BP20" s="29">
        <f t="shared" si="42"/>
        <v>1</v>
      </c>
      <c r="BQ20" s="1">
        <f t="shared" si="43"/>
        <v>1.2365959919080913</v>
      </c>
      <c r="BR20" s="139" t="str">
        <f t="shared" si="44"/>
        <v>(3,2,1,1,1,3); yield at good installation, average is lower while optimum would be higher, basic uncertainty = 1.2</v>
      </c>
      <c r="BS20" s="155">
        <v>0</v>
      </c>
      <c r="BT20" s="29">
        <f t="shared" si="45"/>
        <v>1</v>
      </c>
      <c r="BU20" s="1">
        <f t="shared" si="46"/>
        <v>1.2365959919080913</v>
      </c>
      <c r="BV20" s="139" t="str">
        <f t="shared" si="47"/>
        <v>(3,2,1,1,1,3); yield at good installation, average is lower while optimum would be higher, basic uncertainty = 1.2</v>
      </c>
      <c r="BW20" s="155">
        <v>0</v>
      </c>
      <c r="BX20" s="29">
        <f t="shared" si="48"/>
        <v>1</v>
      </c>
      <c r="BY20" s="1">
        <f t="shared" si="49"/>
        <v>1.2365959919080913</v>
      </c>
      <c r="BZ20" s="31" t="str">
        <f t="shared" si="62"/>
        <v>(3,2,1,1,1,3); yield at good installation, average is lower while optimum would be higher, basic uncertainty = 1.2</v>
      </c>
      <c r="CA20" s="155">
        <f t="shared" si="73"/>
        <v>0</v>
      </c>
      <c r="CB20" s="29">
        <f t="shared" si="50"/>
        <v>1</v>
      </c>
      <c r="CC20" s="1">
        <f t="shared" si="51"/>
        <v>1.2365959919080913</v>
      </c>
      <c r="CD20" s="139" t="str">
        <f t="shared" si="63"/>
        <v>(3,2,1,1,1,3); yield at good installation, average is lower while optimum would be higher, basic uncertainty = 1.2</v>
      </c>
      <c r="CE20" s="155">
        <f t="shared" si="74"/>
        <v>0</v>
      </c>
      <c r="CF20" s="29">
        <f t="shared" si="52"/>
        <v>1</v>
      </c>
      <c r="CG20" s="1">
        <f t="shared" si="53"/>
        <v>1.2365959919080913</v>
      </c>
      <c r="CH20" s="139" t="str">
        <f t="shared" si="64"/>
        <v>(3,2,1,1,1,3); yield at good installation, average is lower while optimum would be higher, basic uncertainty = 1.2</v>
      </c>
      <c r="CI20" s="155">
        <f t="shared" si="75"/>
        <v>0</v>
      </c>
      <c r="CJ20" s="29">
        <f t="shared" si="54"/>
        <v>1</v>
      </c>
      <c r="CK20" s="1">
        <f t="shared" si="55"/>
        <v>1.2365959919080913</v>
      </c>
      <c r="CL20" s="139" t="str">
        <f t="shared" si="65"/>
        <v>(3,2,1,1,1,3); yield at good installation, average is lower while optimum would be higher, basic uncertainty = 1.2</v>
      </c>
      <c r="CM20" s="155">
        <f t="shared" si="76"/>
        <v>0</v>
      </c>
      <c r="CN20" s="29">
        <f t="shared" si="56"/>
        <v>1</v>
      </c>
      <c r="CO20" s="1">
        <f t="shared" si="57"/>
        <v>1.2365959919080913</v>
      </c>
      <c r="CP20" s="139" t="str">
        <f t="shared" si="66"/>
        <v>(3,2,1,1,1,3); yield at good installation, average is lower while optimum would be higher, basic uncertainty = 1.2</v>
      </c>
      <c r="CQ20" s="155">
        <f t="shared" si="77"/>
        <v>0</v>
      </c>
      <c r="CR20" s="29">
        <f t="shared" si="58"/>
        <v>1</v>
      </c>
      <c r="CS20" s="1">
        <f t="shared" si="59"/>
        <v>1.2365959919080913</v>
      </c>
      <c r="CT20" s="139" t="str">
        <f t="shared" si="67"/>
        <v>(3,2,1,1,1,3); yield at good installation, average is lower while optimum would be higher, basic uncertainty = 1.2</v>
      </c>
      <c r="CU20" s="155">
        <f t="shared" si="79"/>
        <v>0</v>
      </c>
      <c r="CV20" s="29">
        <f t="shared" si="60"/>
        <v>1</v>
      </c>
      <c r="CW20" s="1">
        <f t="shared" si="61"/>
        <v>1.2365959919080913</v>
      </c>
      <c r="CX20" s="139" t="str">
        <f t="shared" si="68"/>
        <v>(3,2,1,1,1,3); yield at good installation, average is lower while optimum would be higher, basic uncertainty = 1.2</v>
      </c>
      <c r="CY20" s="155" t="e">
        <f>1/(#REF!*3*lifetime)*DC20</f>
        <v>#REF!</v>
      </c>
      <c r="CZ20" s="29">
        <v>1</v>
      </c>
      <c r="DA20" s="1">
        <f t="shared" si="69"/>
        <v>1.2365959919080913</v>
      </c>
      <c r="DB20" s="31" t="str">
        <f t="shared" si="80"/>
        <v>(3,2,1,1,1,3); average yield, estimation for share of technologies. Basic uncertainty = 1.2</v>
      </c>
      <c r="DC20" s="287" t="e">
        <f>#REF!</f>
        <v>#REF!</v>
      </c>
      <c r="DD20" s="289" t="e">
        <f>#REF!</f>
        <v>#REF!</v>
      </c>
      <c r="DE20" s="287" t="e">
        <f>#REF!</f>
        <v>#REF!</v>
      </c>
      <c r="DF20" s="115" t="str">
        <f t="shared" si="81"/>
        <v>yield at good installation, average is lower while optimum would be higher, basic uncertainty = 1.2</v>
      </c>
      <c r="DG20" s="10">
        <f t="shared" si="82"/>
        <v>3</v>
      </c>
      <c r="DH20" s="50">
        <v>2</v>
      </c>
      <c r="DI20" s="50">
        <v>1</v>
      </c>
      <c r="DJ20" s="50">
        <v>1</v>
      </c>
      <c r="DK20" s="50">
        <v>1</v>
      </c>
      <c r="DL20" s="50">
        <v>3</v>
      </c>
      <c r="DM20" s="50">
        <f>IF(OR($D20="4",$E20="4"),INDEX([14]NamesElementary!$J$1:$J$65536,MATCH($A20,[14]NamesElementary!$A$1:$A$65536,0),1),INDEX([14]Names!$W$1:$W$65602,MATCH($A20,[14]Names!$F$1:$F$65602,0),1))</f>
        <v>9</v>
      </c>
      <c r="DN20" s="312">
        <f t="shared" si="83"/>
        <v>1.2</v>
      </c>
      <c r="DO20" s="87">
        <f t="shared" si="70"/>
        <v>1.1150377561073679</v>
      </c>
      <c r="DP20" s="88">
        <f t="shared" si="71"/>
        <v>1.2365959919080913</v>
      </c>
      <c r="DQ20" s="89" t="str">
        <f t="shared" si="72"/>
        <v>(3,2,1,1,1,3)</v>
      </c>
      <c r="DS20" s="52">
        <f>IF(DG20=1,'[14]SDG^2 values'!$B$4,IF(DG20=2,'[14]SDG^2 values'!$C$4,IF(DG20=3,'[14]SDG^2 values'!$D$4,IF(DG20=4,'[14]SDG^2 values'!$E$4,IF(DG20=5,'[14]SDG^2 values'!$F$4,1)))))</f>
        <v>1.1000000000000001</v>
      </c>
      <c r="DT20" s="52">
        <f>IF(DH20=1,'[14]SDG^2 values'!$B$5,IF(DH20=2,'[14]SDG^2 values'!$C$5,IF(DH20=3,'[14]SDG^2 values'!$D$5,IF(DH20=4,'[14]SDG^2 values'!$E$5,IF(DH20=5,'[14]SDG^2 values'!$F$5,1)))))</f>
        <v>1.02</v>
      </c>
      <c r="DU20" s="52">
        <f>IF(DI20=1,'[14]SDG^2 values'!$B$6,IF(DI20=2,'[14]SDG^2 values'!$C$6,IF(DI20=3,'[14]SDG^2 values'!$D$6,IF(DI20=4,'[14]SDG^2 values'!$E$6,IF(DI20=5,'[14]SDG^2 values'!$F$6,1)))))</f>
        <v>1</v>
      </c>
      <c r="DV20" s="52">
        <f>IF(DJ20=1,'[14]SDG^2 values'!$B$7,IF(DJ20=2,'[14]SDG^2 values'!$C$7,IF(DJ20=3,'[14]SDG^2 values'!$D$7,IF(DJ20=4,'[14]SDG^2 values'!$E$7,IF(DJ20=5,'[14]SDG^2 values'!$F$7,1)))))</f>
        <v>1</v>
      </c>
      <c r="DW20" s="52">
        <f>IF(DK20=1,'[14]SDG^2 values'!$B$8,IF(DK20=2,'[14]SDG^2 values'!$C$8,IF(DK20=3,'[14]SDG^2 values'!$D$8,IF(DK20=4,'[14]SDG^2 values'!$E$8,IF(DK20=5,'[14]SDG^2 values'!$F$8,1)))))</f>
        <v>1</v>
      </c>
      <c r="DX20" s="52">
        <f>IF(DL20=1,'[14]SDG^2 values'!$B$9,IF(DL20=2,'[14]SDG^2 values'!$C$9,IF(DL20=3,'[14]SDG^2 values'!$D$9,IF(DL20=4,'[14]SDG^2 values'!$E$9,IF(DL20=5,'[14]SDG^2 values'!$F$9,1)))))</f>
        <v>1.05</v>
      </c>
    </row>
    <row r="21" spans="1:128" ht="30.75" customHeight="1">
      <c r="A21" s="156">
        <v>1322</v>
      </c>
      <c r="B21" s="168" t="s">
        <v>525</v>
      </c>
      <c r="C21" s="151"/>
      <c r="D21" s="152" t="s">
        <v>526</v>
      </c>
      <c r="E21" s="153" t="s">
        <v>402</v>
      </c>
      <c r="F21" s="144" t="str">
        <f>IF(OR(D21="4",E21="4"),INDEX([14]NamesElementary!$B$1:$B$65536,MATCH(A21,[14]NamesElementary!$A$1:$A$65536,0),1),INDEX([14]Names!$J$1:$J$65602,MATCH(A21,[14]Names!$F$1:$F$65602,0),1))</f>
        <v>3kWp slanted-roof installation, single-Si, laminated, integrated, on roof</v>
      </c>
      <c r="G21" s="125" t="str">
        <f>IF(OR(D21="4",E21="4"),"-",INDEX([14]Names!$K$1:$K$65602,MATCH(A21,[14]Names!$F$1:$F$65602,0),1))</f>
        <v>CH</v>
      </c>
      <c r="H21" s="154" t="str">
        <f>IF(OR(D21="4",E21="4"),INDEX([14]NamesElementary!$D$1:$D$65536,MATCH($A21,[14]NamesElementary!$A$1:$A$65536,0),1),"-")</f>
        <v>-</v>
      </c>
      <c r="I21" s="123" t="str">
        <f>IF(OR(D21="4",E21="4"),INDEX([14]NamesElementary!$E$1:$E$65536,MATCH($A21,[14]NamesElementary!$A$1:$A$65536,0),1),"-")</f>
        <v>-</v>
      </c>
      <c r="J21" s="124">
        <f>IF(OR(D21="4",E21="4"),"-",INDEX([14]Names!$N$1:$N$65602,MATCH(A21,[14]Names!$F$1:$F$65602,0),1))</f>
        <v>1</v>
      </c>
      <c r="K21" s="125" t="str">
        <f>IF(OR(D21="4",E21="4"),INDEX([14]NamesElementary!$G$1:$G$65536,MATCH(A21,[14]NamesElementary!$A$1:$A$65536,0),1),INDEX([14]Names!$O$1:$O$65602,MATCH(A21,[14]Names!$F$1:$F$65602,0),1))</f>
        <v>unit</v>
      </c>
      <c r="L21" s="155">
        <v>0</v>
      </c>
      <c r="M21" s="29">
        <f t="shared" si="0"/>
        <v>1</v>
      </c>
      <c r="N21" s="1">
        <f t="shared" si="1"/>
        <v>1.2365959919080913</v>
      </c>
      <c r="O21" s="139" t="str">
        <f t="shared" si="2"/>
        <v>(3,2,1,1,1,3); yield at good installation, average is lower while optimum would be higher, basic uncertainty = 1.2</v>
      </c>
      <c r="P21" s="155">
        <v>0</v>
      </c>
      <c r="Q21" s="29">
        <f t="shared" si="3"/>
        <v>1</v>
      </c>
      <c r="R21" s="1">
        <f t="shared" si="4"/>
        <v>1.2365959919080913</v>
      </c>
      <c r="S21" s="139" t="str">
        <f t="shared" si="5"/>
        <v>(3,2,1,1,1,3); yield at good installation, average is lower while optimum would be higher, basic uncertainty = 1.2</v>
      </c>
      <c r="T21" s="155">
        <v>0</v>
      </c>
      <c r="U21" s="29">
        <f t="shared" si="6"/>
        <v>1</v>
      </c>
      <c r="V21" s="1">
        <f t="shared" si="7"/>
        <v>1.2365959919080913</v>
      </c>
      <c r="W21" s="139" t="str">
        <f t="shared" si="8"/>
        <v>(3,2,1,1,1,3); yield at good installation, average is lower while optimum would be higher, basic uncertainty = 1.2</v>
      </c>
      <c r="X21" s="155">
        <v>0</v>
      </c>
      <c r="Y21" s="29">
        <f t="shared" si="9"/>
        <v>1</v>
      </c>
      <c r="Z21" s="1">
        <f t="shared" si="10"/>
        <v>1.2365959919080913</v>
      </c>
      <c r="AA21" s="139" t="str">
        <f t="shared" si="11"/>
        <v>(3,2,1,1,1,3); yield at good installation, average is lower while optimum would be higher, basic uncertainty = 1.2</v>
      </c>
      <c r="AB21" s="155">
        <v>0</v>
      </c>
      <c r="AC21" s="29">
        <f t="shared" si="12"/>
        <v>1</v>
      </c>
      <c r="AD21" s="1">
        <f t="shared" si="13"/>
        <v>1.2365959919080913</v>
      </c>
      <c r="AE21" s="139" t="str">
        <f t="shared" si="14"/>
        <v>(3,2,1,1,1,3); yield at good installation, average is lower while optimum would be higher, basic uncertainty = 1.2</v>
      </c>
      <c r="AF21" s="155">
        <v>0</v>
      </c>
      <c r="AG21" s="29">
        <f t="shared" si="15"/>
        <v>1</v>
      </c>
      <c r="AH21" s="1">
        <f t="shared" si="16"/>
        <v>1.2365959919080913</v>
      </c>
      <c r="AI21" s="139" t="str">
        <f t="shared" si="17"/>
        <v>(3,2,1,1,1,3); yield at good installation, average is lower while optimum would be higher, basic uncertainty = 1.2</v>
      </c>
      <c r="AJ21" s="155" t="e">
        <f>1/(Schrägdach*3*lifetime)</f>
        <v>#REF!</v>
      </c>
      <c r="AK21" s="29">
        <f t="shared" si="18"/>
        <v>1</v>
      </c>
      <c r="AL21" s="1">
        <f t="shared" si="19"/>
        <v>1.2365959919080913</v>
      </c>
      <c r="AM21" s="31" t="str">
        <f t="shared" si="20"/>
        <v>(3,2,1,1,1,3); yield at good installation, average is lower while optimum would be higher, basic uncertainty = 1.2</v>
      </c>
      <c r="AN21" s="155">
        <v>0</v>
      </c>
      <c r="AO21" s="29">
        <f t="shared" si="21"/>
        <v>1</v>
      </c>
      <c r="AP21" s="1">
        <f t="shared" si="22"/>
        <v>1.2365959919080913</v>
      </c>
      <c r="AQ21" s="139" t="str">
        <f t="shared" si="23"/>
        <v>(3,2,1,1,1,3); yield at good installation, average is lower while optimum would be higher, basic uncertainty = 1.2</v>
      </c>
      <c r="AR21" s="155">
        <v>0</v>
      </c>
      <c r="AS21" s="29">
        <f t="shared" si="24"/>
        <v>1</v>
      </c>
      <c r="AT21" s="1">
        <f t="shared" si="25"/>
        <v>1.2365959919080913</v>
      </c>
      <c r="AU21" s="31" t="str">
        <f t="shared" si="26"/>
        <v>(3,2,1,1,1,3); yield at good installation, average is lower while optimum would be higher, basic uncertainty = 1.2</v>
      </c>
      <c r="AV21" s="155">
        <v>0</v>
      </c>
      <c r="AW21" s="29">
        <f t="shared" si="27"/>
        <v>1</v>
      </c>
      <c r="AX21" s="1">
        <f t="shared" si="28"/>
        <v>1.2365959919080913</v>
      </c>
      <c r="AY21" s="139" t="str">
        <f t="shared" si="29"/>
        <v>(3,2,1,1,1,3); yield at good installation, average is lower while optimum would be higher, basic uncertainty = 1.2</v>
      </c>
      <c r="AZ21" s="155">
        <v>0</v>
      </c>
      <c r="BA21" s="29">
        <f t="shared" si="30"/>
        <v>1</v>
      </c>
      <c r="BB21" s="1">
        <f t="shared" si="31"/>
        <v>1.2365959919080913</v>
      </c>
      <c r="BC21" s="139" t="str">
        <f t="shared" si="32"/>
        <v>(3,2,1,1,1,3); yield at good installation, average is lower while optimum would be higher, basic uncertainty = 1.2</v>
      </c>
      <c r="BD21" s="155">
        <v>0</v>
      </c>
      <c r="BE21" s="29">
        <f t="shared" si="33"/>
        <v>1</v>
      </c>
      <c r="BF21" s="1">
        <f t="shared" si="34"/>
        <v>1.2365959919080913</v>
      </c>
      <c r="BG21" s="139" t="str">
        <f t="shared" si="35"/>
        <v>(3,2,1,1,1,3); yield at good installation, average is lower while optimum would be higher, basic uncertainty = 1.2</v>
      </c>
      <c r="BH21" s="29">
        <f t="shared" si="36"/>
        <v>1</v>
      </c>
      <c r="BI21" s="1">
        <f t="shared" si="37"/>
        <v>1.2365959919080913</v>
      </c>
      <c r="BJ21" s="139" t="str">
        <f t="shared" si="38"/>
        <v>(3,2,1,1,1,3); yield at good installation, average is lower while optimum would be higher, basic uncertainty = 1.2</v>
      </c>
      <c r="BK21" s="155">
        <v>0</v>
      </c>
      <c r="BL21" s="29">
        <f t="shared" si="39"/>
        <v>1</v>
      </c>
      <c r="BM21" s="1">
        <f t="shared" si="40"/>
        <v>1.2365959919080913</v>
      </c>
      <c r="BN21" s="139" t="str">
        <f t="shared" si="41"/>
        <v>(3,2,1,1,1,3); yield at good installation, average is lower while optimum would be higher, basic uncertainty = 1.2</v>
      </c>
      <c r="BO21" s="155">
        <v>0</v>
      </c>
      <c r="BP21" s="29">
        <f t="shared" si="42"/>
        <v>1</v>
      </c>
      <c r="BQ21" s="1">
        <f t="shared" si="43"/>
        <v>1.2365959919080913</v>
      </c>
      <c r="BR21" s="139" t="str">
        <f t="shared" si="44"/>
        <v>(3,2,1,1,1,3); yield at good installation, average is lower while optimum would be higher, basic uncertainty = 1.2</v>
      </c>
      <c r="BS21" s="155">
        <v>0</v>
      </c>
      <c r="BT21" s="29">
        <f t="shared" si="45"/>
        <v>1</v>
      </c>
      <c r="BU21" s="1">
        <f t="shared" si="46"/>
        <v>1.2365959919080913</v>
      </c>
      <c r="BV21" s="139" t="str">
        <f t="shared" si="47"/>
        <v>(3,2,1,1,1,3); yield at good installation, average is lower while optimum would be higher, basic uncertainty = 1.2</v>
      </c>
      <c r="BW21" s="155">
        <v>0</v>
      </c>
      <c r="BX21" s="29">
        <f t="shared" si="48"/>
        <v>1</v>
      </c>
      <c r="BY21" s="1">
        <f t="shared" si="49"/>
        <v>1.2365959919080913</v>
      </c>
      <c r="BZ21" s="31" t="str">
        <f t="shared" si="62"/>
        <v>(3,2,1,1,1,3); yield at good installation, average is lower while optimum would be higher, basic uncertainty = 1.2</v>
      </c>
      <c r="CA21" s="155">
        <f t="shared" si="73"/>
        <v>0</v>
      </c>
      <c r="CB21" s="29">
        <f t="shared" si="50"/>
        <v>1</v>
      </c>
      <c r="CC21" s="1">
        <f t="shared" si="51"/>
        <v>1.2365959919080913</v>
      </c>
      <c r="CD21" s="139" t="str">
        <f t="shared" si="63"/>
        <v>(3,2,1,1,1,3); yield at good installation, average is lower while optimum would be higher, basic uncertainty = 1.2</v>
      </c>
      <c r="CE21" s="155">
        <f t="shared" si="74"/>
        <v>0</v>
      </c>
      <c r="CF21" s="29">
        <f t="shared" si="52"/>
        <v>1</v>
      </c>
      <c r="CG21" s="1">
        <f t="shared" si="53"/>
        <v>1.2365959919080913</v>
      </c>
      <c r="CH21" s="139" t="str">
        <f t="shared" si="64"/>
        <v>(3,2,1,1,1,3); yield at good installation, average is lower while optimum would be higher, basic uncertainty = 1.2</v>
      </c>
      <c r="CI21" s="155">
        <v>0</v>
      </c>
      <c r="CJ21" s="29">
        <f t="shared" si="54"/>
        <v>1</v>
      </c>
      <c r="CK21" s="1">
        <f t="shared" si="55"/>
        <v>1.2365959919080913</v>
      </c>
      <c r="CL21" s="139" t="str">
        <f t="shared" si="65"/>
        <v>(3,2,1,1,1,3); yield at good installation, average is lower while optimum would be higher, basic uncertainty = 1.2</v>
      </c>
      <c r="CM21" s="155">
        <f t="shared" si="76"/>
        <v>0</v>
      </c>
      <c r="CN21" s="29">
        <f t="shared" si="56"/>
        <v>1</v>
      </c>
      <c r="CO21" s="1">
        <f t="shared" si="57"/>
        <v>1.2365959919080913</v>
      </c>
      <c r="CP21" s="139" t="str">
        <f t="shared" si="66"/>
        <v>(3,2,1,1,1,3); yield at good installation, average is lower while optimum would be higher, basic uncertainty = 1.2</v>
      </c>
      <c r="CQ21" s="155">
        <f t="shared" si="77"/>
        <v>0</v>
      </c>
      <c r="CR21" s="29">
        <f t="shared" si="58"/>
        <v>1</v>
      </c>
      <c r="CS21" s="1">
        <f t="shared" si="59"/>
        <v>1.2365959919080913</v>
      </c>
      <c r="CT21" s="139" t="str">
        <f t="shared" si="67"/>
        <v>(3,2,1,1,1,3); yield at good installation, average is lower while optimum would be higher, basic uncertainty = 1.2</v>
      </c>
      <c r="CU21" s="155">
        <f t="shared" si="79"/>
        <v>0</v>
      </c>
      <c r="CV21" s="29">
        <f t="shared" si="60"/>
        <v>1</v>
      </c>
      <c r="CW21" s="1">
        <f t="shared" si="61"/>
        <v>1.2365959919080913</v>
      </c>
      <c r="CX21" s="139" t="str">
        <f t="shared" si="68"/>
        <v>(3,2,1,1,1,3); yield at good installation, average is lower while optimum would be higher, basic uncertainty = 1.2</v>
      </c>
      <c r="CY21" s="155" t="e">
        <f>1/(#REF!*3*lifetime)*DC21</f>
        <v>#REF!</v>
      </c>
      <c r="CZ21" s="29">
        <v>1</v>
      </c>
      <c r="DA21" s="1">
        <f t="shared" si="69"/>
        <v>1.2365959919080913</v>
      </c>
      <c r="DB21" s="31" t="str">
        <f t="shared" si="80"/>
        <v>(3,2,1,1,1,3); average yield, estimation for share of technologies. Basic uncertainty = 1.2</v>
      </c>
      <c r="DC21" s="287" t="e">
        <f>#REF!</f>
        <v>#REF!</v>
      </c>
      <c r="DD21" s="289" t="e">
        <f>#REF!</f>
        <v>#REF!</v>
      </c>
      <c r="DE21" s="287" t="e">
        <f>#REF!</f>
        <v>#REF!</v>
      </c>
      <c r="DF21" s="115" t="str">
        <f t="shared" si="81"/>
        <v>yield at good installation, average is lower while optimum would be higher, basic uncertainty = 1.2</v>
      </c>
      <c r="DG21" s="10">
        <f t="shared" si="82"/>
        <v>3</v>
      </c>
      <c r="DH21" s="50">
        <v>2</v>
      </c>
      <c r="DI21" s="50">
        <v>1</v>
      </c>
      <c r="DJ21" s="50">
        <v>1</v>
      </c>
      <c r="DK21" s="50">
        <v>1</v>
      </c>
      <c r="DL21" s="50">
        <v>3</v>
      </c>
      <c r="DM21" s="50">
        <f>IF(OR($D21="4",$E21="4"),INDEX([14]NamesElementary!$J$1:$J$65536,MATCH($A21,[14]NamesElementary!$A$1:$A$65536,0),1),INDEX([14]Names!$W$1:$W$65602,MATCH($A21,[14]Names!$F$1:$F$65602,0),1))</f>
        <v>9</v>
      </c>
      <c r="DN21" s="312">
        <f t="shared" si="83"/>
        <v>1.2</v>
      </c>
      <c r="DO21" s="87">
        <f t="shared" si="70"/>
        <v>1.1150377561073679</v>
      </c>
      <c r="DP21" s="88">
        <f t="shared" si="71"/>
        <v>1.2365959919080913</v>
      </c>
      <c r="DQ21" s="89" t="str">
        <f t="shared" si="72"/>
        <v>(3,2,1,1,1,3)</v>
      </c>
      <c r="DS21" s="52">
        <f>IF(DG21=1,'[14]SDG^2 values'!$B$4,IF(DG21=2,'[14]SDG^2 values'!$C$4,IF(DG21=3,'[14]SDG^2 values'!$D$4,IF(DG21=4,'[14]SDG^2 values'!$E$4,IF(DG21=5,'[14]SDG^2 values'!$F$4,1)))))</f>
        <v>1.1000000000000001</v>
      </c>
      <c r="DT21" s="52">
        <f>IF(DH21=1,'[14]SDG^2 values'!$B$5,IF(DH21=2,'[14]SDG^2 values'!$C$5,IF(DH21=3,'[14]SDG^2 values'!$D$5,IF(DH21=4,'[14]SDG^2 values'!$E$5,IF(DH21=5,'[14]SDG^2 values'!$F$5,1)))))</f>
        <v>1.02</v>
      </c>
      <c r="DU21" s="52">
        <f>IF(DI21=1,'[14]SDG^2 values'!$B$6,IF(DI21=2,'[14]SDG^2 values'!$C$6,IF(DI21=3,'[14]SDG^2 values'!$D$6,IF(DI21=4,'[14]SDG^2 values'!$E$6,IF(DI21=5,'[14]SDG^2 values'!$F$6,1)))))</f>
        <v>1</v>
      </c>
      <c r="DV21" s="52">
        <f>IF(DJ21=1,'[14]SDG^2 values'!$B$7,IF(DJ21=2,'[14]SDG^2 values'!$C$7,IF(DJ21=3,'[14]SDG^2 values'!$D$7,IF(DJ21=4,'[14]SDG^2 values'!$E$7,IF(DJ21=5,'[14]SDG^2 values'!$F$7,1)))))</f>
        <v>1</v>
      </c>
      <c r="DW21" s="52">
        <f>IF(DK21=1,'[14]SDG^2 values'!$B$8,IF(DK21=2,'[14]SDG^2 values'!$C$8,IF(DK21=3,'[14]SDG^2 values'!$D$8,IF(DK21=4,'[14]SDG^2 values'!$E$8,IF(DK21=5,'[14]SDG^2 values'!$F$8,1)))))</f>
        <v>1</v>
      </c>
      <c r="DX21" s="52">
        <f>IF(DL21=1,'[14]SDG^2 values'!$B$9,IF(DL21=2,'[14]SDG^2 values'!$C$9,IF(DL21=3,'[14]SDG^2 values'!$D$9,IF(DL21=4,'[14]SDG^2 values'!$E$9,IF(DL21=5,'[14]SDG^2 values'!$F$9,1)))))</f>
        <v>1.05</v>
      </c>
    </row>
    <row r="22" spans="1:128" ht="18" customHeight="1">
      <c r="A22" s="156">
        <v>1324</v>
      </c>
      <c r="B22" s="168" t="s">
        <v>525</v>
      </c>
      <c r="C22" s="151"/>
      <c r="D22" s="152" t="s">
        <v>526</v>
      </c>
      <c r="E22" s="153" t="s">
        <v>402</v>
      </c>
      <c r="F22" s="144" t="str">
        <f>IF(OR(D22="4",E22="4"),INDEX([14]NamesElementary!$B$1:$B$65536,MATCH(A22,[14]NamesElementary!$A$1:$A$65536,0),1),INDEX([14]Names!$J$1:$J$65602,MATCH(A22,[14]Names!$F$1:$F$65602,0),1))</f>
        <v>3kWp slanted-roof installation, single-Si, panel, mounted, on roof</v>
      </c>
      <c r="G22" s="125" t="str">
        <f>IF(OR(D22="4",E22="4"),"-",INDEX([14]Names!$K$1:$K$65602,MATCH(A22,[14]Names!$F$1:$F$65602,0),1))</f>
        <v>CH</v>
      </c>
      <c r="H22" s="154" t="str">
        <f>IF(OR(D22="4",E22="4"),INDEX([14]NamesElementary!$D$1:$D$65536,MATCH($A22,[14]NamesElementary!$A$1:$A$65536,0),1),"-")</f>
        <v>-</v>
      </c>
      <c r="I22" s="123" t="str">
        <f>IF(OR(D22="4",E22="4"),INDEX([14]NamesElementary!$E$1:$E$65536,MATCH($A22,[14]NamesElementary!$A$1:$A$65536,0),1),"-")</f>
        <v>-</v>
      </c>
      <c r="J22" s="124">
        <f>IF(OR(D22="4",E22="4"),"-",INDEX([14]Names!$N$1:$N$65602,MATCH(A22,[14]Names!$F$1:$F$65602,0),1))</f>
        <v>1</v>
      </c>
      <c r="K22" s="125" t="str">
        <f>IF(OR(D22="4",E22="4"),INDEX([14]NamesElementary!$G$1:$G$65536,MATCH(A22,[14]NamesElementary!$A$1:$A$65536,0),1),INDEX([14]Names!$O$1:$O$65602,MATCH(A22,[14]Names!$F$1:$F$65602,0),1))</f>
        <v>unit</v>
      </c>
      <c r="L22" s="155">
        <v>0</v>
      </c>
      <c r="M22" s="29">
        <f t="shared" si="0"/>
        <v>1</v>
      </c>
      <c r="N22" s="1">
        <f t="shared" si="1"/>
        <v>1.2365959919080913</v>
      </c>
      <c r="O22" s="139" t="str">
        <f t="shared" si="2"/>
        <v>(3,2,1,1,1,3); yield at good installation, average is lower while optimum would be higher, basic uncertainty = 1.2</v>
      </c>
      <c r="P22" s="155">
        <v>0</v>
      </c>
      <c r="Q22" s="29">
        <f t="shared" si="3"/>
        <v>1</v>
      </c>
      <c r="R22" s="1">
        <f t="shared" si="4"/>
        <v>1.2365959919080913</v>
      </c>
      <c r="S22" s="139" t="str">
        <f t="shared" si="5"/>
        <v>(3,2,1,1,1,3); yield at good installation, average is lower while optimum would be higher, basic uncertainty = 1.2</v>
      </c>
      <c r="T22" s="155">
        <v>0</v>
      </c>
      <c r="U22" s="29">
        <f t="shared" si="6"/>
        <v>1</v>
      </c>
      <c r="V22" s="1">
        <f t="shared" si="7"/>
        <v>1.2365959919080913</v>
      </c>
      <c r="W22" s="139" t="str">
        <f t="shared" si="8"/>
        <v>(3,2,1,1,1,3); yield at good installation, average is lower while optimum would be higher, basic uncertainty = 1.2</v>
      </c>
      <c r="X22" s="155">
        <v>0</v>
      </c>
      <c r="Y22" s="29">
        <f t="shared" si="9"/>
        <v>1</v>
      </c>
      <c r="Z22" s="1">
        <f t="shared" si="10"/>
        <v>1.2365959919080913</v>
      </c>
      <c r="AA22" s="139" t="str">
        <f t="shared" si="11"/>
        <v>(3,2,1,1,1,3); yield at good installation, average is lower while optimum would be higher, basic uncertainty = 1.2</v>
      </c>
      <c r="AB22" s="155">
        <v>0</v>
      </c>
      <c r="AC22" s="29">
        <f t="shared" si="12"/>
        <v>1</v>
      </c>
      <c r="AD22" s="1">
        <f t="shared" si="13"/>
        <v>1.2365959919080913</v>
      </c>
      <c r="AE22" s="139" t="str">
        <f t="shared" si="14"/>
        <v>(3,2,1,1,1,3); yield at good installation, average is lower while optimum would be higher, basic uncertainty = 1.2</v>
      </c>
      <c r="AF22" s="155">
        <v>0</v>
      </c>
      <c r="AG22" s="29">
        <f t="shared" si="15"/>
        <v>1</v>
      </c>
      <c r="AH22" s="1">
        <f t="shared" si="16"/>
        <v>1.2365959919080913</v>
      </c>
      <c r="AI22" s="139" t="str">
        <f t="shared" si="17"/>
        <v>(3,2,1,1,1,3); yield at good installation, average is lower while optimum would be higher, basic uncertainty = 1.2</v>
      </c>
      <c r="AJ22" s="155">
        <v>0</v>
      </c>
      <c r="AK22" s="29">
        <f t="shared" si="18"/>
        <v>1</v>
      </c>
      <c r="AL22" s="1">
        <f t="shared" si="19"/>
        <v>1.2365959919080913</v>
      </c>
      <c r="AM22" s="31" t="str">
        <f t="shared" si="20"/>
        <v>(3,2,1,1,1,3); yield at good installation, average is lower while optimum would be higher, basic uncertainty = 1.2</v>
      </c>
      <c r="AN22" s="155" t="e">
        <f>1/(Schrägdach*3*lifetime)</f>
        <v>#REF!</v>
      </c>
      <c r="AO22" s="29">
        <f t="shared" si="21"/>
        <v>1</v>
      </c>
      <c r="AP22" s="1">
        <f t="shared" si="22"/>
        <v>1.2365959919080913</v>
      </c>
      <c r="AQ22" s="139" t="str">
        <f t="shared" si="23"/>
        <v>(3,2,1,1,1,3); yield at good installation, average is lower while optimum would be higher, basic uncertainty = 1.2</v>
      </c>
      <c r="AR22" s="155">
        <v>0</v>
      </c>
      <c r="AS22" s="29">
        <f t="shared" si="24"/>
        <v>1</v>
      </c>
      <c r="AT22" s="1">
        <f t="shared" si="25"/>
        <v>1.2365959919080913</v>
      </c>
      <c r="AU22" s="31" t="str">
        <f t="shared" si="26"/>
        <v>(3,2,1,1,1,3); yield at good installation, average is lower while optimum would be higher, basic uncertainty = 1.2</v>
      </c>
      <c r="AV22" s="155">
        <v>0</v>
      </c>
      <c r="AW22" s="29">
        <f t="shared" si="27"/>
        <v>1</v>
      </c>
      <c r="AX22" s="1">
        <f t="shared" si="28"/>
        <v>1.2365959919080913</v>
      </c>
      <c r="AY22" s="139" t="str">
        <f t="shared" si="29"/>
        <v>(3,2,1,1,1,3); yield at good installation, average is lower while optimum would be higher, basic uncertainty = 1.2</v>
      </c>
      <c r="AZ22" s="155">
        <v>0</v>
      </c>
      <c r="BA22" s="29">
        <f t="shared" si="30"/>
        <v>1</v>
      </c>
      <c r="BB22" s="1">
        <f t="shared" si="31"/>
        <v>1.2365959919080913</v>
      </c>
      <c r="BC22" s="139" t="str">
        <f t="shared" si="32"/>
        <v>(3,2,1,1,1,3); yield at good installation, average is lower while optimum would be higher, basic uncertainty = 1.2</v>
      </c>
      <c r="BD22" s="155">
        <v>0</v>
      </c>
      <c r="BE22" s="29">
        <f t="shared" si="33"/>
        <v>1</v>
      </c>
      <c r="BF22" s="1">
        <f t="shared" si="34"/>
        <v>1.2365959919080913</v>
      </c>
      <c r="BG22" s="139" t="str">
        <f t="shared" si="35"/>
        <v>(3,2,1,1,1,3); yield at good installation, average is lower while optimum would be higher, basic uncertainty = 1.2</v>
      </c>
      <c r="BH22" s="29">
        <f t="shared" si="36"/>
        <v>1</v>
      </c>
      <c r="BI22" s="1">
        <f t="shared" si="37"/>
        <v>1.2365959919080913</v>
      </c>
      <c r="BJ22" s="139" t="str">
        <f t="shared" si="38"/>
        <v>(3,2,1,1,1,3); yield at good installation, average is lower while optimum would be higher, basic uncertainty = 1.2</v>
      </c>
      <c r="BK22" s="155">
        <v>0</v>
      </c>
      <c r="BL22" s="29">
        <f t="shared" si="39"/>
        <v>1</v>
      </c>
      <c r="BM22" s="1">
        <f t="shared" si="40"/>
        <v>1.2365959919080913</v>
      </c>
      <c r="BN22" s="139" t="str">
        <f t="shared" si="41"/>
        <v>(3,2,1,1,1,3); yield at good installation, average is lower while optimum would be higher, basic uncertainty = 1.2</v>
      </c>
      <c r="BO22" s="155">
        <v>0</v>
      </c>
      <c r="BP22" s="29">
        <f t="shared" si="42"/>
        <v>1</v>
      </c>
      <c r="BQ22" s="1">
        <f t="shared" si="43"/>
        <v>1.2365959919080913</v>
      </c>
      <c r="BR22" s="139" t="str">
        <f t="shared" si="44"/>
        <v>(3,2,1,1,1,3); yield at good installation, average is lower while optimum would be higher, basic uncertainty = 1.2</v>
      </c>
      <c r="BS22" s="155">
        <v>0</v>
      </c>
      <c r="BT22" s="29">
        <f t="shared" si="45"/>
        <v>1</v>
      </c>
      <c r="BU22" s="1">
        <f t="shared" si="46"/>
        <v>1.2365959919080913</v>
      </c>
      <c r="BV22" s="139" t="str">
        <f t="shared" si="47"/>
        <v>(3,2,1,1,1,3); yield at good installation, average is lower while optimum would be higher, basic uncertainty = 1.2</v>
      </c>
      <c r="BW22" s="155">
        <v>0</v>
      </c>
      <c r="BX22" s="29">
        <f t="shared" si="48"/>
        <v>1</v>
      </c>
      <c r="BY22" s="1">
        <f t="shared" si="49"/>
        <v>1.2365959919080913</v>
      </c>
      <c r="BZ22" s="31" t="str">
        <f t="shared" si="62"/>
        <v>(3,2,1,1,1,3); yield at good installation, average is lower while optimum would be higher, basic uncertainty = 1.2</v>
      </c>
      <c r="CA22" s="155">
        <f t="shared" si="73"/>
        <v>0</v>
      </c>
      <c r="CB22" s="29">
        <f t="shared" si="50"/>
        <v>1</v>
      </c>
      <c r="CC22" s="1">
        <f t="shared" si="51"/>
        <v>1.2365959919080913</v>
      </c>
      <c r="CD22" s="139" t="str">
        <f t="shared" si="63"/>
        <v>(3,2,1,1,1,3); yield at good installation, average is lower while optimum would be higher, basic uncertainty = 1.2</v>
      </c>
      <c r="CE22" s="155">
        <f t="shared" si="74"/>
        <v>0</v>
      </c>
      <c r="CF22" s="29">
        <f t="shared" si="52"/>
        <v>1</v>
      </c>
      <c r="CG22" s="1">
        <f t="shared" si="53"/>
        <v>1.2365959919080913</v>
      </c>
      <c r="CH22" s="139" t="str">
        <f t="shared" si="64"/>
        <v>(3,2,1,1,1,3); yield at good installation, average is lower while optimum would be higher, basic uncertainty = 1.2</v>
      </c>
      <c r="CI22" s="155">
        <f t="shared" si="75"/>
        <v>0</v>
      </c>
      <c r="CJ22" s="29">
        <f t="shared" si="54"/>
        <v>1</v>
      </c>
      <c r="CK22" s="1">
        <f t="shared" si="55"/>
        <v>1.2365959919080913</v>
      </c>
      <c r="CL22" s="139" t="str">
        <f t="shared" si="65"/>
        <v>(3,2,1,1,1,3); yield at good installation, average is lower while optimum would be higher, basic uncertainty = 1.2</v>
      </c>
      <c r="CM22" s="155">
        <v>0</v>
      </c>
      <c r="CN22" s="29">
        <f t="shared" si="56"/>
        <v>1</v>
      </c>
      <c r="CO22" s="1">
        <f t="shared" si="57"/>
        <v>1.2365959919080913</v>
      </c>
      <c r="CP22" s="139" t="str">
        <f t="shared" si="66"/>
        <v>(3,2,1,1,1,3); yield at good installation, average is lower while optimum would be higher, basic uncertainty = 1.2</v>
      </c>
      <c r="CQ22" s="155">
        <f t="shared" si="77"/>
        <v>0</v>
      </c>
      <c r="CR22" s="29">
        <f t="shared" si="58"/>
        <v>1</v>
      </c>
      <c r="CS22" s="1">
        <f t="shared" si="59"/>
        <v>1.2365959919080913</v>
      </c>
      <c r="CT22" s="139" t="str">
        <f t="shared" si="67"/>
        <v>(3,2,1,1,1,3); yield at good installation, average is lower while optimum would be higher, basic uncertainty = 1.2</v>
      </c>
      <c r="CU22" s="155">
        <f t="shared" si="79"/>
        <v>0</v>
      </c>
      <c r="CV22" s="29">
        <f t="shared" si="60"/>
        <v>1</v>
      </c>
      <c r="CW22" s="1">
        <f t="shared" si="61"/>
        <v>1.2365959919080913</v>
      </c>
      <c r="CX22" s="139" t="str">
        <f t="shared" si="68"/>
        <v>(3,2,1,1,1,3); yield at good installation, average is lower while optimum would be higher, basic uncertainty = 1.2</v>
      </c>
      <c r="CY22" s="155" t="e">
        <f>1/(#REF!*3*lifetime)*DC22</f>
        <v>#REF!</v>
      </c>
      <c r="CZ22" s="29">
        <v>1</v>
      </c>
      <c r="DA22" s="1">
        <f t="shared" si="69"/>
        <v>1.2365959919080913</v>
      </c>
      <c r="DB22" s="31" t="str">
        <f t="shared" si="80"/>
        <v>(3,2,1,1,1,3); average yield, estimation for share of technologies. Basic uncertainty = 1.2</v>
      </c>
      <c r="DC22" s="287" t="e">
        <f>#REF!</f>
        <v>#REF!</v>
      </c>
      <c r="DD22" s="289" t="e">
        <f>#REF!</f>
        <v>#REF!</v>
      </c>
      <c r="DE22" s="287" t="e">
        <f>#REF!</f>
        <v>#REF!</v>
      </c>
      <c r="DF22" s="115" t="str">
        <f t="shared" si="81"/>
        <v>yield at good installation, average is lower while optimum would be higher, basic uncertainty = 1.2</v>
      </c>
      <c r="DG22" s="10">
        <f t="shared" si="82"/>
        <v>3</v>
      </c>
      <c r="DH22" s="50">
        <v>2</v>
      </c>
      <c r="DI22" s="50">
        <v>1</v>
      </c>
      <c r="DJ22" s="50">
        <v>1</v>
      </c>
      <c r="DK22" s="50">
        <v>1</v>
      </c>
      <c r="DL22" s="50">
        <v>3</v>
      </c>
      <c r="DM22" s="50">
        <f>IF(OR($D22="4",$E22="4"),INDEX([14]NamesElementary!$J$1:$J$65536,MATCH($A22,[14]NamesElementary!$A$1:$A$65536,0),1),INDEX([14]Names!$W$1:$W$65602,MATCH($A22,[14]Names!$F$1:$F$65602,0),1))</f>
        <v>9</v>
      </c>
      <c r="DN22" s="312">
        <f t="shared" si="83"/>
        <v>1.2</v>
      </c>
      <c r="DO22" s="87">
        <f t="shared" si="70"/>
        <v>1.1150377561073679</v>
      </c>
      <c r="DP22" s="88">
        <f t="shared" si="71"/>
        <v>1.2365959919080913</v>
      </c>
      <c r="DQ22" s="89" t="str">
        <f t="shared" si="72"/>
        <v>(3,2,1,1,1,3)</v>
      </c>
      <c r="DS22" s="52">
        <f>IF(DG22=1,'[14]SDG^2 values'!$B$4,IF(DG22=2,'[14]SDG^2 values'!$C$4,IF(DG22=3,'[14]SDG^2 values'!$D$4,IF(DG22=4,'[14]SDG^2 values'!$E$4,IF(DG22=5,'[14]SDG^2 values'!$F$4,1)))))</f>
        <v>1.1000000000000001</v>
      </c>
      <c r="DT22" s="52">
        <f>IF(DH22=1,'[14]SDG^2 values'!$B$5,IF(DH22=2,'[14]SDG^2 values'!$C$5,IF(DH22=3,'[14]SDG^2 values'!$D$5,IF(DH22=4,'[14]SDG^2 values'!$E$5,IF(DH22=5,'[14]SDG^2 values'!$F$5,1)))))</f>
        <v>1.02</v>
      </c>
      <c r="DU22" s="52">
        <f>IF(DI22=1,'[14]SDG^2 values'!$B$6,IF(DI22=2,'[14]SDG^2 values'!$C$6,IF(DI22=3,'[14]SDG^2 values'!$D$6,IF(DI22=4,'[14]SDG^2 values'!$E$6,IF(DI22=5,'[14]SDG^2 values'!$F$6,1)))))</f>
        <v>1</v>
      </c>
      <c r="DV22" s="52">
        <f>IF(DJ22=1,'[14]SDG^2 values'!$B$7,IF(DJ22=2,'[14]SDG^2 values'!$C$7,IF(DJ22=3,'[14]SDG^2 values'!$D$7,IF(DJ22=4,'[14]SDG^2 values'!$E$7,IF(DJ22=5,'[14]SDG^2 values'!$F$7,1)))))</f>
        <v>1</v>
      </c>
      <c r="DW22" s="52">
        <f>IF(DK22=1,'[14]SDG^2 values'!$B$8,IF(DK22=2,'[14]SDG^2 values'!$C$8,IF(DK22=3,'[14]SDG^2 values'!$D$8,IF(DK22=4,'[14]SDG^2 values'!$E$8,IF(DK22=5,'[14]SDG^2 values'!$F$8,1)))))</f>
        <v>1</v>
      </c>
      <c r="DX22" s="52">
        <f>IF(DL22=1,'[14]SDG^2 values'!$B$9,IF(DL22=2,'[14]SDG^2 values'!$C$9,IF(DL22=3,'[14]SDG^2 values'!$D$9,IF(DL22=4,'[14]SDG^2 values'!$E$9,IF(DL22=5,'[14]SDG^2 values'!$F$9,1)))))</f>
        <v>1.05</v>
      </c>
    </row>
    <row r="23" spans="1:128" ht="36" customHeight="1">
      <c r="A23" s="156">
        <v>1326</v>
      </c>
      <c r="B23" s="168" t="s">
        <v>525</v>
      </c>
      <c r="C23" s="151"/>
      <c r="D23" s="152" t="s">
        <v>526</v>
      </c>
      <c r="E23" s="153" t="s">
        <v>402</v>
      </c>
      <c r="F23" s="144" t="str">
        <f>IF(OR(D23="4",E23="4"),INDEX([14]NamesElementary!$B$1:$B$65536,MATCH(A23,[14]NamesElementary!$A$1:$A$65536,0),1),INDEX([14]Names!$J$1:$J$65602,MATCH(A23,[14]Names!$F$1:$F$65602,0),1))</f>
        <v>3kWp slanted-roof installation, multi-Si, laminated, integrated, on roof</v>
      </c>
      <c r="G23" s="125" t="str">
        <f>IF(OR(D23="4",E23="4"),"-",INDEX([14]Names!$K$1:$K$65602,MATCH(A23,[14]Names!$F$1:$F$65602,0),1))</f>
        <v>CH</v>
      </c>
      <c r="H23" s="154" t="str">
        <f>IF(OR(D23="4",E23="4"),INDEX([14]NamesElementary!$D$1:$D$65536,MATCH($A23,[14]NamesElementary!$A$1:$A$65536,0),1),"-")</f>
        <v>-</v>
      </c>
      <c r="I23" s="123" t="str">
        <f>IF(OR(D23="4",E23="4"),INDEX([14]NamesElementary!$E$1:$E$65536,MATCH($A23,[14]NamesElementary!$A$1:$A$65536,0),1),"-")</f>
        <v>-</v>
      </c>
      <c r="J23" s="124">
        <f>IF(OR(D23="4",E23="4"),"-",INDEX([14]Names!$N$1:$N$65602,MATCH(A23,[14]Names!$F$1:$F$65602,0),1))</f>
        <v>1</v>
      </c>
      <c r="K23" s="125" t="str">
        <f>IF(OR(D23="4",E23="4"),INDEX([14]NamesElementary!$G$1:$G$65536,MATCH(A23,[14]NamesElementary!$A$1:$A$65536,0),1),INDEX([14]Names!$O$1:$O$65602,MATCH(A23,[14]Names!$F$1:$F$65602,0),1))</f>
        <v>unit</v>
      </c>
      <c r="L23" s="155">
        <v>0</v>
      </c>
      <c r="M23" s="29">
        <f t="shared" si="0"/>
        <v>1</v>
      </c>
      <c r="N23" s="1">
        <f t="shared" si="1"/>
        <v>1.2365959919080913</v>
      </c>
      <c r="O23" s="139" t="str">
        <f t="shared" si="2"/>
        <v>(3,2,1,1,1,3); yield at good installation, average is lower while optimum would be higher, basic uncertainty = 1.2</v>
      </c>
      <c r="P23" s="155">
        <v>0</v>
      </c>
      <c r="Q23" s="29">
        <f t="shared" si="3"/>
        <v>1</v>
      </c>
      <c r="R23" s="1">
        <f t="shared" si="4"/>
        <v>1.2365959919080913</v>
      </c>
      <c r="S23" s="139" t="str">
        <f t="shared" si="5"/>
        <v>(3,2,1,1,1,3); yield at good installation, average is lower while optimum would be higher, basic uncertainty = 1.2</v>
      </c>
      <c r="T23" s="155">
        <v>0</v>
      </c>
      <c r="U23" s="29">
        <f t="shared" si="6"/>
        <v>1</v>
      </c>
      <c r="V23" s="1">
        <f t="shared" si="7"/>
        <v>1.2365959919080913</v>
      </c>
      <c r="W23" s="139" t="str">
        <f t="shared" si="8"/>
        <v>(3,2,1,1,1,3); yield at good installation, average is lower while optimum would be higher, basic uncertainty = 1.2</v>
      </c>
      <c r="X23" s="155">
        <v>0</v>
      </c>
      <c r="Y23" s="29">
        <f t="shared" si="9"/>
        <v>1</v>
      </c>
      <c r="Z23" s="1">
        <f t="shared" si="10"/>
        <v>1.2365959919080913</v>
      </c>
      <c r="AA23" s="139" t="str">
        <f t="shared" si="11"/>
        <v>(3,2,1,1,1,3); yield at good installation, average is lower while optimum would be higher, basic uncertainty = 1.2</v>
      </c>
      <c r="AB23" s="155">
        <v>0</v>
      </c>
      <c r="AC23" s="29">
        <f t="shared" si="12"/>
        <v>1</v>
      </c>
      <c r="AD23" s="1">
        <f t="shared" si="13"/>
        <v>1.2365959919080913</v>
      </c>
      <c r="AE23" s="139" t="str">
        <f t="shared" si="14"/>
        <v>(3,2,1,1,1,3); yield at good installation, average is lower while optimum would be higher, basic uncertainty = 1.2</v>
      </c>
      <c r="AF23" s="155">
        <v>0</v>
      </c>
      <c r="AG23" s="29">
        <f t="shared" si="15"/>
        <v>1</v>
      </c>
      <c r="AH23" s="1">
        <f t="shared" si="16"/>
        <v>1.2365959919080913</v>
      </c>
      <c r="AI23" s="139" t="str">
        <f t="shared" si="17"/>
        <v>(3,2,1,1,1,3); yield at good installation, average is lower while optimum would be higher, basic uncertainty = 1.2</v>
      </c>
      <c r="AJ23" s="155">
        <v>0</v>
      </c>
      <c r="AK23" s="29">
        <f t="shared" si="18"/>
        <v>1</v>
      </c>
      <c r="AL23" s="1">
        <f t="shared" si="19"/>
        <v>1.2365959919080913</v>
      </c>
      <c r="AM23" s="31" t="str">
        <f t="shared" si="20"/>
        <v>(3,2,1,1,1,3); yield at good installation, average is lower while optimum would be higher, basic uncertainty = 1.2</v>
      </c>
      <c r="AN23" s="155">
        <v>0</v>
      </c>
      <c r="AO23" s="29">
        <f t="shared" si="21"/>
        <v>1</v>
      </c>
      <c r="AP23" s="1">
        <f t="shared" si="22"/>
        <v>1.2365959919080913</v>
      </c>
      <c r="AQ23" s="139" t="str">
        <f t="shared" si="23"/>
        <v>(3,2,1,1,1,3); yield at good installation, average is lower while optimum would be higher, basic uncertainty = 1.2</v>
      </c>
      <c r="AR23" s="155" t="e">
        <f>1/(Schrägdach*3*lifetime)</f>
        <v>#REF!</v>
      </c>
      <c r="AS23" s="29">
        <f t="shared" si="24"/>
        <v>1</v>
      </c>
      <c r="AT23" s="1">
        <f t="shared" si="25"/>
        <v>1.2365959919080913</v>
      </c>
      <c r="AU23" s="31" t="str">
        <f t="shared" si="26"/>
        <v>(3,2,1,1,1,3); yield at good installation, average is lower while optimum would be higher, basic uncertainty = 1.2</v>
      </c>
      <c r="AV23" s="155">
        <v>0</v>
      </c>
      <c r="AW23" s="29">
        <f t="shared" si="27"/>
        <v>1</v>
      </c>
      <c r="AX23" s="1">
        <f t="shared" si="28"/>
        <v>1.2365959919080913</v>
      </c>
      <c r="AY23" s="139" t="str">
        <f t="shared" si="29"/>
        <v>(3,2,1,1,1,3); yield at good installation, average is lower while optimum would be higher, basic uncertainty = 1.2</v>
      </c>
      <c r="AZ23" s="155">
        <v>0</v>
      </c>
      <c r="BA23" s="29">
        <f t="shared" si="30"/>
        <v>1</v>
      </c>
      <c r="BB23" s="1">
        <f t="shared" si="31"/>
        <v>1.2365959919080913</v>
      </c>
      <c r="BC23" s="139" t="str">
        <f t="shared" si="32"/>
        <v>(3,2,1,1,1,3); yield at good installation, average is lower while optimum would be higher, basic uncertainty = 1.2</v>
      </c>
      <c r="BD23" s="155">
        <v>0</v>
      </c>
      <c r="BE23" s="29">
        <f t="shared" si="33"/>
        <v>1</v>
      </c>
      <c r="BF23" s="1">
        <f t="shared" si="34"/>
        <v>1.2365959919080913</v>
      </c>
      <c r="BG23" s="139" t="str">
        <f t="shared" si="35"/>
        <v>(3,2,1,1,1,3); yield at good installation, average is lower while optimum would be higher, basic uncertainty = 1.2</v>
      </c>
      <c r="BH23" s="29">
        <f t="shared" si="36"/>
        <v>1</v>
      </c>
      <c r="BI23" s="1">
        <f t="shared" si="37"/>
        <v>1.2365959919080913</v>
      </c>
      <c r="BJ23" s="139" t="str">
        <f t="shared" si="38"/>
        <v>(3,2,1,1,1,3); yield at good installation, average is lower while optimum would be higher, basic uncertainty = 1.2</v>
      </c>
      <c r="BK23" s="155">
        <v>0</v>
      </c>
      <c r="BL23" s="29">
        <f t="shared" si="39"/>
        <v>1</v>
      </c>
      <c r="BM23" s="1">
        <f t="shared" si="40"/>
        <v>1.2365959919080913</v>
      </c>
      <c r="BN23" s="139" t="str">
        <f t="shared" si="41"/>
        <v>(3,2,1,1,1,3); yield at good installation, average is lower while optimum would be higher, basic uncertainty = 1.2</v>
      </c>
      <c r="BO23" s="155">
        <v>0</v>
      </c>
      <c r="BP23" s="29">
        <f t="shared" si="42"/>
        <v>1</v>
      </c>
      <c r="BQ23" s="1">
        <f t="shared" si="43"/>
        <v>1.2365959919080913</v>
      </c>
      <c r="BR23" s="139" t="str">
        <f t="shared" si="44"/>
        <v>(3,2,1,1,1,3); yield at good installation, average is lower while optimum would be higher, basic uncertainty = 1.2</v>
      </c>
      <c r="BS23" s="155">
        <v>0</v>
      </c>
      <c r="BT23" s="29">
        <f t="shared" si="45"/>
        <v>1</v>
      </c>
      <c r="BU23" s="1">
        <f t="shared" si="46"/>
        <v>1.2365959919080913</v>
      </c>
      <c r="BV23" s="139" t="str">
        <f t="shared" si="47"/>
        <v>(3,2,1,1,1,3); yield at good installation, average is lower while optimum would be higher, basic uncertainty = 1.2</v>
      </c>
      <c r="BW23" s="155">
        <v>0</v>
      </c>
      <c r="BX23" s="29">
        <f t="shared" si="48"/>
        <v>1</v>
      </c>
      <c r="BY23" s="1">
        <f t="shared" si="49"/>
        <v>1.2365959919080913</v>
      </c>
      <c r="BZ23" s="31" t="str">
        <f t="shared" si="62"/>
        <v>(3,2,1,1,1,3); yield at good installation, average is lower while optimum would be higher, basic uncertainty = 1.2</v>
      </c>
      <c r="CA23" s="586" t="s">
        <v>402</v>
      </c>
      <c r="CB23" s="29">
        <f t="shared" si="50"/>
        <v>1</v>
      </c>
      <c r="CC23" s="1">
        <f t="shared" si="51"/>
        <v>1.2365959919080913</v>
      </c>
      <c r="CD23" s="139" t="str">
        <f t="shared" si="63"/>
        <v>(3,2,1,1,1,3); yield at good installation, average is lower while optimum would be higher, basic uncertainty = 1.2</v>
      </c>
      <c r="CE23" s="155">
        <f t="shared" si="74"/>
        <v>0</v>
      </c>
      <c r="CF23" s="29">
        <f t="shared" si="52"/>
        <v>1</v>
      </c>
      <c r="CG23" s="1">
        <f t="shared" si="53"/>
        <v>1.2365959919080913</v>
      </c>
      <c r="CH23" s="139" t="str">
        <f t="shared" si="64"/>
        <v>(3,2,1,1,1,3); yield at good installation, average is lower while optimum would be higher, basic uncertainty = 1.2</v>
      </c>
      <c r="CI23" s="155">
        <f t="shared" si="75"/>
        <v>0</v>
      </c>
      <c r="CJ23" s="29">
        <f t="shared" si="54"/>
        <v>1</v>
      </c>
      <c r="CK23" s="1">
        <f t="shared" si="55"/>
        <v>1.2365959919080913</v>
      </c>
      <c r="CL23" s="139" t="str">
        <f t="shared" si="65"/>
        <v>(3,2,1,1,1,3); yield at good installation, average is lower while optimum would be higher, basic uncertainty = 1.2</v>
      </c>
      <c r="CM23" s="155">
        <f t="shared" si="76"/>
        <v>0</v>
      </c>
      <c r="CN23" s="29">
        <f t="shared" si="56"/>
        <v>1</v>
      </c>
      <c r="CO23" s="1">
        <f t="shared" si="57"/>
        <v>1.2365959919080913</v>
      </c>
      <c r="CP23" s="139" t="str">
        <f t="shared" si="66"/>
        <v>(3,2,1,1,1,3); yield at good installation, average is lower while optimum would be higher, basic uncertainty = 1.2</v>
      </c>
      <c r="CQ23" s="155">
        <f t="shared" si="77"/>
        <v>0</v>
      </c>
      <c r="CR23" s="29">
        <f t="shared" si="58"/>
        <v>1</v>
      </c>
      <c r="CS23" s="1">
        <f t="shared" si="59"/>
        <v>1.2365959919080913</v>
      </c>
      <c r="CT23" s="139" t="str">
        <f t="shared" si="67"/>
        <v>(3,2,1,1,1,3); yield at good installation, average is lower while optimum would be higher, basic uncertainty = 1.2</v>
      </c>
      <c r="CU23" s="155">
        <f t="shared" si="79"/>
        <v>0</v>
      </c>
      <c r="CV23" s="29">
        <f t="shared" si="60"/>
        <v>1</v>
      </c>
      <c r="CW23" s="1">
        <f t="shared" si="61"/>
        <v>1.2365959919080913</v>
      </c>
      <c r="CX23" s="139" t="str">
        <f t="shared" si="68"/>
        <v>(3,2,1,1,1,3); yield at good installation, average is lower while optimum would be higher, basic uncertainty = 1.2</v>
      </c>
      <c r="CY23" s="155" t="e">
        <f>1/(#REF!*3*lifetime)*DC23</f>
        <v>#REF!</v>
      </c>
      <c r="CZ23" s="29">
        <v>1</v>
      </c>
      <c r="DA23" s="1">
        <f t="shared" si="69"/>
        <v>1.2365959919080913</v>
      </c>
      <c r="DB23" s="31" t="str">
        <f t="shared" si="80"/>
        <v>(3,2,1,1,1,3); average yield, estimation for share of technologies. Basic uncertainty = 1.2</v>
      </c>
      <c r="DC23" s="287" t="e">
        <f>#REF!</f>
        <v>#REF!</v>
      </c>
      <c r="DD23" s="289" t="e">
        <f>#REF!</f>
        <v>#REF!</v>
      </c>
      <c r="DE23" s="287" t="e">
        <f>#REF!</f>
        <v>#REF!</v>
      </c>
      <c r="DF23" s="115" t="str">
        <f t="shared" si="81"/>
        <v>yield at good installation, average is lower while optimum would be higher, basic uncertainty = 1.2</v>
      </c>
      <c r="DG23" s="10">
        <f t="shared" si="82"/>
        <v>3</v>
      </c>
      <c r="DH23" s="50">
        <v>2</v>
      </c>
      <c r="DI23" s="50">
        <v>1</v>
      </c>
      <c r="DJ23" s="50">
        <v>1</v>
      </c>
      <c r="DK23" s="50">
        <v>1</v>
      </c>
      <c r="DL23" s="50">
        <v>3</v>
      </c>
      <c r="DM23" s="50">
        <f>IF(OR($D23="4",$E23="4"),INDEX([14]NamesElementary!$J$1:$J$65536,MATCH($A23,[14]NamesElementary!$A$1:$A$65536,0),1),INDEX([14]Names!$W$1:$W$65602,MATCH($A23,[14]Names!$F$1:$F$65602,0),1))</f>
        <v>9</v>
      </c>
      <c r="DN23" s="312">
        <f t="shared" si="83"/>
        <v>1.2</v>
      </c>
      <c r="DO23" s="87">
        <f t="shared" si="70"/>
        <v>1.1150377561073679</v>
      </c>
      <c r="DP23" s="88">
        <f t="shared" si="71"/>
        <v>1.2365959919080913</v>
      </c>
      <c r="DQ23" s="89" t="str">
        <f t="shared" si="72"/>
        <v>(3,2,1,1,1,3)</v>
      </c>
      <c r="DS23" s="52">
        <f>IF(DG23=1,'[14]SDG^2 values'!$B$4,IF(DG23=2,'[14]SDG^2 values'!$C$4,IF(DG23=3,'[14]SDG^2 values'!$D$4,IF(DG23=4,'[14]SDG^2 values'!$E$4,IF(DG23=5,'[14]SDG^2 values'!$F$4,1)))))</f>
        <v>1.1000000000000001</v>
      </c>
      <c r="DT23" s="52">
        <f>IF(DH23=1,'[14]SDG^2 values'!$B$5,IF(DH23=2,'[14]SDG^2 values'!$C$5,IF(DH23=3,'[14]SDG^2 values'!$D$5,IF(DH23=4,'[14]SDG^2 values'!$E$5,IF(DH23=5,'[14]SDG^2 values'!$F$5,1)))))</f>
        <v>1.02</v>
      </c>
      <c r="DU23" s="52">
        <f>IF(DI23=1,'[14]SDG^2 values'!$B$6,IF(DI23=2,'[14]SDG^2 values'!$C$6,IF(DI23=3,'[14]SDG^2 values'!$D$6,IF(DI23=4,'[14]SDG^2 values'!$E$6,IF(DI23=5,'[14]SDG^2 values'!$F$6,1)))))</f>
        <v>1</v>
      </c>
      <c r="DV23" s="52">
        <f>IF(DJ23=1,'[14]SDG^2 values'!$B$7,IF(DJ23=2,'[14]SDG^2 values'!$C$7,IF(DJ23=3,'[14]SDG^2 values'!$D$7,IF(DJ23=4,'[14]SDG^2 values'!$E$7,IF(DJ23=5,'[14]SDG^2 values'!$F$7,1)))))</f>
        <v>1</v>
      </c>
      <c r="DW23" s="52">
        <f>IF(DK23=1,'[14]SDG^2 values'!$B$8,IF(DK23=2,'[14]SDG^2 values'!$C$8,IF(DK23=3,'[14]SDG^2 values'!$D$8,IF(DK23=4,'[14]SDG^2 values'!$E$8,IF(DK23=5,'[14]SDG^2 values'!$F$8,1)))))</f>
        <v>1</v>
      </c>
      <c r="DX23" s="52">
        <f>IF(DL23=1,'[14]SDG^2 values'!$B$9,IF(DL23=2,'[14]SDG^2 values'!$C$9,IF(DL23=3,'[14]SDG^2 values'!$D$9,IF(DL23=4,'[14]SDG^2 values'!$E$9,IF(DL23=5,'[14]SDG^2 values'!$F$9,1)))))</f>
        <v>1.05</v>
      </c>
    </row>
    <row r="24" spans="1:128" ht="18" customHeight="1" outlineLevel="1">
      <c r="A24" s="156">
        <v>1328</v>
      </c>
      <c r="B24" s="168" t="s">
        <v>525</v>
      </c>
      <c r="C24" s="151"/>
      <c r="D24" s="152" t="s">
        <v>526</v>
      </c>
      <c r="E24" s="153" t="s">
        <v>402</v>
      </c>
      <c r="F24" s="144" t="str">
        <f>IF(OR(D24="4",E24="4"),INDEX([14]NamesElementary!$B$1:$B$65536,MATCH(A24,[14]NamesElementary!$A$1:$A$65536,0),1),INDEX([14]Names!$J$1:$J$65602,MATCH(A24,[14]Names!$F$1:$F$65602,0),1))</f>
        <v>3kWp slanted-roof installation, multi-Si, panel, mounted, on roof</v>
      </c>
      <c r="G24" s="125" t="str">
        <f>IF(OR(D24="4",E24="4"),"-",INDEX([14]Names!$K$1:$K$65602,MATCH(A24,[14]Names!$F$1:$F$65602,0),1))</f>
        <v>CH</v>
      </c>
      <c r="H24" s="154" t="str">
        <f>IF(OR(D24="4",E24="4"),INDEX([14]NamesElementary!$D$1:$D$65536,MATCH($A24,[14]NamesElementary!$A$1:$A$65536,0),1),"-")</f>
        <v>-</v>
      </c>
      <c r="I24" s="123" t="str">
        <f>IF(OR(D24="4",E24="4"),INDEX([14]NamesElementary!$E$1:$E$65536,MATCH($A24,[14]NamesElementary!$A$1:$A$65536,0),1),"-")</f>
        <v>-</v>
      </c>
      <c r="J24" s="124">
        <f>IF(OR(D24="4",E24="4"),"-",INDEX([14]Names!$N$1:$N$65602,MATCH(A24,[14]Names!$F$1:$F$65602,0),1))</f>
        <v>1</v>
      </c>
      <c r="K24" s="125" t="str">
        <f>IF(OR(D24="4",E24="4"),INDEX([14]NamesElementary!$G$1:$G$65536,MATCH(A24,[14]NamesElementary!$A$1:$A$65536,0),1),INDEX([14]Names!$O$1:$O$65602,MATCH(A24,[14]Names!$F$1:$F$65602,0),1))</f>
        <v>unit</v>
      </c>
      <c r="L24" s="155">
        <v>0</v>
      </c>
      <c r="M24" s="29">
        <f t="shared" si="0"/>
        <v>1</v>
      </c>
      <c r="N24" s="1">
        <f t="shared" si="1"/>
        <v>1.2365959919080913</v>
      </c>
      <c r="O24" s="139" t="str">
        <f t="shared" si="2"/>
        <v>(3,2,1,1,1,3); yield at good installation, average is lower while optimum would be higher, basic uncertainty = 1.2</v>
      </c>
      <c r="P24" s="155">
        <v>0</v>
      </c>
      <c r="Q24" s="29">
        <f t="shared" si="3"/>
        <v>1</v>
      </c>
      <c r="R24" s="1">
        <f t="shared" si="4"/>
        <v>1.2365959919080913</v>
      </c>
      <c r="S24" s="139" t="str">
        <f t="shared" si="5"/>
        <v>(3,2,1,1,1,3); yield at good installation, average is lower while optimum would be higher, basic uncertainty = 1.2</v>
      </c>
      <c r="T24" s="155">
        <v>0</v>
      </c>
      <c r="U24" s="29">
        <f t="shared" si="6"/>
        <v>1</v>
      </c>
      <c r="V24" s="1">
        <f t="shared" si="7"/>
        <v>1.2365959919080913</v>
      </c>
      <c r="W24" s="139" t="str">
        <f t="shared" si="8"/>
        <v>(3,2,1,1,1,3); yield at good installation, average is lower while optimum would be higher, basic uncertainty = 1.2</v>
      </c>
      <c r="X24" s="155">
        <v>0</v>
      </c>
      <c r="Y24" s="29">
        <f t="shared" si="9"/>
        <v>1</v>
      </c>
      <c r="Z24" s="1">
        <f t="shared" si="10"/>
        <v>1.2365959919080913</v>
      </c>
      <c r="AA24" s="139" t="str">
        <f t="shared" si="11"/>
        <v>(3,2,1,1,1,3); yield at good installation, average is lower while optimum would be higher, basic uncertainty = 1.2</v>
      </c>
      <c r="AB24" s="155">
        <v>0</v>
      </c>
      <c r="AC24" s="29">
        <f t="shared" si="12"/>
        <v>1</v>
      </c>
      <c r="AD24" s="1">
        <f t="shared" si="13"/>
        <v>1.2365959919080913</v>
      </c>
      <c r="AE24" s="139" t="str">
        <f t="shared" si="14"/>
        <v>(3,2,1,1,1,3); yield at good installation, average is lower while optimum would be higher, basic uncertainty = 1.2</v>
      </c>
      <c r="AF24" s="155">
        <v>0</v>
      </c>
      <c r="AG24" s="29">
        <f t="shared" si="15"/>
        <v>1</v>
      </c>
      <c r="AH24" s="1">
        <f t="shared" si="16"/>
        <v>1.2365959919080913</v>
      </c>
      <c r="AI24" s="139" t="str">
        <f t="shared" si="17"/>
        <v>(3,2,1,1,1,3); yield at good installation, average is lower while optimum would be higher, basic uncertainty = 1.2</v>
      </c>
      <c r="AJ24" s="155">
        <v>0</v>
      </c>
      <c r="AK24" s="29">
        <f t="shared" si="18"/>
        <v>1</v>
      </c>
      <c r="AL24" s="1">
        <f t="shared" si="19"/>
        <v>1.2365959919080913</v>
      </c>
      <c r="AM24" s="31" t="str">
        <f t="shared" si="20"/>
        <v>(3,2,1,1,1,3); yield at good installation, average is lower while optimum would be higher, basic uncertainty = 1.2</v>
      </c>
      <c r="AN24" s="155">
        <v>0</v>
      </c>
      <c r="AO24" s="29">
        <f t="shared" si="21"/>
        <v>1</v>
      </c>
      <c r="AP24" s="1">
        <f t="shared" si="22"/>
        <v>1.2365959919080913</v>
      </c>
      <c r="AQ24" s="139" t="str">
        <f t="shared" si="23"/>
        <v>(3,2,1,1,1,3); yield at good installation, average is lower while optimum would be higher, basic uncertainty = 1.2</v>
      </c>
      <c r="AR24" s="155">
        <v>0</v>
      </c>
      <c r="AS24" s="29">
        <f t="shared" si="24"/>
        <v>1</v>
      </c>
      <c r="AT24" s="1">
        <f t="shared" si="25"/>
        <v>1.2365959919080913</v>
      </c>
      <c r="AU24" s="31" t="str">
        <f t="shared" si="26"/>
        <v>(3,2,1,1,1,3); yield at good installation, average is lower while optimum would be higher, basic uncertainty = 1.2</v>
      </c>
      <c r="AV24" s="155" t="e">
        <f>1/(Schrägdach*3*lifetime)</f>
        <v>#REF!</v>
      </c>
      <c r="AW24" s="29">
        <f t="shared" si="27"/>
        <v>1</v>
      </c>
      <c r="AX24" s="1">
        <f t="shared" si="28"/>
        <v>1.2365959919080913</v>
      </c>
      <c r="AY24" s="139" t="str">
        <f t="shared" si="29"/>
        <v>(3,2,1,1,1,3); yield at good installation, average is lower while optimum would be higher, basic uncertainty = 1.2</v>
      </c>
      <c r="AZ24" s="155">
        <v>0</v>
      </c>
      <c r="BA24" s="29">
        <f t="shared" si="30"/>
        <v>1</v>
      </c>
      <c r="BB24" s="1">
        <f t="shared" si="31"/>
        <v>1.2365959919080913</v>
      </c>
      <c r="BC24" s="139" t="str">
        <f t="shared" si="32"/>
        <v>(3,2,1,1,1,3); yield at good installation, average is lower while optimum would be higher, basic uncertainty = 1.2</v>
      </c>
      <c r="BD24" s="155">
        <v>0</v>
      </c>
      <c r="BE24" s="29">
        <f t="shared" si="33"/>
        <v>1</v>
      </c>
      <c r="BF24" s="1">
        <f t="shared" si="34"/>
        <v>1.2365959919080913</v>
      </c>
      <c r="BG24" s="139" t="str">
        <f t="shared" si="35"/>
        <v>(3,2,1,1,1,3); yield at good installation, average is lower while optimum would be higher, basic uncertainty = 1.2</v>
      </c>
      <c r="BH24" s="29">
        <f t="shared" si="36"/>
        <v>1</v>
      </c>
      <c r="BI24" s="1">
        <f t="shared" si="37"/>
        <v>1.2365959919080913</v>
      </c>
      <c r="BJ24" s="139" t="str">
        <f t="shared" si="38"/>
        <v>(3,2,1,1,1,3); yield at good installation, average is lower while optimum would be higher, basic uncertainty = 1.2</v>
      </c>
      <c r="BK24" s="155">
        <v>0</v>
      </c>
      <c r="BL24" s="29">
        <f t="shared" si="39"/>
        <v>1</v>
      </c>
      <c r="BM24" s="1">
        <f t="shared" si="40"/>
        <v>1.2365959919080913</v>
      </c>
      <c r="BN24" s="139" t="str">
        <f t="shared" si="41"/>
        <v>(3,2,1,1,1,3); yield at good installation, average is lower while optimum would be higher, basic uncertainty = 1.2</v>
      </c>
      <c r="BO24" s="155">
        <v>0</v>
      </c>
      <c r="BP24" s="29">
        <f t="shared" si="42"/>
        <v>1</v>
      </c>
      <c r="BQ24" s="1">
        <f t="shared" si="43"/>
        <v>1.2365959919080913</v>
      </c>
      <c r="BR24" s="139" t="str">
        <f t="shared" si="44"/>
        <v>(3,2,1,1,1,3); yield at good installation, average is lower while optimum would be higher, basic uncertainty = 1.2</v>
      </c>
      <c r="BS24" s="155">
        <v>0</v>
      </c>
      <c r="BT24" s="29">
        <f t="shared" si="45"/>
        <v>1</v>
      </c>
      <c r="BU24" s="1">
        <f t="shared" si="46"/>
        <v>1.2365959919080913</v>
      </c>
      <c r="BV24" s="139" t="str">
        <f t="shared" si="47"/>
        <v>(3,2,1,1,1,3); yield at good installation, average is lower while optimum would be higher, basic uncertainty = 1.2</v>
      </c>
      <c r="BW24" s="155">
        <v>0</v>
      </c>
      <c r="BX24" s="29">
        <f t="shared" si="48"/>
        <v>1</v>
      </c>
      <c r="BY24" s="1">
        <f t="shared" si="49"/>
        <v>1.2365959919080913</v>
      </c>
      <c r="BZ24" s="31" t="str">
        <f t="shared" si="62"/>
        <v>(3,2,1,1,1,3); yield at good installation, average is lower while optimum would be higher, basic uncertainty = 1.2</v>
      </c>
      <c r="CA24" s="155">
        <f t="shared" si="73"/>
        <v>0</v>
      </c>
      <c r="CB24" s="29">
        <f t="shared" si="50"/>
        <v>1</v>
      </c>
      <c r="CC24" s="1">
        <f t="shared" si="51"/>
        <v>1.2365959919080913</v>
      </c>
      <c r="CD24" s="139" t="str">
        <f t="shared" si="63"/>
        <v>(3,2,1,1,1,3); yield at good installation, average is lower while optimum would be higher, basic uncertainty = 1.2</v>
      </c>
      <c r="CE24" s="155">
        <v>0</v>
      </c>
      <c r="CF24" s="29">
        <f t="shared" si="52"/>
        <v>1</v>
      </c>
      <c r="CG24" s="1">
        <f t="shared" si="53"/>
        <v>1.2365959919080913</v>
      </c>
      <c r="CH24" s="139" t="str">
        <f t="shared" si="64"/>
        <v>(3,2,1,1,1,3); yield at good installation, average is lower while optimum would be higher, basic uncertainty = 1.2</v>
      </c>
      <c r="CI24" s="155">
        <f t="shared" si="75"/>
        <v>0</v>
      </c>
      <c r="CJ24" s="29">
        <f t="shared" si="54"/>
        <v>1</v>
      </c>
      <c r="CK24" s="1">
        <f t="shared" si="55"/>
        <v>1.2365959919080913</v>
      </c>
      <c r="CL24" s="139" t="str">
        <f t="shared" si="65"/>
        <v>(3,2,1,1,1,3); yield at good installation, average is lower while optimum would be higher, basic uncertainty = 1.2</v>
      </c>
      <c r="CM24" s="155">
        <f t="shared" si="76"/>
        <v>0</v>
      </c>
      <c r="CN24" s="29">
        <f t="shared" si="56"/>
        <v>1</v>
      </c>
      <c r="CO24" s="1">
        <f t="shared" si="57"/>
        <v>1.2365959919080913</v>
      </c>
      <c r="CP24" s="139" t="str">
        <f t="shared" si="66"/>
        <v>(3,2,1,1,1,3); yield at good installation, average is lower while optimum would be higher, basic uncertainty = 1.2</v>
      </c>
      <c r="CQ24" s="155">
        <f t="shared" si="77"/>
        <v>0</v>
      </c>
      <c r="CR24" s="29">
        <f t="shared" si="58"/>
        <v>1</v>
      </c>
      <c r="CS24" s="1">
        <f t="shared" si="59"/>
        <v>1.2365959919080913</v>
      </c>
      <c r="CT24" s="139" t="str">
        <f t="shared" si="67"/>
        <v>(3,2,1,1,1,3); yield at good installation, average is lower while optimum would be higher, basic uncertainty = 1.2</v>
      </c>
      <c r="CU24" s="155">
        <f t="shared" si="79"/>
        <v>0</v>
      </c>
      <c r="CV24" s="29">
        <f t="shared" si="60"/>
        <v>1</v>
      </c>
      <c r="CW24" s="1">
        <f t="shared" si="61"/>
        <v>1.2365959919080913</v>
      </c>
      <c r="CX24" s="139" t="str">
        <f t="shared" si="68"/>
        <v>(3,2,1,1,1,3); yield at good installation, average is lower while optimum would be higher, basic uncertainty = 1.2</v>
      </c>
      <c r="CY24" s="155" t="e">
        <f>1/(#REF!*3*lifetime)*DC24</f>
        <v>#REF!</v>
      </c>
      <c r="CZ24" s="29">
        <v>1</v>
      </c>
      <c r="DA24" s="1">
        <f t="shared" si="69"/>
        <v>1.2365959919080913</v>
      </c>
      <c r="DB24" s="31" t="str">
        <f t="shared" si="80"/>
        <v>(3,2,1,1,1,3); average yield, estimation for share of technologies. Basic uncertainty = 1.2</v>
      </c>
      <c r="DC24" s="287" t="e">
        <f>#REF!</f>
        <v>#REF!</v>
      </c>
      <c r="DD24" s="289" t="e">
        <f>#REF!</f>
        <v>#REF!</v>
      </c>
      <c r="DE24" s="287" t="e">
        <f>#REF!</f>
        <v>#REF!</v>
      </c>
      <c r="DF24" s="115" t="str">
        <f t="shared" si="81"/>
        <v>yield at good installation, average is lower while optimum would be higher, basic uncertainty = 1.2</v>
      </c>
      <c r="DG24" s="10">
        <f t="shared" si="82"/>
        <v>3</v>
      </c>
      <c r="DH24" s="50">
        <v>2</v>
      </c>
      <c r="DI24" s="50">
        <v>1</v>
      </c>
      <c r="DJ24" s="50">
        <v>1</v>
      </c>
      <c r="DK24" s="50">
        <v>1</v>
      </c>
      <c r="DL24" s="50">
        <v>3</v>
      </c>
      <c r="DM24" s="50">
        <f>IF(OR($D24="4",$E24="4"),INDEX([14]NamesElementary!$J$1:$J$65536,MATCH($A24,[14]NamesElementary!$A$1:$A$65536,0),1),INDEX([14]Names!$W$1:$W$65602,MATCH($A24,[14]Names!$F$1:$F$65602,0),1))</f>
        <v>9</v>
      </c>
      <c r="DN24" s="312">
        <f t="shared" si="83"/>
        <v>1.2</v>
      </c>
      <c r="DO24" s="87">
        <f t="shared" si="70"/>
        <v>1.1150377561073679</v>
      </c>
      <c r="DP24" s="88">
        <f t="shared" si="71"/>
        <v>1.2365959919080913</v>
      </c>
      <c r="DQ24" s="89" t="str">
        <f t="shared" si="72"/>
        <v>(3,2,1,1,1,3)</v>
      </c>
      <c r="DS24" s="52">
        <f>IF(DG24=1,'[14]SDG^2 values'!$B$4,IF(DG24=2,'[14]SDG^2 values'!$C$4,IF(DG24=3,'[14]SDG^2 values'!$D$4,IF(DG24=4,'[14]SDG^2 values'!$E$4,IF(DG24=5,'[14]SDG^2 values'!$F$4,1)))))</f>
        <v>1.1000000000000001</v>
      </c>
      <c r="DT24" s="52">
        <f>IF(DH24=1,'[14]SDG^2 values'!$B$5,IF(DH24=2,'[14]SDG^2 values'!$C$5,IF(DH24=3,'[14]SDG^2 values'!$D$5,IF(DH24=4,'[14]SDG^2 values'!$E$5,IF(DH24=5,'[14]SDG^2 values'!$F$5,1)))))</f>
        <v>1.02</v>
      </c>
      <c r="DU24" s="52">
        <f>IF(DI24=1,'[14]SDG^2 values'!$B$6,IF(DI24=2,'[14]SDG^2 values'!$C$6,IF(DI24=3,'[14]SDG^2 values'!$D$6,IF(DI24=4,'[14]SDG^2 values'!$E$6,IF(DI24=5,'[14]SDG^2 values'!$F$6,1)))))</f>
        <v>1</v>
      </c>
      <c r="DV24" s="52">
        <f>IF(DJ24=1,'[14]SDG^2 values'!$B$7,IF(DJ24=2,'[14]SDG^2 values'!$C$7,IF(DJ24=3,'[14]SDG^2 values'!$D$7,IF(DJ24=4,'[14]SDG^2 values'!$E$7,IF(DJ24=5,'[14]SDG^2 values'!$F$7,1)))))</f>
        <v>1</v>
      </c>
      <c r="DW24" s="52">
        <f>IF(DK24=1,'[14]SDG^2 values'!$B$8,IF(DK24=2,'[14]SDG^2 values'!$C$8,IF(DK24=3,'[14]SDG^2 values'!$D$8,IF(DK24=4,'[14]SDG^2 values'!$E$8,IF(DK24=5,'[14]SDG^2 values'!$F$8,1)))))</f>
        <v>1</v>
      </c>
      <c r="DX24" s="52">
        <f>IF(DL24=1,'[14]SDG^2 values'!$B$9,IF(DL24=2,'[14]SDG^2 values'!$C$9,IF(DL24=3,'[14]SDG^2 values'!$D$9,IF(DL24=4,'[14]SDG^2 values'!$E$9,IF(DL24=5,'[14]SDG^2 values'!$F$9,1)))))</f>
        <v>1.05</v>
      </c>
    </row>
    <row r="25" spans="1:128" ht="18" customHeight="1" outlineLevel="1">
      <c r="A25" s="120">
        <v>32066</v>
      </c>
      <c r="B25" s="168" t="s">
        <v>525</v>
      </c>
      <c r="C25" s="151"/>
      <c r="D25" s="152" t="s">
        <v>526</v>
      </c>
      <c r="E25" s="153" t="s">
        <v>402</v>
      </c>
      <c r="F25" s="144" t="str">
        <f>IF(OR(D25="4",E25="4"),INDEX([14]NamesElementary!$B$1:$B$65536,MATCH(A25,[14]NamesElementary!$A$1:$A$65536,0),1),INDEX([14]Names!$J$1:$J$65602,MATCH(A25,[14]Names!$F$1:$F$65602,0),1))</f>
        <v>3kWp slanted-roof installation, ribbon-Si, panel, mounted, on roof</v>
      </c>
      <c r="G25" s="125" t="str">
        <f>IF(OR(D25="4",E25="4"),"-",INDEX([14]Names!$K$1:$K$65602,MATCH(A25,[14]Names!$F$1:$F$65602,0),1))</f>
        <v>CH</v>
      </c>
      <c r="H25" s="154" t="str">
        <f>IF(OR(D25="4",E25="4"),INDEX([14]NamesElementary!$D$1:$D$65536,MATCH($A25,[14]NamesElementary!$A$1:$A$65536,0),1),"-")</f>
        <v>-</v>
      </c>
      <c r="I25" s="123" t="str">
        <f>IF(OR(D25="4",E25="4"),INDEX([14]NamesElementary!$E$1:$E$65536,MATCH($A25,[14]NamesElementary!$A$1:$A$65536,0),1),"-")</f>
        <v>-</v>
      </c>
      <c r="J25" s="124">
        <f>IF(OR(D25="4",E25="4"),"-",INDEX([14]Names!$N$1:$N$65602,MATCH(A25,[14]Names!$F$1:$F$65602,0),1))</f>
        <v>1</v>
      </c>
      <c r="K25" s="125" t="str">
        <f>IF(OR(D25="4",E25="4"),INDEX([14]NamesElementary!$G$1:$G$65536,MATCH(A25,[14]NamesElementary!$A$1:$A$65536,0),1),INDEX([14]Names!$O$1:$O$65602,MATCH(A25,[14]Names!$F$1:$F$65602,0),1))</f>
        <v>unit</v>
      </c>
      <c r="L25" s="155">
        <v>0</v>
      </c>
      <c r="M25" s="29">
        <f t="shared" si="0"/>
        <v>1</v>
      </c>
      <c r="N25" s="1">
        <f t="shared" si="1"/>
        <v>1.2365959919080913</v>
      </c>
      <c r="O25" s="139" t="str">
        <f t="shared" si="2"/>
        <v>(3,2,1,1,1,3); yield at good installation, average is lower while optimum would be higher, basic uncertainty = 1.2</v>
      </c>
      <c r="P25" s="155">
        <v>0</v>
      </c>
      <c r="Q25" s="29">
        <f t="shared" si="3"/>
        <v>1</v>
      </c>
      <c r="R25" s="1">
        <f t="shared" si="4"/>
        <v>1.2365959919080913</v>
      </c>
      <c r="S25" s="139" t="str">
        <f t="shared" si="5"/>
        <v>(3,2,1,1,1,3); yield at good installation, average is lower while optimum would be higher, basic uncertainty = 1.2</v>
      </c>
      <c r="T25" s="155">
        <v>0</v>
      </c>
      <c r="U25" s="29">
        <f t="shared" si="6"/>
        <v>1</v>
      </c>
      <c r="V25" s="1">
        <f t="shared" si="7"/>
        <v>1.2365959919080913</v>
      </c>
      <c r="W25" s="139" t="str">
        <f t="shared" si="8"/>
        <v>(3,2,1,1,1,3); yield at good installation, average is lower while optimum would be higher, basic uncertainty = 1.2</v>
      </c>
      <c r="X25" s="155">
        <v>0</v>
      </c>
      <c r="Y25" s="29">
        <f t="shared" si="9"/>
        <v>1</v>
      </c>
      <c r="Z25" s="1">
        <f t="shared" si="10"/>
        <v>1.2365959919080913</v>
      </c>
      <c r="AA25" s="139" t="str">
        <f t="shared" si="11"/>
        <v>(3,2,1,1,1,3); yield at good installation, average is lower while optimum would be higher, basic uncertainty = 1.2</v>
      </c>
      <c r="AB25" s="155">
        <v>0</v>
      </c>
      <c r="AC25" s="29">
        <f t="shared" si="12"/>
        <v>1</v>
      </c>
      <c r="AD25" s="1">
        <f t="shared" si="13"/>
        <v>1.2365959919080913</v>
      </c>
      <c r="AE25" s="139" t="str">
        <f t="shared" si="14"/>
        <v>(3,2,1,1,1,3); yield at good installation, average is lower while optimum would be higher, basic uncertainty = 1.2</v>
      </c>
      <c r="AF25" s="155">
        <v>0</v>
      </c>
      <c r="AG25" s="29">
        <f t="shared" si="15"/>
        <v>1</v>
      </c>
      <c r="AH25" s="1">
        <f t="shared" si="16"/>
        <v>1.2365959919080913</v>
      </c>
      <c r="AI25" s="139" t="str">
        <f t="shared" si="17"/>
        <v>(3,2,1,1,1,3); yield at good installation, average is lower while optimum would be higher, basic uncertainty = 1.2</v>
      </c>
      <c r="AJ25" s="155">
        <v>0</v>
      </c>
      <c r="AK25" s="29">
        <f t="shared" si="18"/>
        <v>1</v>
      </c>
      <c r="AL25" s="1">
        <f t="shared" si="19"/>
        <v>1.2365959919080913</v>
      </c>
      <c r="AM25" s="31" t="str">
        <f t="shared" si="20"/>
        <v>(3,2,1,1,1,3); yield at good installation, average is lower while optimum would be higher, basic uncertainty = 1.2</v>
      </c>
      <c r="AN25" s="155">
        <v>0</v>
      </c>
      <c r="AO25" s="29">
        <f t="shared" si="21"/>
        <v>1</v>
      </c>
      <c r="AP25" s="1">
        <f t="shared" si="22"/>
        <v>1.2365959919080913</v>
      </c>
      <c r="AQ25" s="139" t="str">
        <f t="shared" si="23"/>
        <v>(3,2,1,1,1,3); yield at good installation, average is lower while optimum would be higher, basic uncertainty = 1.2</v>
      </c>
      <c r="AR25" s="155">
        <v>0</v>
      </c>
      <c r="AS25" s="29">
        <f t="shared" si="24"/>
        <v>1</v>
      </c>
      <c r="AT25" s="1">
        <f t="shared" si="25"/>
        <v>1.2365959919080913</v>
      </c>
      <c r="AU25" s="31" t="str">
        <f t="shared" si="26"/>
        <v>(3,2,1,1,1,3); yield at good installation, average is lower while optimum would be higher, basic uncertainty = 1.2</v>
      </c>
      <c r="AV25" s="155">
        <v>0</v>
      </c>
      <c r="AW25" s="29">
        <f t="shared" si="27"/>
        <v>1</v>
      </c>
      <c r="AX25" s="1">
        <f t="shared" si="28"/>
        <v>1.2365959919080913</v>
      </c>
      <c r="AY25" s="139" t="str">
        <f t="shared" si="29"/>
        <v>(3,2,1,1,1,3); yield at good installation, average is lower while optimum would be higher, basic uncertainty = 1.2</v>
      </c>
      <c r="AZ25" s="155" t="e">
        <f>1/(Schrägdach*3*lifetime)</f>
        <v>#REF!</v>
      </c>
      <c r="BA25" s="29">
        <f t="shared" si="30"/>
        <v>1</v>
      </c>
      <c r="BB25" s="1">
        <f t="shared" si="31"/>
        <v>1.2365959919080913</v>
      </c>
      <c r="BC25" s="139" t="str">
        <f t="shared" si="32"/>
        <v>(3,2,1,1,1,3); yield at good installation, average is lower while optimum would be higher, basic uncertainty = 1.2</v>
      </c>
      <c r="BD25" s="155">
        <v>0</v>
      </c>
      <c r="BE25" s="29">
        <f t="shared" si="33"/>
        <v>1</v>
      </c>
      <c r="BF25" s="1">
        <f t="shared" si="34"/>
        <v>1.2365959919080913</v>
      </c>
      <c r="BG25" s="139" t="str">
        <f t="shared" si="35"/>
        <v>(3,2,1,1,1,3); yield at good installation, average is lower while optimum would be higher, basic uncertainty = 1.2</v>
      </c>
      <c r="BH25" s="29">
        <f t="shared" si="36"/>
        <v>1</v>
      </c>
      <c r="BI25" s="1">
        <f t="shared" si="37"/>
        <v>1.2365959919080913</v>
      </c>
      <c r="BJ25" s="139" t="str">
        <f t="shared" si="38"/>
        <v>(3,2,1,1,1,3); yield at good installation, average is lower while optimum would be higher, basic uncertainty = 1.2</v>
      </c>
      <c r="BK25" s="155">
        <v>0</v>
      </c>
      <c r="BL25" s="29">
        <f t="shared" si="39"/>
        <v>1</v>
      </c>
      <c r="BM25" s="1">
        <f t="shared" si="40"/>
        <v>1.2365959919080913</v>
      </c>
      <c r="BN25" s="139" t="str">
        <f t="shared" si="41"/>
        <v>(3,2,1,1,1,3); yield at good installation, average is lower while optimum would be higher, basic uncertainty = 1.2</v>
      </c>
      <c r="BO25" s="155">
        <v>0</v>
      </c>
      <c r="BP25" s="29">
        <f t="shared" si="42"/>
        <v>1</v>
      </c>
      <c r="BQ25" s="1">
        <f t="shared" si="43"/>
        <v>1.2365959919080913</v>
      </c>
      <c r="BR25" s="139" t="str">
        <f t="shared" si="44"/>
        <v>(3,2,1,1,1,3); yield at good installation, average is lower while optimum would be higher, basic uncertainty = 1.2</v>
      </c>
      <c r="BS25" s="155">
        <v>0</v>
      </c>
      <c r="BT25" s="29">
        <f t="shared" si="45"/>
        <v>1</v>
      </c>
      <c r="BU25" s="1">
        <f t="shared" si="46"/>
        <v>1.2365959919080913</v>
      </c>
      <c r="BV25" s="139" t="str">
        <f t="shared" si="47"/>
        <v>(3,2,1,1,1,3); yield at good installation, average is lower while optimum would be higher, basic uncertainty = 1.2</v>
      </c>
      <c r="BW25" s="155">
        <v>0</v>
      </c>
      <c r="BX25" s="29">
        <f t="shared" si="48"/>
        <v>1</v>
      </c>
      <c r="BY25" s="1">
        <f t="shared" si="49"/>
        <v>1.2365959919080913</v>
      </c>
      <c r="BZ25" s="31" t="str">
        <f t="shared" si="62"/>
        <v>(3,2,1,1,1,3); yield at good installation, average is lower while optimum would be higher, basic uncertainty = 1.2</v>
      </c>
      <c r="CA25" s="155">
        <f t="shared" si="73"/>
        <v>0</v>
      </c>
      <c r="CB25" s="29">
        <f t="shared" si="50"/>
        <v>1</v>
      </c>
      <c r="CC25" s="1">
        <f t="shared" si="51"/>
        <v>1.2365959919080913</v>
      </c>
      <c r="CD25" s="139" t="str">
        <f t="shared" si="63"/>
        <v>(3,2,1,1,1,3); yield at good installation, average is lower while optimum would be higher, basic uncertainty = 1.2</v>
      </c>
      <c r="CE25" s="155">
        <f t="shared" si="74"/>
        <v>0</v>
      </c>
      <c r="CF25" s="29">
        <f t="shared" si="52"/>
        <v>1</v>
      </c>
      <c r="CG25" s="1">
        <f t="shared" si="53"/>
        <v>1.2365959919080913</v>
      </c>
      <c r="CH25" s="139" t="str">
        <f t="shared" si="64"/>
        <v>(3,2,1,1,1,3); yield at good installation, average is lower while optimum would be higher, basic uncertainty = 1.2</v>
      </c>
      <c r="CI25" s="155">
        <f t="shared" si="75"/>
        <v>0</v>
      </c>
      <c r="CJ25" s="29">
        <f t="shared" si="54"/>
        <v>1</v>
      </c>
      <c r="CK25" s="1">
        <f t="shared" si="55"/>
        <v>1.2365959919080913</v>
      </c>
      <c r="CL25" s="139" t="str">
        <f t="shared" si="65"/>
        <v>(3,2,1,1,1,3); yield at good installation, average is lower while optimum would be higher, basic uncertainty = 1.2</v>
      </c>
      <c r="CM25" s="155">
        <f t="shared" si="76"/>
        <v>0</v>
      </c>
      <c r="CN25" s="29">
        <f t="shared" si="56"/>
        <v>1</v>
      </c>
      <c r="CO25" s="1">
        <f t="shared" si="57"/>
        <v>1.2365959919080913</v>
      </c>
      <c r="CP25" s="139" t="str">
        <f t="shared" si="66"/>
        <v>(3,2,1,1,1,3); yield at good installation, average is lower while optimum would be higher, basic uncertainty = 1.2</v>
      </c>
      <c r="CQ25" s="155">
        <f t="shared" si="77"/>
        <v>0</v>
      </c>
      <c r="CR25" s="29">
        <f t="shared" si="58"/>
        <v>1</v>
      </c>
      <c r="CS25" s="1">
        <f t="shared" si="59"/>
        <v>1.2365959919080913</v>
      </c>
      <c r="CT25" s="139" t="str">
        <f t="shared" si="67"/>
        <v>(3,2,1,1,1,3); yield at good installation, average is lower while optimum would be higher, basic uncertainty = 1.2</v>
      </c>
      <c r="CU25" s="155">
        <f t="shared" si="79"/>
        <v>0</v>
      </c>
      <c r="CV25" s="29">
        <f t="shared" si="60"/>
        <v>1</v>
      </c>
      <c r="CW25" s="1">
        <f t="shared" si="61"/>
        <v>1.2365959919080913</v>
      </c>
      <c r="CX25" s="139" t="str">
        <f t="shared" si="68"/>
        <v>(3,2,1,1,1,3); yield at good installation, average is lower while optimum would be higher, basic uncertainty = 1.2</v>
      </c>
      <c r="CY25" s="155" t="e">
        <f>1/(#REF!*3*lifetime)*DC25</f>
        <v>#REF!</v>
      </c>
      <c r="CZ25" s="29">
        <v>1</v>
      </c>
      <c r="DA25" s="1">
        <f t="shared" si="69"/>
        <v>1.2365959919080913</v>
      </c>
      <c r="DB25" s="31" t="str">
        <f t="shared" si="80"/>
        <v>(3,2,1,1,1,3); average yield, estimation for share of technologies. Basic uncertainty = 1.2</v>
      </c>
      <c r="DC25" s="287" t="e">
        <f>#REF!</f>
        <v>#REF!</v>
      </c>
      <c r="DD25" s="289" t="e">
        <f>#REF!</f>
        <v>#REF!</v>
      </c>
      <c r="DE25" s="287" t="e">
        <f>#REF!</f>
        <v>#REF!</v>
      </c>
      <c r="DF25" s="115" t="str">
        <f t="shared" si="81"/>
        <v>yield at good installation, average is lower while optimum would be higher, basic uncertainty = 1.2</v>
      </c>
      <c r="DG25" s="10">
        <f t="shared" si="82"/>
        <v>3</v>
      </c>
      <c r="DH25" s="50">
        <v>2</v>
      </c>
      <c r="DI25" s="50">
        <v>1</v>
      </c>
      <c r="DJ25" s="50">
        <v>1</v>
      </c>
      <c r="DK25" s="50">
        <v>1</v>
      </c>
      <c r="DL25" s="50">
        <v>3</v>
      </c>
      <c r="DM25" s="50">
        <f>IF(OR($D25="4",$E25="4"),INDEX([14]NamesElementary!$J$1:$J$65536,MATCH($A25,[14]NamesElementary!$A$1:$A$65536,0),1),INDEX([14]Names!$W$1:$W$65602,MATCH($A25,[14]Names!$F$1:$F$65602,0),1))</f>
        <v>9</v>
      </c>
      <c r="DN25" s="312">
        <f t="shared" si="83"/>
        <v>1.2</v>
      </c>
      <c r="DO25" s="87">
        <f t="shared" si="70"/>
        <v>1.1150377561073679</v>
      </c>
      <c r="DP25" s="88">
        <f t="shared" si="71"/>
        <v>1.2365959919080913</v>
      </c>
      <c r="DQ25" s="89" t="str">
        <f t="shared" si="72"/>
        <v>(3,2,1,1,1,3)</v>
      </c>
      <c r="DS25" s="52">
        <f>IF(DG25=1,'[14]SDG^2 values'!$B$4,IF(DG25=2,'[14]SDG^2 values'!$C$4,IF(DG25=3,'[14]SDG^2 values'!$D$4,IF(DG25=4,'[14]SDG^2 values'!$E$4,IF(DG25=5,'[14]SDG^2 values'!$F$4,1)))))</f>
        <v>1.1000000000000001</v>
      </c>
      <c r="DT25" s="52">
        <f>IF(DH25=1,'[14]SDG^2 values'!$B$5,IF(DH25=2,'[14]SDG^2 values'!$C$5,IF(DH25=3,'[14]SDG^2 values'!$D$5,IF(DH25=4,'[14]SDG^2 values'!$E$5,IF(DH25=5,'[14]SDG^2 values'!$F$5,1)))))</f>
        <v>1.02</v>
      </c>
      <c r="DU25" s="52">
        <f>IF(DI25=1,'[14]SDG^2 values'!$B$6,IF(DI25=2,'[14]SDG^2 values'!$C$6,IF(DI25=3,'[14]SDG^2 values'!$D$6,IF(DI25=4,'[14]SDG^2 values'!$E$6,IF(DI25=5,'[14]SDG^2 values'!$F$6,1)))))</f>
        <v>1</v>
      </c>
      <c r="DV25" s="52">
        <f>IF(DJ25=1,'[14]SDG^2 values'!$B$7,IF(DJ25=2,'[14]SDG^2 values'!$C$7,IF(DJ25=3,'[14]SDG^2 values'!$D$7,IF(DJ25=4,'[14]SDG^2 values'!$E$7,IF(DJ25=5,'[14]SDG^2 values'!$F$7,1)))))</f>
        <v>1</v>
      </c>
      <c r="DW25" s="52">
        <f>IF(DK25=1,'[14]SDG^2 values'!$B$8,IF(DK25=2,'[14]SDG^2 values'!$C$8,IF(DK25=3,'[14]SDG^2 values'!$D$8,IF(DK25=4,'[14]SDG^2 values'!$E$8,IF(DK25=5,'[14]SDG^2 values'!$F$8,1)))))</f>
        <v>1</v>
      </c>
      <c r="DX25" s="52">
        <f>IF(DL25=1,'[14]SDG^2 values'!$B$9,IF(DL25=2,'[14]SDG^2 values'!$C$9,IF(DL25=3,'[14]SDG^2 values'!$D$9,IF(DL25=4,'[14]SDG^2 values'!$E$9,IF(DL25=5,'[14]SDG^2 values'!$F$9,1)))))</f>
        <v>1.05</v>
      </c>
    </row>
    <row r="26" spans="1:128" ht="30.75" customHeight="1" outlineLevel="1">
      <c r="A26" s="120">
        <v>32068</v>
      </c>
      <c r="B26" s="168" t="s">
        <v>525</v>
      </c>
      <c r="C26" s="151"/>
      <c r="D26" s="152" t="s">
        <v>526</v>
      </c>
      <c r="E26" s="153" t="s">
        <v>402</v>
      </c>
      <c r="F26" s="144" t="str">
        <f>IF(OR(D26="4",E26="4"),INDEX([14]NamesElementary!$B$1:$B$65536,MATCH(A26,[14]NamesElementary!$A$1:$A$65536,0),1),INDEX([14]Names!$J$1:$J$65602,MATCH(A26,[14]Names!$F$1:$F$65602,0),1))</f>
        <v>3kWp slanted-roof installation, ribbon-Si, laminated, integrated, on roof</v>
      </c>
      <c r="G26" s="125" t="str">
        <f>IF(OR(D26="4",E26="4"),"-",INDEX([14]Names!$K$1:$K$65602,MATCH(A26,[14]Names!$F$1:$F$65602,0),1))</f>
        <v>CH</v>
      </c>
      <c r="H26" s="154" t="str">
        <f>IF(OR(D26="4",E26="4"),INDEX([14]NamesElementary!$D$1:$D$65536,MATCH($A26,[14]NamesElementary!$A$1:$A$65536,0),1),"-")</f>
        <v>-</v>
      </c>
      <c r="I26" s="123" t="str">
        <f>IF(OR(D26="4",E26="4"),INDEX([14]NamesElementary!$E$1:$E$65536,MATCH($A26,[14]NamesElementary!$A$1:$A$65536,0),1),"-")</f>
        <v>-</v>
      </c>
      <c r="J26" s="124">
        <f>IF(OR(D26="4",E26="4"),"-",INDEX([14]Names!$N$1:$N$65602,MATCH(A26,[14]Names!$F$1:$F$65602,0),1))</f>
        <v>1</v>
      </c>
      <c r="K26" s="125" t="str">
        <f>IF(OR(D26="4",E26="4"),INDEX([14]NamesElementary!$G$1:$G$65536,MATCH(A26,[14]NamesElementary!$A$1:$A$65536,0),1),INDEX([14]Names!$O$1:$O$65602,MATCH(A26,[14]Names!$F$1:$F$65602,0),1))</f>
        <v>unit</v>
      </c>
      <c r="L26" s="155">
        <v>0</v>
      </c>
      <c r="M26" s="29">
        <f t="shared" si="0"/>
        <v>1</v>
      </c>
      <c r="N26" s="1">
        <f t="shared" si="1"/>
        <v>1.2365959919080913</v>
      </c>
      <c r="O26" s="139" t="str">
        <f t="shared" si="2"/>
        <v>(3,2,1,1,1,3); yield at good installation, average is lower while optimum would be higher, basic uncertainty = 1.2</v>
      </c>
      <c r="P26" s="155">
        <v>0</v>
      </c>
      <c r="Q26" s="29">
        <f t="shared" si="3"/>
        <v>1</v>
      </c>
      <c r="R26" s="1">
        <f t="shared" si="4"/>
        <v>1.2365959919080913</v>
      </c>
      <c r="S26" s="139" t="str">
        <f t="shared" si="5"/>
        <v>(3,2,1,1,1,3); yield at good installation, average is lower while optimum would be higher, basic uncertainty = 1.2</v>
      </c>
      <c r="T26" s="155">
        <v>0</v>
      </c>
      <c r="U26" s="29">
        <f t="shared" si="6"/>
        <v>1</v>
      </c>
      <c r="V26" s="1">
        <f t="shared" si="7"/>
        <v>1.2365959919080913</v>
      </c>
      <c r="W26" s="139" t="str">
        <f t="shared" si="8"/>
        <v>(3,2,1,1,1,3); yield at good installation, average is lower while optimum would be higher, basic uncertainty = 1.2</v>
      </c>
      <c r="X26" s="155">
        <v>0</v>
      </c>
      <c r="Y26" s="29">
        <f t="shared" si="9"/>
        <v>1</v>
      </c>
      <c r="Z26" s="1">
        <f t="shared" si="10"/>
        <v>1.2365959919080913</v>
      </c>
      <c r="AA26" s="139" t="str">
        <f t="shared" si="11"/>
        <v>(3,2,1,1,1,3); yield at good installation, average is lower while optimum would be higher, basic uncertainty = 1.2</v>
      </c>
      <c r="AB26" s="155">
        <v>0</v>
      </c>
      <c r="AC26" s="29">
        <f t="shared" si="12"/>
        <v>1</v>
      </c>
      <c r="AD26" s="1">
        <f t="shared" si="13"/>
        <v>1.2365959919080913</v>
      </c>
      <c r="AE26" s="139" t="str">
        <f t="shared" si="14"/>
        <v>(3,2,1,1,1,3); yield at good installation, average is lower while optimum would be higher, basic uncertainty = 1.2</v>
      </c>
      <c r="AF26" s="155">
        <v>0</v>
      </c>
      <c r="AG26" s="29">
        <f t="shared" si="15"/>
        <v>1</v>
      </c>
      <c r="AH26" s="1">
        <f t="shared" si="16"/>
        <v>1.2365959919080913</v>
      </c>
      <c r="AI26" s="139" t="str">
        <f t="shared" si="17"/>
        <v>(3,2,1,1,1,3); yield at good installation, average is lower while optimum would be higher, basic uncertainty = 1.2</v>
      </c>
      <c r="AJ26" s="155">
        <v>0</v>
      </c>
      <c r="AK26" s="29">
        <f t="shared" si="18"/>
        <v>1</v>
      </c>
      <c r="AL26" s="1">
        <f t="shared" si="19"/>
        <v>1.2365959919080913</v>
      </c>
      <c r="AM26" s="31" t="str">
        <f t="shared" si="20"/>
        <v>(3,2,1,1,1,3); yield at good installation, average is lower while optimum would be higher, basic uncertainty = 1.2</v>
      </c>
      <c r="AN26" s="155">
        <v>0</v>
      </c>
      <c r="AO26" s="29">
        <f t="shared" si="21"/>
        <v>1</v>
      </c>
      <c r="AP26" s="1">
        <f t="shared" si="22"/>
        <v>1.2365959919080913</v>
      </c>
      <c r="AQ26" s="139" t="str">
        <f t="shared" si="23"/>
        <v>(3,2,1,1,1,3); yield at good installation, average is lower while optimum would be higher, basic uncertainty = 1.2</v>
      </c>
      <c r="AR26" s="155">
        <v>0</v>
      </c>
      <c r="AS26" s="29">
        <f t="shared" si="24"/>
        <v>1</v>
      </c>
      <c r="AT26" s="1">
        <f t="shared" si="25"/>
        <v>1.2365959919080913</v>
      </c>
      <c r="AU26" s="31" t="str">
        <f t="shared" si="26"/>
        <v>(3,2,1,1,1,3); yield at good installation, average is lower while optimum would be higher, basic uncertainty = 1.2</v>
      </c>
      <c r="AV26" s="155">
        <v>0</v>
      </c>
      <c r="AW26" s="29">
        <f t="shared" si="27"/>
        <v>1</v>
      </c>
      <c r="AX26" s="1">
        <f t="shared" si="28"/>
        <v>1.2365959919080913</v>
      </c>
      <c r="AY26" s="139" t="str">
        <f t="shared" si="29"/>
        <v>(3,2,1,1,1,3); yield at good installation, average is lower while optimum would be higher, basic uncertainty = 1.2</v>
      </c>
      <c r="AZ26" s="155">
        <v>0</v>
      </c>
      <c r="BA26" s="29">
        <f t="shared" si="30"/>
        <v>1</v>
      </c>
      <c r="BB26" s="1">
        <f t="shared" si="31"/>
        <v>1.2365959919080913</v>
      </c>
      <c r="BC26" s="139" t="str">
        <f t="shared" si="32"/>
        <v>(3,2,1,1,1,3); yield at good installation, average is lower while optimum would be higher, basic uncertainty = 1.2</v>
      </c>
      <c r="BD26" s="155" t="e">
        <f>1/(Schrägdach*3*lifetime)</f>
        <v>#REF!</v>
      </c>
      <c r="BE26" s="29">
        <f t="shared" si="33"/>
        <v>1</v>
      </c>
      <c r="BF26" s="1">
        <f t="shared" si="34"/>
        <v>1.2365959919080913</v>
      </c>
      <c r="BG26" s="139" t="str">
        <f t="shared" si="35"/>
        <v>(3,2,1,1,1,3); yield at good installation, average is lower while optimum would be higher, basic uncertainty = 1.2</v>
      </c>
      <c r="BH26" s="29">
        <f t="shared" si="36"/>
        <v>1</v>
      </c>
      <c r="BI26" s="1">
        <f t="shared" si="37"/>
        <v>1.2365959919080913</v>
      </c>
      <c r="BJ26" s="139" t="str">
        <f t="shared" si="38"/>
        <v>(3,2,1,1,1,3); yield at good installation, average is lower while optimum would be higher, basic uncertainty = 1.2</v>
      </c>
      <c r="BK26" s="155">
        <v>0</v>
      </c>
      <c r="BL26" s="29">
        <f t="shared" si="39"/>
        <v>1</v>
      </c>
      <c r="BM26" s="1">
        <f t="shared" si="40"/>
        <v>1.2365959919080913</v>
      </c>
      <c r="BN26" s="139" t="str">
        <f t="shared" si="41"/>
        <v>(3,2,1,1,1,3); yield at good installation, average is lower while optimum would be higher, basic uncertainty = 1.2</v>
      </c>
      <c r="BO26" s="155">
        <v>0</v>
      </c>
      <c r="BP26" s="29">
        <f t="shared" si="42"/>
        <v>1</v>
      </c>
      <c r="BQ26" s="1">
        <f t="shared" si="43"/>
        <v>1.2365959919080913</v>
      </c>
      <c r="BR26" s="139" t="str">
        <f t="shared" si="44"/>
        <v>(3,2,1,1,1,3); yield at good installation, average is lower while optimum would be higher, basic uncertainty = 1.2</v>
      </c>
      <c r="BS26" s="155">
        <v>0</v>
      </c>
      <c r="BT26" s="29">
        <f t="shared" si="45"/>
        <v>1</v>
      </c>
      <c r="BU26" s="1">
        <f t="shared" si="46"/>
        <v>1.2365959919080913</v>
      </c>
      <c r="BV26" s="139" t="str">
        <f t="shared" si="47"/>
        <v>(3,2,1,1,1,3); yield at good installation, average is lower while optimum would be higher, basic uncertainty = 1.2</v>
      </c>
      <c r="BW26" s="155">
        <v>0</v>
      </c>
      <c r="BX26" s="29">
        <f t="shared" si="48"/>
        <v>1</v>
      </c>
      <c r="BY26" s="1">
        <f t="shared" si="49"/>
        <v>1.2365959919080913</v>
      </c>
      <c r="BZ26" s="31" t="str">
        <f t="shared" si="62"/>
        <v>(3,2,1,1,1,3); yield at good installation, average is lower while optimum would be higher, basic uncertainty = 1.2</v>
      </c>
      <c r="CA26" s="155">
        <f t="shared" si="73"/>
        <v>0</v>
      </c>
      <c r="CB26" s="29">
        <f t="shared" si="50"/>
        <v>1</v>
      </c>
      <c r="CC26" s="1">
        <f t="shared" si="51"/>
        <v>1.2365959919080913</v>
      </c>
      <c r="CD26" s="139" t="str">
        <f t="shared" si="63"/>
        <v>(3,2,1,1,1,3); yield at good installation, average is lower while optimum would be higher, basic uncertainty = 1.2</v>
      </c>
      <c r="CE26" s="155">
        <f t="shared" si="74"/>
        <v>0</v>
      </c>
      <c r="CF26" s="29">
        <f t="shared" si="52"/>
        <v>1</v>
      </c>
      <c r="CG26" s="1">
        <f t="shared" si="53"/>
        <v>1.2365959919080913</v>
      </c>
      <c r="CH26" s="139" t="str">
        <f t="shared" si="64"/>
        <v>(3,2,1,1,1,3); yield at good installation, average is lower while optimum would be higher, basic uncertainty = 1.2</v>
      </c>
      <c r="CI26" s="155">
        <f t="shared" si="75"/>
        <v>0</v>
      </c>
      <c r="CJ26" s="29">
        <f t="shared" si="54"/>
        <v>1</v>
      </c>
      <c r="CK26" s="1">
        <f t="shared" si="55"/>
        <v>1.2365959919080913</v>
      </c>
      <c r="CL26" s="139" t="str">
        <f t="shared" si="65"/>
        <v>(3,2,1,1,1,3); yield at good installation, average is lower while optimum would be higher, basic uncertainty = 1.2</v>
      </c>
      <c r="CM26" s="155">
        <f t="shared" si="76"/>
        <v>0</v>
      </c>
      <c r="CN26" s="29">
        <f t="shared" si="56"/>
        <v>1</v>
      </c>
      <c r="CO26" s="1">
        <f t="shared" si="57"/>
        <v>1.2365959919080913</v>
      </c>
      <c r="CP26" s="139" t="str">
        <f t="shared" si="66"/>
        <v>(3,2,1,1,1,3); yield at good installation, average is lower while optimum would be higher, basic uncertainty = 1.2</v>
      </c>
      <c r="CQ26" s="155">
        <f t="shared" si="77"/>
        <v>0</v>
      </c>
      <c r="CR26" s="29">
        <f t="shared" si="58"/>
        <v>1</v>
      </c>
      <c r="CS26" s="1">
        <f t="shared" si="59"/>
        <v>1.2365959919080913</v>
      </c>
      <c r="CT26" s="139" t="str">
        <f t="shared" si="67"/>
        <v>(3,2,1,1,1,3); yield at good installation, average is lower while optimum would be higher, basic uncertainty = 1.2</v>
      </c>
      <c r="CU26" s="155">
        <f t="shared" si="79"/>
        <v>0</v>
      </c>
      <c r="CV26" s="29">
        <f t="shared" si="60"/>
        <v>1</v>
      </c>
      <c r="CW26" s="1">
        <f t="shared" si="61"/>
        <v>1.2365959919080913</v>
      </c>
      <c r="CX26" s="139" t="str">
        <f t="shared" si="68"/>
        <v>(3,2,1,1,1,3); yield at good installation, average is lower while optimum would be higher, basic uncertainty = 1.2</v>
      </c>
      <c r="CY26" s="155" t="e">
        <f>1/(#REF!*3*lifetime)*DC26</f>
        <v>#REF!</v>
      </c>
      <c r="CZ26" s="29">
        <v>1</v>
      </c>
      <c r="DA26" s="1">
        <f t="shared" si="69"/>
        <v>1.2365959919080913</v>
      </c>
      <c r="DB26" s="31" t="str">
        <f t="shared" si="80"/>
        <v>(3,2,1,1,1,3); average yield, estimation for share of technologies. Basic uncertainty = 1.2</v>
      </c>
      <c r="DC26" s="287" t="e">
        <f>#REF!</f>
        <v>#REF!</v>
      </c>
      <c r="DD26" s="289" t="e">
        <f>#REF!</f>
        <v>#REF!</v>
      </c>
      <c r="DE26" s="287" t="e">
        <f>#REF!</f>
        <v>#REF!</v>
      </c>
      <c r="DF26" s="115" t="str">
        <f t="shared" si="81"/>
        <v>yield at good installation, average is lower while optimum would be higher, basic uncertainty = 1.2</v>
      </c>
      <c r="DG26" s="10">
        <f t="shared" si="82"/>
        <v>3</v>
      </c>
      <c r="DH26" s="50">
        <v>2</v>
      </c>
      <c r="DI26" s="50">
        <v>1</v>
      </c>
      <c r="DJ26" s="50">
        <v>1</v>
      </c>
      <c r="DK26" s="50">
        <v>1</v>
      </c>
      <c r="DL26" s="50">
        <v>3</v>
      </c>
      <c r="DM26" s="50">
        <f>IF(OR($D26="4",$E26="4"),INDEX([14]NamesElementary!$J$1:$J$65536,MATCH($A26,[14]NamesElementary!$A$1:$A$65536,0),1),INDEX([14]Names!$W$1:$W$65602,MATCH($A26,[14]Names!$F$1:$F$65602,0),1))</f>
        <v>9</v>
      </c>
      <c r="DN26" s="312">
        <f t="shared" si="83"/>
        <v>1.2</v>
      </c>
      <c r="DO26" s="87">
        <f t="shared" si="70"/>
        <v>1.1150377561073679</v>
      </c>
      <c r="DP26" s="88">
        <f t="shared" si="71"/>
        <v>1.2365959919080913</v>
      </c>
      <c r="DQ26" s="89" t="str">
        <f t="shared" si="72"/>
        <v>(3,2,1,1,1,3)</v>
      </c>
      <c r="DS26" s="52">
        <f>IF(DG26=1,'[14]SDG^2 values'!$B$4,IF(DG26=2,'[14]SDG^2 values'!$C$4,IF(DG26=3,'[14]SDG^2 values'!$D$4,IF(DG26=4,'[14]SDG^2 values'!$E$4,IF(DG26=5,'[14]SDG^2 values'!$F$4,1)))))</f>
        <v>1.1000000000000001</v>
      </c>
      <c r="DT26" s="52">
        <f>IF(DH26=1,'[14]SDG^2 values'!$B$5,IF(DH26=2,'[14]SDG^2 values'!$C$5,IF(DH26=3,'[14]SDG^2 values'!$D$5,IF(DH26=4,'[14]SDG^2 values'!$E$5,IF(DH26=5,'[14]SDG^2 values'!$F$5,1)))))</f>
        <v>1.02</v>
      </c>
      <c r="DU26" s="52">
        <f>IF(DI26=1,'[14]SDG^2 values'!$B$6,IF(DI26=2,'[14]SDG^2 values'!$C$6,IF(DI26=3,'[14]SDG^2 values'!$D$6,IF(DI26=4,'[14]SDG^2 values'!$E$6,IF(DI26=5,'[14]SDG^2 values'!$F$6,1)))))</f>
        <v>1</v>
      </c>
      <c r="DV26" s="52">
        <f>IF(DJ26=1,'[14]SDG^2 values'!$B$7,IF(DJ26=2,'[14]SDG^2 values'!$C$7,IF(DJ26=3,'[14]SDG^2 values'!$D$7,IF(DJ26=4,'[14]SDG^2 values'!$E$7,IF(DJ26=5,'[14]SDG^2 values'!$F$7,1)))))</f>
        <v>1</v>
      </c>
      <c r="DW26" s="52">
        <f>IF(DK26=1,'[14]SDG^2 values'!$B$8,IF(DK26=2,'[14]SDG^2 values'!$C$8,IF(DK26=3,'[14]SDG^2 values'!$D$8,IF(DK26=4,'[14]SDG^2 values'!$E$8,IF(DK26=5,'[14]SDG^2 values'!$F$8,1)))))</f>
        <v>1</v>
      </c>
      <c r="DX26" s="52">
        <f>IF(DL26=1,'[14]SDG^2 values'!$B$9,IF(DL26=2,'[14]SDG^2 values'!$C$9,IF(DL26=3,'[14]SDG^2 values'!$D$9,IF(DL26=4,'[14]SDG^2 values'!$E$9,IF(DL26=5,'[14]SDG^2 values'!$F$9,1)))))</f>
        <v>1.05</v>
      </c>
    </row>
    <row r="27" spans="1:128" ht="18" customHeight="1" outlineLevel="1">
      <c r="A27" s="417">
        <v>32076</v>
      </c>
      <c r="B27" s="168" t="s">
        <v>525</v>
      </c>
      <c r="C27" s="151"/>
      <c r="D27" s="152" t="s">
        <v>526</v>
      </c>
      <c r="E27" s="153" t="s">
        <v>402</v>
      </c>
      <c r="F27" s="144" t="str">
        <f>IF(OR(D27="4",E27="4"),INDEX([14]NamesElementary!$B$1:$B$65536,MATCH(A27,[14]NamesElementary!$A$1:$A$65536,0),1),INDEX([14]Names!$J$1:$J$65602,MATCH(A27,[14]Names!$F$1:$F$65602,0),1))</f>
        <v>3kWp slanted-roof installation, CdTe, laminated, integrated, on roof</v>
      </c>
      <c r="G27" s="125" t="str">
        <f>IF(OR(D27="4",E27="4"),"-",INDEX([14]Names!$K$1:$K$65602,MATCH(A27,[14]Names!$F$1:$F$65602,0),1))</f>
        <v>CH</v>
      </c>
      <c r="H27" s="154" t="str">
        <f>IF(OR(D27="4",E27="4"),INDEX([14]NamesElementary!$D$1:$D$65536,MATCH($A27,[14]NamesElementary!$A$1:$A$65536,0),1),"-")</f>
        <v>-</v>
      </c>
      <c r="I27" s="123" t="str">
        <f>IF(OR(D27="4",E27="4"),INDEX([14]NamesElementary!$E$1:$E$65536,MATCH($A27,[14]NamesElementary!$A$1:$A$65536,0),1),"-")</f>
        <v>-</v>
      </c>
      <c r="J27" s="124">
        <f>IF(OR(D27="4",E27="4"),"-",INDEX([14]Names!$N$1:$N$65602,MATCH(A27,[14]Names!$F$1:$F$65602,0),1))</f>
        <v>1</v>
      </c>
      <c r="K27" s="125" t="str">
        <f>IF(OR(D27="4",E27="4"),INDEX([14]NamesElementary!$G$1:$G$65536,MATCH(A27,[14]NamesElementary!$A$1:$A$65536,0),1),INDEX([14]Names!$O$1:$O$65602,MATCH(A27,[14]Names!$F$1:$F$65602,0),1))</f>
        <v>unit</v>
      </c>
      <c r="L27" s="155">
        <v>0</v>
      </c>
      <c r="M27" s="29">
        <f t="shared" si="0"/>
        <v>1</v>
      </c>
      <c r="N27" s="1">
        <f t="shared" si="1"/>
        <v>1.2365959919080913</v>
      </c>
      <c r="O27" s="139" t="str">
        <f t="shared" si="2"/>
        <v>(3,2,1,1,1,3); yield at good installation, average is lower while optimum would be higher, basic uncertainty = 1.2</v>
      </c>
      <c r="P27" s="155">
        <v>0</v>
      </c>
      <c r="Q27" s="29">
        <f t="shared" si="3"/>
        <v>1</v>
      </c>
      <c r="R27" s="1">
        <f t="shared" si="4"/>
        <v>1.2365959919080913</v>
      </c>
      <c r="S27" s="139" t="str">
        <f t="shared" si="5"/>
        <v>(3,2,1,1,1,3); yield at good installation, average is lower while optimum would be higher, basic uncertainty = 1.2</v>
      </c>
      <c r="T27" s="155">
        <v>0</v>
      </c>
      <c r="U27" s="29">
        <f t="shared" si="6"/>
        <v>1</v>
      </c>
      <c r="V27" s="1">
        <f t="shared" si="7"/>
        <v>1.2365959919080913</v>
      </c>
      <c r="W27" s="139" t="str">
        <f t="shared" si="8"/>
        <v>(3,2,1,1,1,3); yield at good installation, average is lower while optimum would be higher, basic uncertainty = 1.2</v>
      </c>
      <c r="X27" s="155">
        <v>0</v>
      </c>
      <c r="Y27" s="29">
        <f t="shared" si="9"/>
        <v>1</v>
      </c>
      <c r="Z27" s="1">
        <f t="shared" si="10"/>
        <v>1.2365959919080913</v>
      </c>
      <c r="AA27" s="139" t="str">
        <f t="shared" si="11"/>
        <v>(3,2,1,1,1,3); yield at good installation, average is lower while optimum would be higher, basic uncertainty = 1.2</v>
      </c>
      <c r="AB27" s="155">
        <v>0</v>
      </c>
      <c r="AC27" s="29">
        <f t="shared" si="12"/>
        <v>1</v>
      </c>
      <c r="AD27" s="1">
        <f t="shared" si="13"/>
        <v>1.2365959919080913</v>
      </c>
      <c r="AE27" s="139" t="str">
        <f t="shared" si="14"/>
        <v>(3,2,1,1,1,3); yield at good installation, average is lower while optimum would be higher, basic uncertainty = 1.2</v>
      </c>
      <c r="AF27" s="155">
        <v>0</v>
      </c>
      <c r="AG27" s="29">
        <f t="shared" si="15"/>
        <v>1</v>
      </c>
      <c r="AH27" s="1">
        <f t="shared" si="16"/>
        <v>1.2365959919080913</v>
      </c>
      <c r="AI27" s="139" t="str">
        <f t="shared" si="17"/>
        <v>(3,2,1,1,1,3); yield at good installation, average is lower while optimum would be higher, basic uncertainty = 1.2</v>
      </c>
      <c r="AJ27" s="155">
        <v>0</v>
      </c>
      <c r="AK27" s="29">
        <f t="shared" si="18"/>
        <v>1</v>
      </c>
      <c r="AL27" s="1">
        <f t="shared" si="19"/>
        <v>1.2365959919080913</v>
      </c>
      <c r="AM27" s="31" t="str">
        <f t="shared" si="20"/>
        <v>(3,2,1,1,1,3); yield at good installation, average is lower while optimum would be higher, basic uncertainty = 1.2</v>
      </c>
      <c r="AN27" s="155">
        <v>0</v>
      </c>
      <c r="AO27" s="29">
        <f t="shared" si="21"/>
        <v>1</v>
      </c>
      <c r="AP27" s="1">
        <f t="shared" si="22"/>
        <v>1.2365959919080913</v>
      </c>
      <c r="AQ27" s="139" t="str">
        <f t="shared" si="23"/>
        <v>(3,2,1,1,1,3); yield at good installation, average is lower while optimum would be higher, basic uncertainty = 1.2</v>
      </c>
      <c r="AR27" s="155">
        <v>0</v>
      </c>
      <c r="AS27" s="29">
        <f t="shared" si="24"/>
        <v>1</v>
      </c>
      <c r="AT27" s="1">
        <f t="shared" si="25"/>
        <v>1.2365959919080913</v>
      </c>
      <c r="AU27" s="31" t="str">
        <f t="shared" si="26"/>
        <v>(3,2,1,1,1,3); yield at good installation, average is lower while optimum would be higher, basic uncertainty = 1.2</v>
      </c>
      <c r="AV27" s="155">
        <v>0</v>
      </c>
      <c r="AW27" s="29">
        <f t="shared" si="27"/>
        <v>1</v>
      </c>
      <c r="AX27" s="1">
        <f t="shared" si="28"/>
        <v>1.2365959919080913</v>
      </c>
      <c r="AY27" s="139" t="str">
        <f t="shared" si="29"/>
        <v>(3,2,1,1,1,3); yield at good installation, average is lower while optimum would be higher, basic uncertainty = 1.2</v>
      </c>
      <c r="AZ27" s="155">
        <v>0</v>
      </c>
      <c r="BA27" s="29">
        <f t="shared" si="30"/>
        <v>1</v>
      </c>
      <c r="BB27" s="1">
        <f t="shared" si="31"/>
        <v>1.2365959919080913</v>
      </c>
      <c r="BC27" s="139" t="str">
        <f t="shared" si="32"/>
        <v>(3,2,1,1,1,3); yield at good installation, average is lower while optimum would be higher, basic uncertainty = 1.2</v>
      </c>
      <c r="BD27" s="155">
        <v>0</v>
      </c>
      <c r="BE27" s="29">
        <f t="shared" si="33"/>
        <v>1</v>
      </c>
      <c r="BF27" s="1">
        <f t="shared" si="34"/>
        <v>1.2365959919080913</v>
      </c>
      <c r="BG27" s="139" t="str">
        <f t="shared" si="35"/>
        <v>(3,2,1,1,1,3); yield at good installation, average is lower while optimum would be higher, basic uncertainty = 1.2</v>
      </c>
      <c r="BH27" s="29">
        <f t="shared" si="36"/>
        <v>1</v>
      </c>
      <c r="BI27" s="1">
        <f t="shared" si="37"/>
        <v>1.2365959919080913</v>
      </c>
      <c r="BJ27" s="139" t="str">
        <f t="shared" si="38"/>
        <v>(3,2,1,1,1,3); yield at good installation, average is lower while optimum would be higher, basic uncertainty = 1.2</v>
      </c>
      <c r="BK27" s="155" t="e">
        <f>1/(Schrägdach*3*lifetime)</f>
        <v>#REF!</v>
      </c>
      <c r="BL27" s="29">
        <f t="shared" si="39"/>
        <v>1</v>
      </c>
      <c r="BM27" s="1">
        <f t="shared" si="40"/>
        <v>1.2365959919080913</v>
      </c>
      <c r="BN27" s="139" t="str">
        <f t="shared" si="41"/>
        <v>(3,2,1,1,1,3); yield at good installation, average is lower while optimum would be higher, basic uncertainty = 1.2</v>
      </c>
      <c r="BO27" s="155">
        <v>0</v>
      </c>
      <c r="BP27" s="29">
        <f t="shared" si="42"/>
        <v>1</v>
      </c>
      <c r="BQ27" s="1">
        <f t="shared" si="43"/>
        <v>1.2365959919080913</v>
      </c>
      <c r="BR27" s="139" t="str">
        <f t="shared" si="44"/>
        <v>(3,2,1,1,1,3); yield at good installation, average is lower while optimum would be higher, basic uncertainty = 1.2</v>
      </c>
      <c r="BS27" s="155">
        <v>0</v>
      </c>
      <c r="BT27" s="29">
        <f t="shared" si="45"/>
        <v>1</v>
      </c>
      <c r="BU27" s="1">
        <f t="shared" si="46"/>
        <v>1.2365959919080913</v>
      </c>
      <c r="BV27" s="139" t="str">
        <f t="shared" si="47"/>
        <v>(3,2,1,1,1,3); yield at good installation, average is lower while optimum would be higher, basic uncertainty = 1.2</v>
      </c>
      <c r="BW27" s="155">
        <v>0</v>
      </c>
      <c r="BX27" s="29">
        <f t="shared" si="48"/>
        <v>1</v>
      </c>
      <c r="BY27" s="1">
        <f t="shared" si="49"/>
        <v>1.2365959919080913</v>
      </c>
      <c r="BZ27" s="31" t="str">
        <f t="shared" si="62"/>
        <v>(3,2,1,1,1,3); yield at good installation, average is lower while optimum would be higher, basic uncertainty = 1.2</v>
      </c>
      <c r="CA27" s="155">
        <f t="shared" si="73"/>
        <v>0</v>
      </c>
      <c r="CB27" s="29">
        <f t="shared" si="50"/>
        <v>1</v>
      </c>
      <c r="CC27" s="1">
        <f t="shared" si="51"/>
        <v>1.2365959919080913</v>
      </c>
      <c r="CD27" s="139" t="str">
        <f t="shared" si="63"/>
        <v>(3,2,1,1,1,3); yield at good installation, average is lower while optimum would be higher, basic uncertainty = 1.2</v>
      </c>
      <c r="CE27" s="155">
        <f t="shared" si="74"/>
        <v>0</v>
      </c>
      <c r="CF27" s="29">
        <f t="shared" si="52"/>
        <v>1</v>
      </c>
      <c r="CG27" s="1">
        <f t="shared" si="53"/>
        <v>1.2365959919080913</v>
      </c>
      <c r="CH27" s="139" t="str">
        <f t="shared" si="64"/>
        <v>(3,2,1,1,1,3); yield at good installation, average is lower while optimum would be higher, basic uncertainty = 1.2</v>
      </c>
      <c r="CI27" s="155">
        <f t="shared" si="75"/>
        <v>0</v>
      </c>
      <c r="CJ27" s="29">
        <f t="shared" si="54"/>
        <v>1</v>
      </c>
      <c r="CK27" s="1">
        <f t="shared" si="55"/>
        <v>1.2365959919080913</v>
      </c>
      <c r="CL27" s="139" t="str">
        <f t="shared" si="65"/>
        <v>(3,2,1,1,1,3); yield at good installation, average is lower while optimum would be higher, basic uncertainty = 1.2</v>
      </c>
      <c r="CM27" s="155">
        <f t="shared" si="76"/>
        <v>0</v>
      </c>
      <c r="CN27" s="29">
        <f t="shared" si="56"/>
        <v>1</v>
      </c>
      <c r="CO27" s="1">
        <f t="shared" si="57"/>
        <v>1.2365959919080913</v>
      </c>
      <c r="CP27" s="139" t="str">
        <f t="shared" si="66"/>
        <v>(3,2,1,1,1,3); yield at good installation, average is lower while optimum would be higher, basic uncertainty = 1.2</v>
      </c>
      <c r="CQ27" s="155">
        <v>0</v>
      </c>
      <c r="CR27" s="29">
        <f t="shared" si="58"/>
        <v>1</v>
      </c>
      <c r="CS27" s="1">
        <f t="shared" si="59"/>
        <v>1.2365959919080913</v>
      </c>
      <c r="CT27" s="139" t="str">
        <f t="shared" si="67"/>
        <v>(3,2,1,1,1,3); yield at good installation, average is lower while optimum would be higher, basic uncertainty = 1.2</v>
      </c>
      <c r="CU27" s="155">
        <v>0</v>
      </c>
      <c r="CV27" s="29">
        <f t="shared" si="60"/>
        <v>1</v>
      </c>
      <c r="CW27" s="1">
        <f t="shared" si="61"/>
        <v>1.2365959919080913</v>
      </c>
      <c r="CX27" s="139" t="str">
        <f t="shared" si="68"/>
        <v>(3,2,1,1,1,3); yield at good installation, average is lower while optimum would be higher, basic uncertainty = 1.2</v>
      </c>
      <c r="CY27" s="155" t="e">
        <f>1/(#REF!*3*lifetime)*DC27</f>
        <v>#REF!</v>
      </c>
      <c r="CZ27" s="29">
        <v>1</v>
      </c>
      <c r="DA27" s="1">
        <f t="shared" si="69"/>
        <v>1.2365959919080913</v>
      </c>
      <c r="DB27" s="31" t="str">
        <f t="shared" si="80"/>
        <v>(3,2,1,1,1,3); average yield, estimation for share of technologies. Basic uncertainty = 1.2</v>
      </c>
      <c r="DC27" s="287" t="e">
        <f>#REF!</f>
        <v>#REF!</v>
      </c>
      <c r="DD27" s="289" t="e">
        <f>#REF!</f>
        <v>#REF!</v>
      </c>
      <c r="DE27" s="287" t="e">
        <f>#REF!</f>
        <v>#REF!</v>
      </c>
      <c r="DF27" s="115" t="str">
        <f t="shared" si="81"/>
        <v>yield at good installation, average is lower while optimum would be higher, basic uncertainty = 1.2</v>
      </c>
      <c r="DG27" s="10">
        <f t="shared" si="82"/>
        <v>3</v>
      </c>
      <c r="DH27" s="50">
        <v>2</v>
      </c>
      <c r="DI27" s="50">
        <v>1</v>
      </c>
      <c r="DJ27" s="50">
        <v>1</v>
      </c>
      <c r="DK27" s="50">
        <v>1</v>
      </c>
      <c r="DL27" s="50">
        <v>3</v>
      </c>
      <c r="DM27" s="50">
        <f>IF(OR($D27="4",$E27="4"),INDEX([14]NamesElementary!$J$1:$J$65536,MATCH($A27,[14]NamesElementary!$A$1:$A$65536,0),1),INDEX([14]Names!$W$1:$W$65602,MATCH($A27,[14]Names!$F$1:$F$65602,0),1))</f>
        <v>9</v>
      </c>
      <c r="DN27" s="312">
        <f t="shared" si="83"/>
        <v>1.2</v>
      </c>
      <c r="DO27" s="87">
        <f t="shared" si="70"/>
        <v>1.1150377561073679</v>
      </c>
      <c r="DP27" s="88">
        <f t="shared" si="71"/>
        <v>1.2365959919080913</v>
      </c>
      <c r="DQ27" s="89" t="str">
        <f t="shared" si="72"/>
        <v>(3,2,1,1,1,3)</v>
      </c>
      <c r="DS27" s="52">
        <f>IF(DG27=1,'[14]SDG^2 values'!$B$4,IF(DG27=2,'[14]SDG^2 values'!$C$4,IF(DG27=3,'[14]SDG^2 values'!$D$4,IF(DG27=4,'[14]SDG^2 values'!$E$4,IF(DG27=5,'[14]SDG^2 values'!$F$4,1)))))</f>
        <v>1.1000000000000001</v>
      </c>
      <c r="DT27" s="52">
        <f>IF(DH27=1,'[14]SDG^2 values'!$B$5,IF(DH27=2,'[14]SDG^2 values'!$C$5,IF(DH27=3,'[14]SDG^2 values'!$D$5,IF(DH27=4,'[14]SDG^2 values'!$E$5,IF(DH27=5,'[14]SDG^2 values'!$F$5,1)))))</f>
        <v>1.02</v>
      </c>
      <c r="DU27" s="52">
        <f>IF(DI27=1,'[14]SDG^2 values'!$B$6,IF(DI27=2,'[14]SDG^2 values'!$C$6,IF(DI27=3,'[14]SDG^2 values'!$D$6,IF(DI27=4,'[14]SDG^2 values'!$E$6,IF(DI27=5,'[14]SDG^2 values'!$F$6,1)))))</f>
        <v>1</v>
      </c>
      <c r="DV27" s="52">
        <f>IF(DJ27=1,'[14]SDG^2 values'!$B$7,IF(DJ27=2,'[14]SDG^2 values'!$C$7,IF(DJ27=3,'[14]SDG^2 values'!$D$7,IF(DJ27=4,'[14]SDG^2 values'!$E$7,IF(DJ27=5,'[14]SDG^2 values'!$F$7,1)))))</f>
        <v>1</v>
      </c>
      <c r="DW27" s="52">
        <f>IF(DK27=1,'[14]SDG^2 values'!$B$8,IF(DK27=2,'[14]SDG^2 values'!$C$8,IF(DK27=3,'[14]SDG^2 values'!$D$8,IF(DK27=4,'[14]SDG^2 values'!$E$8,IF(DK27=5,'[14]SDG^2 values'!$F$8,1)))))</f>
        <v>1</v>
      </c>
      <c r="DX27" s="52">
        <f>IF(DL27=1,'[14]SDG^2 values'!$B$9,IF(DL27=2,'[14]SDG^2 values'!$C$9,IF(DL27=3,'[14]SDG^2 values'!$D$9,IF(DL27=4,'[14]SDG^2 values'!$E$9,IF(DL27=5,'[14]SDG^2 values'!$F$9,1)))))</f>
        <v>1.05</v>
      </c>
    </row>
    <row r="28" spans="1:128" ht="18" customHeight="1" outlineLevel="1">
      <c r="A28" s="120">
        <v>32080</v>
      </c>
      <c r="B28" s="168" t="s">
        <v>525</v>
      </c>
      <c r="C28" s="151"/>
      <c r="D28" s="152" t="s">
        <v>526</v>
      </c>
      <c r="E28" s="153" t="s">
        <v>402</v>
      </c>
      <c r="F28" s="144" t="str">
        <f>IF(OR(D28="4",E28="4"),INDEX([14]NamesElementary!$B$1:$B$65536,MATCH(A28,[14]NamesElementary!$A$1:$A$65536,0),1),INDEX([14]Names!$J$1:$J$65602,MATCH(A28,[14]Names!$F$1:$F$65602,0),1))</f>
        <v>3kWp slanted-roof installation, CIS, panel, mounted, on roof</v>
      </c>
      <c r="G28" s="125" t="str">
        <f>IF(OR(D28="4",E28="4"),"-",INDEX([14]Names!$K$1:$K$65602,MATCH(A28,[14]Names!$F$1:$F$65602,0),1))</f>
        <v>CH</v>
      </c>
      <c r="H28" s="154" t="str">
        <f>IF(OR(D28="4",E28="4"),INDEX([14]NamesElementary!$D$1:$D$65536,MATCH($A28,[14]NamesElementary!$A$1:$A$65536,0),1),"-")</f>
        <v>-</v>
      </c>
      <c r="I28" s="123" t="str">
        <f>IF(OR(D28="4",E28="4"),INDEX([14]NamesElementary!$E$1:$E$65536,MATCH($A28,[14]NamesElementary!$A$1:$A$65536,0),1),"-")</f>
        <v>-</v>
      </c>
      <c r="J28" s="124">
        <f>IF(OR(D28="4",E28="4"),"-",INDEX([14]Names!$N$1:$N$65602,MATCH(A28,[14]Names!$F$1:$F$65602,0),1))</f>
        <v>1</v>
      </c>
      <c r="K28" s="125" t="str">
        <f>IF(OR(D28="4",E28="4"),INDEX([14]NamesElementary!$G$1:$G$65536,MATCH(A28,[14]NamesElementary!$A$1:$A$65536,0),1),INDEX([14]Names!$O$1:$O$65602,MATCH(A28,[14]Names!$F$1:$F$65602,0),1))</f>
        <v>unit</v>
      </c>
      <c r="L28" s="155">
        <v>0</v>
      </c>
      <c r="M28" s="29">
        <f t="shared" si="0"/>
        <v>1</v>
      </c>
      <c r="N28" s="1">
        <f t="shared" si="1"/>
        <v>1.2365959919080913</v>
      </c>
      <c r="O28" s="139" t="str">
        <f t="shared" si="2"/>
        <v>(3,2,1,1,1,3); yield at good installation, average is lower while optimum would be higher, basic uncertainty = 1.2</v>
      </c>
      <c r="P28" s="155">
        <v>0</v>
      </c>
      <c r="Q28" s="29">
        <f t="shared" si="3"/>
        <v>1</v>
      </c>
      <c r="R28" s="1">
        <f t="shared" si="4"/>
        <v>1.2365959919080913</v>
      </c>
      <c r="S28" s="139" t="str">
        <f t="shared" si="5"/>
        <v>(3,2,1,1,1,3); yield at good installation, average is lower while optimum would be higher, basic uncertainty = 1.2</v>
      </c>
      <c r="T28" s="155">
        <v>0</v>
      </c>
      <c r="U28" s="29">
        <f t="shared" si="6"/>
        <v>1</v>
      </c>
      <c r="V28" s="1">
        <f t="shared" si="7"/>
        <v>1.2365959919080913</v>
      </c>
      <c r="W28" s="139" t="str">
        <f t="shared" si="8"/>
        <v>(3,2,1,1,1,3); yield at good installation, average is lower while optimum would be higher, basic uncertainty = 1.2</v>
      </c>
      <c r="X28" s="155">
        <v>0</v>
      </c>
      <c r="Y28" s="29">
        <f t="shared" si="9"/>
        <v>1</v>
      </c>
      <c r="Z28" s="1">
        <f t="shared" si="10"/>
        <v>1.2365959919080913</v>
      </c>
      <c r="AA28" s="139" t="str">
        <f t="shared" si="11"/>
        <v>(3,2,1,1,1,3); yield at good installation, average is lower while optimum would be higher, basic uncertainty = 1.2</v>
      </c>
      <c r="AB28" s="155">
        <v>0</v>
      </c>
      <c r="AC28" s="29">
        <f t="shared" si="12"/>
        <v>1</v>
      </c>
      <c r="AD28" s="1">
        <f t="shared" si="13"/>
        <v>1.2365959919080913</v>
      </c>
      <c r="AE28" s="139" t="str">
        <f t="shared" si="14"/>
        <v>(3,2,1,1,1,3); yield at good installation, average is lower while optimum would be higher, basic uncertainty = 1.2</v>
      </c>
      <c r="AF28" s="155">
        <v>0</v>
      </c>
      <c r="AG28" s="29">
        <f t="shared" si="15"/>
        <v>1</v>
      </c>
      <c r="AH28" s="1">
        <f t="shared" si="16"/>
        <v>1.2365959919080913</v>
      </c>
      <c r="AI28" s="139" t="str">
        <f t="shared" si="17"/>
        <v>(3,2,1,1,1,3); yield at good installation, average is lower while optimum would be higher, basic uncertainty = 1.2</v>
      </c>
      <c r="AJ28" s="155">
        <v>0</v>
      </c>
      <c r="AK28" s="29">
        <f t="shared" si="18"/>
        <v>1</v>
      </c>
      <c r="AL28" s="1">
        <f t="shared" si="19"/>
        <v>1.2365959919080913</v>
      </c>
      <c r="AM28" s="31" t="str">
        <f t="shared" si="20"/>
        <v>(3,2,1,1,1,3); yield at good installation, average is lower while optimum would be higher, basic uncertainty = 1.2</v>
      </c>
      <c r="AN28" s="155">
        <v>0</v>
      </c>
      <c r="AO28" s="29">
        <f t="shared" si="21"/>
        <v>1</v>
      </c>
      <c r="AP28" s="1">
        <f t="shared" si="22"/>
        <v>1.2365959919080913</v>
      </c>
      <c r="AQ28" s="139" t="str">
        <f t="shared" si="23"/>
        <v>(3,2,1,1,1,3); yield at good installation, average is lower while optimum would be higher, basic uncertainty = 1.2</v>
      </c>
      <c r="AR28" s="155">
        <v>0</v>
      </c>
      <c r="AS28" s="29">
        <f t="shared" si="24"/>
        <v>1</v>
      </c>
      <c r="AT28" s="1">
        <f t="shared" si="25"/>
        <v>1.2365959919080913</v>
      </c>
      <c r="AU28" s="31" t="str">
        <f t="shared" si="26"/>
        <v>(3,2,1,1,1,3); yield at good installation, average is lower while optimum would be higher, basic uncertainty = 1.2</v>
      </c>
      <c r="AV28" s="155">
        <v>0</v>
      </c>
      <c r="AW28" s="29">
        <f t="shared" si="27"/>
        <v>1</v>
      </c>
      <c r="AX28" s="1">
        <f t="shared" si="28"/>
        <v>1.2365959919080913</v>
      </c>
      <c r="AY28" s="139" t="str">
        <f t="shared" si="29"/>
        <v>(3,2,1,1,1,3); yield at good installation, average is lower while optimum would be higher, basic uncertainty = 1.2</v>
      </c>
      <c r="AZ28" s="155">
        <v>0</v>
      </c>
      <c r="BA28" s="29">
        <f t="shared" si="30"/>
        <v>1</v>
      </c>
      <c r="BB28" s="1">
        <f t="shared" si="31"/>
        <v>1.2365959919080913</v>
      </c>
      <c r="BC28" s="139" t="str">
        <f t="shared" si="32"/>
        <v>(3,2,1,1,1,3); yield at good installation, average is lower while optimum would be higher, basic uncertainty = 1.2</v>
      </c>
      <c r="BD28" s="155">
        <v>0</v>
      </c>
      <c r="BE28" s="29">
        <f t="shared" si="33"/>
        <v>1</v>
      </c>
      <c r="BF28" s="1">
        <f t="shared" si="34"/>
        <v>1.2365959919080913</v>
      </c>
      <c r="BG28" s="139" t="str">
        <f t="shared" si="35"/>
        <v>(3,2,1,1,1,3); yield at good installation, average is lower while optimum would be higher, basic uncertainty = 1.2</v>
      </c>
      <c r="BH28" s="29">
        <f t="shared" si="36"/>
        <v>1</v>
      </c>
      <c r="BI28" s="1">
        <f t="shared" si="37"/>
        <v>1.2365959919080913</v>
      </c>
      <c r="BJ28" s="139" t="str">
        <f t="shared" si="38"/>
        <v>(3,2,1,1,1,3); yield at good installation, average is lower while optimum would be higher, basic uncertainty = 1.2</v>
      </c>
      <c r="BK28" s="155">
        <v>0</v>
      </c>
      <c r="BL28" s="29">
        <f t="shared" si="39"/>
        <v>1</v>
      </c>
      <c r="BM28" s="1">
        <f t="shared" si="40"/>
        <v>1.2365959919080913</v>
      </c>
      <c r="BN28" s="139" t="str">
        <f t="shared" si="41"/>
        <v>(3,2,1,1,1,3); yield at good installation, average is lower while optimum would be higher, basic uncertainty = 1.2</v>
      </c>
      <c r="BO28" s="155" t="e">
        <f>1/(Schrägdach*3*lifetime)</f>
        <v>#REF!</v>
      </c>
      <c r="BP28" s="29">
        <f t="shared" si="42"/>
        <v>1</v>
      </c>
      <c r="BQ28" s="1">
        <f t="shared" si="43"/>
        <v>1.2365959919080913</v>
      </c>
      <c r="BR28" s="139" t="str">
        <f t="shared" si="44"/>
        <v>(3,2,1,1,1,3); yield at good installation, average is lower while optimum would be higher, basic uncertainty = 1.2</v>
      </c>
      <c r="BS28" s="155">
        <v>0</v>
      </c>
      <c r="BT28" s="29">
        <f t="shared" si="45"/>
        <v>1</v>
      </c>
      <c r="BU28" s="1">
        <f t="shared" si="46"/>
        <v>1.2365959919080913</v>
      </c>
      <c r="BV28" s="139" t="str">
        <f t="shared" si="47"/>
        <v>(3,2,1,1,1,3); yield at good installation, average is lower while optimum would be higher, basic uncertainty = 1.2</v>
      </c>
      <c r="BW28" s="155">
        <v>0</v>
      </c>
      <c r="BX28" s="29">
        <f t="shared" si="48"/>
        <v>1</v>
      </c>
      <c r="BY28" s="1">
        <f t="shared" si="49"/>
        <v>1.2365959919080913</v>
      </c>
      <c r="BZ28" s="31" t="str">
        <f t="shared" si="62"/>
        <v>(3,2,1,1,1,3); yield at good installation, average is lower while optimum would be higher, basic uncertainty = 1.2</v>
      </c>
      <c r="CA28" s="155">
        <f t="shared" si="73"/>
        <v>0</v>
      </c>
      <c r="CB28" s="29">
        <f t="shared" si="50"/>
        <v>1</v>
      </c>
      <c r="CC28" s="1">
        <f t="shared" si="51"/>
        <v>1.2365959919080913</v>
      </c>
      <c r="CD28" s="139" t="str">
        <f t="shared" si="63"/>
        <v>(3,2,1,1,1,3); yield at good installation, average is lower while optimum would be higher, basic uncertainty = 1.2</v>
      </c>
      <c r="CE28" s="155">
        <f t="shared" si="74"/>
        <v>0</v>
      </c>
      <c r="CF28" s="29">
        <f t="shared" si="52"/>
        <v>1</v>
      </c>
      <c r="CG28" s="1">
        <f t="shared" si="53"/>
        <v>1.2365959919080913</v>
      </c>
      <c r="CH28" s="139" t="str">
        <f t="shared" si="64"/>
        <v>(3,2,1,1,1,3); yield at good installation, average is lower while optimum would be higher, basic uncertainty = 1.2</v>
      </c>
      <c r="CI28" s="155">
        <f t="shared" si="75"/>
        <v>0</v>
      </c>
      <c r="CJ28" s="29">
        <f t="shared" si="54"/>
        <v>1</v>
      </c>
      <c r="CK28" s="1">
        <f t="shared" si="55"/>
        <v>1.2365959919080913</v>
      </c>
      <c r="CL28" s="139" t="str">
        <f t="shared" si="65"/>
        <v>(3,2,1,1,1,3); yield at good installation, average is lower while optimum would be higher, basic uncertainty = 1.2</v>
      </c>
      <c r="CM28" s="155">
        <f t="shared" si="76"/>
        <v>0</v>
      </c>
      <c r="CN28" s="29">
        <f t="shared" si="56"/>
        <v>1</v>
      </c>
      <c r="CO28" s="1">
        <f t="shared" si="57"/>
        <v>1.2365959919080913</v>
      </c>
      <c r="CP28" s="139" t="str">
        <f t="shared" si="66"/>
        <v>(3,2,1,1,1,3); yield at good installation, average is lower while optimum would be higher, basic uncertainty = 1.2</v>
      </c>
      <c r="CQ28" s="155">
        <f t="shared" si="77"/>
        <v>0</v>
      </c>
      <c r="CR28" s="29">
        <f t="shared" si="58"/>
        <v>1</v>
      </c>
      <c r="CS28" s="1">
        <f t="shared" si="59"/>
        <v>1.2365959919080913</v>
      </c>
      <c r="CT28" s="139" t="str">
        <f t="shared" si="67"/>
        <v>(3,2,1,1,1,3); yield at good installation, average is lower while optimum would be higher, basic uncertainty = 1.2</v>
      </c>
      <c r="CU28" s="155">
        <v>0</v>
      </c>
      <c r="CV28" s="29">
        <f t="shared" si="60"/>
        <v>1</v>
      </c>
      <c r="CW28" s="1">
        <f t="shared" si="61"/>
        <v>1.2365959919080913</v>
      </c>
      <c r="CX28" s="139" t="str">
        <f t="shared" si="68"/>
        <v>(3,2,1,1,1,3); yield at good installation, average is lower while optimum would be higher, basic uncertainty = 1.2</v>
      </c>
      <c r="CY28" s="155" t="e">
        <f>1/(#REF!*3*lifetime)*DC28</f>
        <v>#REF!</v>
      </c>
      <c r="CZ28" s="29">
        <v>1</v>
      </c>
      <c r="DA28" s="1">
        <f t="shared" si="69"/>
        <v>1.2365959919080913</v>
      </c>
      <c r="DB28" s="31" t="str">
        <f t="shared" si="80"/>
        <v>(3,2,1,1,1,3); average yield, estimation for share of technologies. Basic uncertainty = 1.2</v>
      </c>
      <c r="DC28" s="287" t="e">
        <f>#REF!</f>
        <v>#REF!</v>
      </c>
      <c r="DD28" s="289" t="e">
        <f>#REF!</f>
        <v>#REF!</v>
      </c>
      <c r="DE28" s="287" t="e">
        <f>#REF!</f>
        <v>#REF!</v>
      </c>
      <c r="DF28" s="115" t="str">
        <f t="shared" si="81"/>
        <v>yield at good installation, average is lower while optimum would be higher, basic uncertainty = 1.2</v>
      </c>
      <c r="DG28" s="10">
        <f t="shared" si="82"/>
        <v>3</v>
      </c>
      <c r="DH28" s="50">
        <v>2</v>
      </c>
      <c r="DI28" s="50">
        <v>1</v>
      </c>
      <c r="DJ28" s="50">
        <v>1</v>
      </c>
      <c r="DK28" s="50">
        <v>1</v>
      </c>
      <c r="DL28" s="50">
        <v>3</v>
      </c>
      <c r="DM28" s="50">
        <f>IF(OR($D28="4",$E28="4"),INDEX([14]NamesElementary!$J$1:$J$65536,MATCH($A28,[14]NamesElementary!$A$1:$A$65536,0),1),INDEX([14]Names!$W$1:$W$65602,MATCH($A28,[14]Names!$F$1:$F$65602,0),1))</f>
        <v>9</v>
      </c>
      <c r="DN28" s="312">
        <f t="shared" si="83"/>
        <v>1.2</v>
      </c>
      <c r="DO28" s="87">
        <f t="shared" si="70"/>
        <v>1.1150377561073679</v>
      </c>
      <c r="DP28" s="88">
        <f t="shared" si="71"/>
        <v>1.2365959919080913</v>
      </c>
      <c r="DQ28" s="89" t="str">
        <f t="shared" si="72"/>
        <v>(3,2,1,1,1,3)</v>
      </c>
      <c r="DS28" s="52">
        <f>IF(DG28=1,'[14]SDG^2 values'!$B$4,IF(DG28=2,'[14]SDG^2 values'!$C$4,IF(DG28=3,'[14]SDG^2 values'!$D$4,IF(DG28=4,'[14]SDG^2 values'!$E$4,IF(DG28=5,'[14]SDG^2 values'!$F$4,1)))))</f>
        <v>1.1000000000000001</v>
      </c>
      <c r="DT28" s="52">
        <f>IF(DH28=1,'[14]SDG^2 values'!$B$5,IF(DH28=2,'[14]SDG^2 values'!$C$5,IF(DH28=3,'[14]SDG^2 values'!$D$5,IF(DH28=4,'[14]SDG^2 values'!$E$5,IF(DH28=5,'[14]SDG^2 values'!$F$5,1)))))</f>
        <v>1.02</v>
      </c>
      <c r="DU28" s="52">
        <f>IF(DI28=1,'[14]SDG^2 values'!$B$6,IF(DI28=2,'[14]SDG^2 values'!$C$6,IF(DI28=3,'[14]SDG^2 values'!$D$6,IF(DI28=4,'[14]SDG^2 values'!$E$6,IF(DI28=5,'[14]SDG^2 values'!$F$6,1)))))</f>
        <v>1</v>
      </c>
      <c r="DV28" s="52">
        <f>IF(DJ28=1,'[14]SDG^2 values'!$B$7,IF(DJ28=2,'[14]SDG^2 values'!$C$7,IF(DJ28=3,'[14]SDG^2 values'!$D$7,IF(DJ28=4,'[14]SDG^2 values'!$E$7,IF(DJ28=5,'[14]SDG^2 values'!$F$7,1)))))</f>
        <v>1</v>
      </c>
      <c r="DW28" s="52">
        <f>IF(DK28=1,'[14]SDG^2 values'!$B$8,IF(DK28=2,'[14]SDG^2 values'!$C$8,IF(DK28=3,'[14]SDG^2 values'!$D$8,IF(DK28=4,'[14]SDG^2 values'!$E$8,IF(DK28=5,'[14]SDG^2 values'!$F$8,1)))))</f>
        <v>1</v>
      </c>
      <c r="DX28" s="52">
        <f>IF(DL28=1,'[14]SDG^2 values'!$B$9,IF(DL28=2,'[14]SDG^2 values'!$C$9,IF(DL28=3,'[14]SDG^2 values'!$D$9,IF(DL28=4,'[14]SDG^2 values'!$E$9,IF(DL28=5,'[14]SDG^2 values'!$F$9,1)))))</f>
        <v>1.05</v>
      </c>
    </row>
    <row r="29" spans="1:128" ht="18" customHeight="1" outlineLevel="1">
      <c r="A29" s="120">
        <v>32130</v>
      </c>
      <c r="B29" s="168" t="s">
        <v>525</v>
      </c>
      <c r="C29" s="151"/>
      <c r="D29" s="152" t="s">
        <v>526</v>
      </c>
      <c r="E29" s="153" t="s">
        <v>402</v>
      </c>
      <c r="F29" s="144" t="str">
        <f>IF(OR(D29="4",E29="4"),INDEX([14]NamesElementary!$B$1:$B$65536,MATCH(A29,[14]NamesElementary!$A$1:$A$65536,0),1),INDEX([14]Names!$J$1:$J$65602,MATCH(A29,[14]Names!$F$1:$F$65602,0),1))</f>
        <v>3kWp slanted-roof installation, a-Si, laminated, integrated, on roof</v>
      </c>
      <c r="G29" s="125" t="str">
        <f>IF(OR(D29="4",E29="4"),"-",INDEX([14]Names!$K$1:$K$65602,MATCH(A29,[14]Names!$F$1:$F$65602,0),1))</f>
        <v>CH</v>
      </c>
      <c r="H29" s="154" t="str">
        <f>IF(OR(D29="4",E29="4"),INDEX([14]NamesElementary!$D$1:$D$65536,MATCH($A29,[14]NamesElementary!$A$1:$A$65536,0),1),"-")</f>
        <v>-</v>
      </c>
      <c r="I29" s="123" t="str">
        <f>IF(OR(D29="4",E29="4"),INDEX([14]NamesElementary!$E$1:$E$65536,MATCH($A29,[14]NamesElementary!$A$1:$A$65536,0),1),"-")</f>
        <v>-</v>
      </c>
      <c r="J29" s="124">
        <f>IF(OR(D29="4",E29="4"),"-",INDEX([14]Names!$N$1:$N$65602,MATCH(A29,[14]Names!$F$1:$F$65602,0),1))</f>
        <v>1</v>
      </c>
      <c r="K29" s="125" t="str">
        <f>IF(OR(D29="4",E29="4"),INDEX([14]NamesElementary!$G$1:$G$65536,MATCH(A29,[14]NamesElementary!$A$1:$A$65536,0),1),INDEX([14]Names!$O$1:$O$65602,MATCH(A29,[14]Names!$F$1:$F$65602,0),1))</f>
        <v>unit</v>
      </c>
      <c r="L29" s="155">
        <v>0</v>
      </c>
      <c r="M29" s="29">
        <f t="shared" si="0"/>
        <v>1</v>
      </c>
      <c r="N29" s="1">
        <f t="shared" si="1"/>
        <v>1.2365959919080913</v>
      </c>
      <c r="O29" s="139" t="str">
        <f t="shared" si="2"/>
        <v>(3,2,1,1,1,3); yield at good installation, average is lower while optimum would be higher, basic uncertainty = 1.2</v>
      </c>
      <c r="P29" s="155">
        <v>0</v>
      </c>
      <c r="Q29" s="29">
        <f t="shared" si="3"/>
        <v>1</v>
      </c>
      <c r="R29" s="1">
        <f t="shared" si="4"/>
        <v>1.2365959919080913</v>
      </c>
      <c r="S29" s="139" t="str">
        <f t="shared" si="5"/>
        <v>(3,2,1,1,1,3); yield at good installation, average is lower while optimum would be higher, basic uncertainty = 1.2</v>
      </c>
      <c r="T29" s="155">
        <v>0</v>
      </c>
      <c r="U29" s="29">
        <f t="shared" si="6"/>
        <v>1</v>
      </c>
      <c r="V29" s="1">
        <f t="shared" si="7"/>
        <v>1.2365959919080913</v>
      </c>
      <c r="W29" s="139" t="str">
        <f t="shared" si="8"/>
        <v>(3,2,1,1,1,3); yield at good installation, average is lower while optimum would be higher, basic uncertainty = 1.2</v>
      </c>
      <c r="X29" s="155">
        <v>0</v>
      </c>
      <c r="Y29" s="29">
        <f t="shared" si="9"/>
        <v>1</v>
      </c>
      <c r="Z29" s="1">
        <f t="shared" si="10"/>
        <v>1.2365959919080913</v>
      </c>
      <c r="AA29" s="139" t="str">
        <f t="shared" si="11"/>
        <v>(3,2,1,1,1,3); yield at good installation, average is lower while optimum would be higher, basic uncertainty = 1.2</v>
      </c>
      <c r="AB29" s="155">
        <v>0</v>
      </c>
      <c r="AC29" s="29">
        <f t="shared" si="12"/>
        <v>1</v>
      </c>
      <c r="AD29" s="1">
        <f t="shared" si="13"/>
        <v>1.2365959919080913</v>
      </c>
      <c r="AE29" s="139" t="str">
        <f t="shared" si="14"/>
        <v>(3,2,1,1,1,3); yield at good installation, average is lower while optimum would be higher, basic uncertainty = 1.2</v>
      </c>
      <c r="AF29" s="155">
        <v>0</v>
      </c>
      <c r="AG29" s="29">
        <f t="shared" si="15"/>
        <v>1</v>
      </c>
      <c r="AH29" s="1">
        <f t="shared" si="16"/>
        <v>1.2365959919080913</v>
      </c>
      <c r="AI29" s="139" t="str">
        <f t="shared" si="17"/>
        <v>(3,2,1,1,1,3); yield at good installation, average is lower while optimum would be higher, basic uncertainty = 1.2</v>
      </c>
      <c r="AJ29" s="155">
        <v>0</v>
      </c>
      <c r="AK29" s="29">
        <f t="shared" si="18"/>
        <v>1</v>
      </c>
      <c r="AL29" s="1">
        <f t="shared" si="19"/>
        <v>1.2365959919080913</v>
      </c>
      <c r="AM29" s="31" t="str">
        <f t="shared" si="20"/>
        <v>(3,2,1,1,1,3); yield at good installation, average is lower while optimum would be higher, basic uncertainty = 1.2</v>
      </c>
      <c r="AN29" s="155">
        <v>0</v>
      </c>
      <c r="AO29" s="29">
        <f t="shared" si="21"/>
        <v>1</v>
      </c>
      <c r="AP29" s="1">
        <f t="shared" si="22"/>
        <v>1.2365959919080913</v>
      </c>
      <c r="AQ29" s="139" t="str">
        <f t="shared" si="23"/>
        <v>(3,2,1,1,1,3); yield at good installation, average is lower while optimum would be higher, basic uncertainty = 1.2</v>
      </c>
      <c r="AR29" s="155">
        <v>0</v>
      </c>
      <c r="AS29" s="29">
        <f t="shared" si="24"/>
        <v>1</v>
      </c>
      <c r="AT29" s="1">
        <f t="shared" si="25"/>
        <v>1.2365959919080913</v>
      </c>
      <c r="AU29" s="31" t="str">
        <f t="shared" si="26"/>
        <v>(3,2,1,1,1,3); yield at good installation, average is lower while optimum would be higher, basic uncertainty = 1.2</v>
      </c>
      <c r="AV29" s="155">
        <v>0</v>
      </c>
      <c r="AW29" s="29">
        <f t="shared" si="27"/>
        <v>1</v>
      </c>
      <c r="AX29" s="1">
        <f t="shared" si="28"/>
        <v>1.2365959919080913</v>
      </c>
      <c r="AY29" s="139" t="str">
        <f t="shared" si="29"/>
        <v>(3,2,1,1,1,3); yield at good installation, average is lower while optimum would be higher, basic uncertainty = 1.2</v>
      </c>
      <c r="AZ29" s="155">
        <v>0</v>
      </c>
      <c r="BA29" s="29">
        <f t="shared" si="30"/>
        <v>1</v>
      </c>
      <c r="BB29" s="1">
        <f t="shared" si="31"/>
        <v>1.2365959919080913</v>
      </c>
      <c r="BC29" s="139" t="str">
        <f t="shared" si="32"/>
        <v>(3,2,1,1,1,3); yield at good installation, average is lower while optimum would be higher, basic uncertainty = 1.2</v>
      </c>
      <c r="BD29" s="155">
        <v>0</v>
      </c>
      <c r="BE29" s="29">
        <f t="shared" si="33"/>
        <v>1</v>
      </c>
      <c r="BF29" s="1">
        <f t="shared" si="34"/>
        <v>1.2365959919080913</v>
      </c>
      <c r="BG29" s="139" t="str">
        <f t="shared" si="35"/>
        <v>(3,2,1,1,1,3); yield at good installation, average is lower while optimum would be higher, basic uncertainty = 1.2</v>
      </c>
      <c r="BH29" s="29">
        <f t="shared" si="36"/>
        <v>1</v>
      </c>
      <c r="BI29" s="1">
        <f t="shared" si="37"/>
        <v>1.2365959919080913</v>
      </c>
      <c r="BJ29" s="139" t="str">
        <f t="shared" si="38"/>
        <v>(3,2,1,1,1,3); yield at good installation, average is lower while optimum would be higher, basic uncertainty = 1.2</v>
      </c>
      <c r="BK29" s="155">
        <v>0</v>
      </c>
      <c r="BL29" s="29">
        <f t="shared" si="39"/>
        <v>1</v>
      </c>
      <c r="BM29" s="1">
        <f t="shared" si="40"/>
        <v>1.2365959919080913</v>
      </c>
      <c r="BN29" s="139" t="str">
        <f t="shared" si="41"/>
        <v>(3,2,1,1,1,3); yield at good installation, average is lower while optimum would be higher, basic uncertainty = 1.2</v>
      </c>
      <c r="BO29" s="155">
        <v>0</v>
      </c>
      <c r="BP29" s="29">
        <f t="shared" si="42"/>
        <v>1</v>
      </c>
      <c r="BQ29" s="1">
        <f t="shared" si="43"/>
        <v>1.2365959919080913</v>
      </c>
      <c r="BR29" s="139" t="str">
        <f t="shared" si="44"/>
        <v>(3,2,1,1,1,3); yield at good installation, average is lower while optimum would be higher, basic uncertainty = 1.2</v>
      </c>
      <c r="BS29" s="155" t="e">
        <f>1/(Schrägdach*3*lifetime)</f>
        <v>#REF!</v>
      </c>
      <c r="BT29" s="29">
        <f t="shared" si="45"/>
        <v>1</v>
      </c>
      <c r="BU29" s="1">
        <f t="shared" si="46"/>
        <v>1.2365959919080913</v>
      </c>
      <c r="BV29" s="139" t="str">
        <f t="shared" si="47"/>
        <v>(3,2,1,1,1,3); yield at good installation, average is lower while optimum would be higher, basic uncertainty = 1.2</v>
      </c>
      <c r="BW29" s="155">
        <v>0</v>
      </c>
      <c r="BX29" s="29">
        <f t="shared" si="48"/>
        <v>1</v>
      </c>
      <c r="BY29" s="1">
        <f t="shared" si="49"/>
        <v>1.2365959919080913</v>
      </c>
      <c r="BZ29" s="31" t="str">
        <f t="shared" si="62"/>
        <v>(3,2,1,1,1,3); yield at good installation, average is lower while optimum would be higher, basic uncertainty = 1.2</v>
      </c>
      <c r="CA29" s="155">
        <f t="shared" si="73"/>
        <v>0</v>
      </c>
      <c r="CB29" s="29">
        <f t="shared" si="50"/>
        <v>1</v>
      </c>
      <c r="CC29" s="1">
        <f t="shared" si="51"/>
        <v>1.2365959919080913</v>
      </c>
      <c r="CD29" s="139" t="str">
        <f t="shared" si="63"/>
        <v>(3,2,1,1,1,3); yield at good installation, average is lower while optimum would be higher, basic uncertainty = 1.2</v>
      </c>
      <c r="CE29" s="155">
        <f t="shared" si="74"/>
        <v>0</v>
      </c>
      <c r="CF29" s="29">
        <f t="shared" si="52"/>
        <v>1</v>
      </c>
      <c r="CG29" s="1">
        <f t="shared" si="53"/>
        <v>1.2365959919080913</v>
      </c>
      <c r="CH29" s="139" t="str">
        <f t="shared" si="64"/>
        <v>(3,2,1,1,1,3); yield at good installation, average is lower while optimum would be higher, basic uncertainty = 1.2</v>
      </c>
      <c r="CI29" s="155">
        <f t="shared" si="75"/>
        <v>0</v>
      </c>
      <c r="CJ29" s="29">
        <f t="shared" si="54"/>
        <v>1</v>
      </c>
      <c r="CK29" s="1">
        <f t="shared" si="55"/>
        <v>1.2365959919080913</v>
      </c>
      <c r="CL29" s="139" t="str">
        <f t="shared" si="65"/>
        <v>(3,2,1,1,1,3); yield at good installation, average is lower while optimum would be higher, basic uncertainty = 1.2</v>
      </c>
      <c r="CM29" s="155">
        <f t="shared" si="76"/>
        <v>0</v>
      </c>
      <c r="CN29" s="29">
        <f t="shared" si="56"/>
        <v>1</v>
      </c>
      <c r="CO29" s="1">
        <f t="shared" si="57"/>
        <v>1.2365959919080913</v>
      </c>
      <c r="CP29" s="139" t="str">
        <f t="shared" si="66"/>
        <v>(3,2,1,1,1,3); yield at good installation, average is lower while optimum would be higher, basic uncertainty = 1.2</v>
      </c>
      <c r="CQ29" s="155">
        <f t="shared" si="77"/>
        <v>0</v>
      </c>
      <c r="CR29" s="29">
        <f t="shared" si="58"/>
        <v>1</v>
      </c>
      <c r="CS29" s="1">
        <f t="shared" si="59"/>
        <v>1.2365959919080913</v>
      </c>
      <c r="CT29" s="139" t="str">
        <f t="shared" si="67"/>
        <v>(3,2,1,1,1,3); yield at good installation, average is lower while optimum would be higher, basic uncertainty = 1.2</v>
      </c>
      <c r="CU29" s="155">
        <f t="shared" ref="CU29:CU34" si="84">BO29</f>
        <v>0</v>
      </c>
      <c r="CV29" s="29">
        <f t="shared" si="60"/>
        <v>1</v>
      </c>
      <c r="CW29" s="1">
        <f t="shared" si="61"/>
        <v>1.2365959919080913</v>
      </c>
      <c r="CX29" s="139" t="str">
        <f t="shared" si="68"/>
        <v>(3,2,1,1,1,3); yield at good installation, average is lower while optimum would be higher, basic uncertainty = 1.2</v>
      </c>
      <c r="CY29" s="155" t="e">
        <f>1/(#REF!*3*lifetime)*DC29</f>
        <v>#REF!</v>
      </c>
      <c r="CZ29" s="29">
        <v>1</v>
      </c>
      <c r="DA29" s="1">
        <f t="shared" si="69"/>
        <v>1.2365959919080913</v>
      </c>
      <c r="DB29" s="31" t="str">
        <f t="shared" si="80"/>
        <v>(3,2,1,1,1,3); average yield, estimation for share of technologies. Basic uncertainty = 1.2</v>
      </c>
      <c r="DC29" s="287" t="e">
        <f>#REF!</f>
        <v>#REF!</v>
      </c>
      <c r="DD29" s="289" t="e">
        <f>#REF!</f>
        <v>#REF!</v>
      </c>
      <c r="DE29" s="287" t="e">
        <f>#REF!</f>
        <v>#REF!</v>
      </c>
      <c r="DF29" s="115" t="str">
        <f t="shared" si="81"/>
        <v>yield at good installation, average is lower while optimum would be higher, basic uncertainty = 1.2</v>
      </c>
      <c r="DG29" s="10">
        <f t="shared" si="82"/>
        <v>3</v>
      </c>
      <c r="DH29" s="50">
        <v>2</v>
      </c>
      <c r="DI29" s="50">
        <v>1</v>
      </c>
      <c r="DJ29" s="50">
        <v>1</v>
      </c>
      <c r="DK29" s="50">
        <v>1</v>
      </c>
      <c r="DL29" s="50">
        <v>3</v>
      </c>
      <c r="DM29" s="50">
        <f>IF(OR($D29="4",$E29="4"),INDEX([14]NamesElementary!$J$1:$J$65536,MATCH($A29,[14]NamesElementary!$A$1:$A$65536,0),1),INDEX([14]Names!$W$1:$W$65602,MATCH($A29,[14]Names!$F$1:$F$65602,0),1))</f>
        <v>9</v>
      </c>
      <c r="DN29" s="312">
        <f t="shared" si="83"/>
        <v>1.2</v>
      </c>
      <c r="DO29" s="87">
        <f t="shared" si="70"/>
        <v>1.1150377561073679</v>
      </c>
      <c r="DP29" s="88">
        <f t="shared" si="71"/>
        <v>1.2365959919080913</v>
      </c>
      <c r="DQ29" s="89" t="str">
        <f t="shared" si="72"/>
        <v>(3,2,1,1,1,3)</v>
      </c>
      <c r="DS29" s="52">
        <f>IF(DG29=1,'[14]SDG^2 values'!$B$4,IF(DG29=2,'[14]SDG^2 values'!$C$4,IF(DG29=3,'[14]SDG^2 values'!$D$4,IF(DG29=4,'[14]SDG^2 values'!$E$4,IF(DG29=5,'[14]SDG^2 values'!$F$4,1)))))</f>
        <v>1.1000000000000001</v>
      </c>
      <c r="DT29" s="52">
        <f>IF(DH29=1,'[14]SDG^2 values'!$B$5,IF(DH29=2,'[14]SDG^2 values'!$C$5,IF(DH29=3,'[14]SDG^2 values'!$D$5,IF(DH29=4,'[14]SDG^2 values'!$E$5,IF(DH29=5,'[14]SDG^2 values'!$F$5,1)))))</f>
        <v>1.02</v>
      </c>
      <c r="DU29" s="52">
        <f>IF(DI29=1,'[14]SDG^2 values'!$B$6,IF(DI29=2,'[14]SDG^2 values'!$C$6,IF(DI29=3,'[14]SDG^2 values'!$D$6,IF(DI29=4,'[14]SDG^2 values'!$E$6,IF(DI29=5,'[14]SDG^2 values'!$F$6,1)))))</f>
        <v>1</v>
      </c>
      <c r="DV29" s="52">
        <f>IF(DJ29=1,'[14]SDG^2 values'!$B$7,IF(DJ29=2,'[14]SDG^2 values'!$C$7,IF(DJ29=3,'[14]SDG^2 values'!$D$7,IF(DJ29=4,'[14]SDG^2 values'!$E$7,IF(DJ29=5,'[14]SDG^2 values'!$F$7,1)))))</f>
        <v>1</v>
      </c>
      <c r="DW29" s="52">
        <f>IF(DK29=1,'[14]SDG^2 values'!$B$8,IF(DK29=2,'[14]SDG^2 values'!$C$8,IF(DK29=3,'[14]SDG^2 values'!$D$8,IF(DK29=4,'[14]SDG^2 values'!$E$8,IF(DK29=5,'[14]SDG^2 values'!$F$8,1)))))</f>
        <v>1</v>
      </c>
      <c r="DX29" s="52">
        <f>IF(DL29=1,'[14]SDG^2 values'!$B$9,IF(DL29=2,'[14]SDG^2 values'!$C$9,IF(DL29=3,'[14]SDG^2 values'!$D$9,IF(DL29=4,'[14]SDG^2 values'!$E$9,IF(DL29=5,'[14]SDG^2 values'!$F$9,1)))))</f>
        <v>1.05</v>
      </c>
    </row>
    <row r="30" spans="1:128" ht="18" customHeight="1" outlineLevel="1">
      <c r="A30" s="120">
        <v>32131</v>
      </c>
      <c r="B30" s="168" t="s">
        <v>525</v>
      </c>
      <c r="C30" s="151"/>
      <c r="D30" s="152" t="s">
        <v>526</v>
      </c>
      <c r="E30" s="153" t="s">
        <v>402</v>
      </c>
      <c r="F30" s="144" t="str">
        <f>IF(OR(D30="4",E30="4"),INDEX([14]NamesElementary!$B$1:$B$65536,MATCH(A30,[14]NamesElementary!$A$1:$A$65536,0),1),INDEX([14]Names!$J$1:$J$65602,MATCH(A30,[14]Names!$F$1:$F$65602,0),1))</f>
        <v>3kWp slanted-roof installation, a-Si, panel, mounted, on roof</v>
      </c>
      <c r="G30" s="125" t="str">
        <f>IF(OR(D30="4",E30="4"),"-",INDEX([14]Names!$K$1:$K$65602,MATCH(A30,[14]Names!$F$1:$F$65602,0),1))</f>
        <v>CH</v>
      </c>
      <c r="H30" s="154" t="str">
        <f>IF(OR(D30="4",E30="4"),INDEX([14]NamesElementary!$D$1:$D$65536,MATCH($A30,[14]NamesElementary!$A$1:$A$65536,0),1),"-")</f>
        <v>-</v>
      </c>
      <c r="I30" s="123" t="str">
        <f>IF(OR(D30="4",E30="4"),INDEX([14]NamesElementary!$E$1:$E$65536,MATCH($A30,[14]NamesElementary!$A$1:$A$65536,0),1),"-")</f>
        <v>-</v>
      </c>
      <c r="J30" s="124">
        <f>IF(OR(D30="4",E30="4"),"-",INDEX([14]Names!$N$1:$N$65602,MATCH(A30,[14]Names!$F$1:$F$65602,0),1))</f>
        <v>1</v>
      </c>
      <c r="K30" s="125" t="str">
        <f>IF(OR(D30="4",E30="4"),INDEX([14]NamesElementary!$G$1:$G$65536,MATCH(A30,[14]NamesElementary!$A$1:$A$65536,0),1),INDEX([14]Names!$O$1:$O$65602,MATCH(A30,[14]Names!$F$1:$F$65602,0),1))</f>
        <v>unit</v>
      </c>
      <c r="L30" s="155">
        <v>0</v>
      </c>
      <c r="M30" s="29">
        <f t="shared" si="0"/>
        <v>1</v>
      </c>
      <c r="N30" s="1">
        <f t="shared" si="1"/>
        <v>1.2365959919080913</v>
      </c>
      <c r="O30" s="139" t="str">
        <f t="shared" si="2"/>
        <v>(3,2,1,1,1,3); yield at good installation, average is lower while optimum would be higher, basic uncertainty = 1.2</v>
      </c>
      <c r="P30" s="155">
        <v>0</v>
      </c>
      <c r="Q30" s="29">
        <f t="shared" si="3"/>
        <v>1</v>
      </c>
      <c r="R30" s="1">
        <f t="shared" si="4"/>
        <v>1.2365959919080913</v>
      </c>
      <c r="S30" s="139" t="str">
        <f t="shared" si="5"/>
        <v>(3,2,1,1,1,3); yield at good installation, average is lower while optimum would be higher, basic uncertainty = 1.2</v>
      </c>
      <c r="T30" s="155">
        <v>0</v>
      </c>
      <c r="U30" s="29">
        <f t="shared" si="6"/>
        <v>1</v>
      </c>
      <c r="V30" s="1">
        <f t="shared" si="7"/>
        <v>1.2365959919080913</v>
      </c>
      <c r="W30" s="139" t="str">
        <f t="shared" si="8"/>
        <v>(3,2,1,1,1,3); yield at good installation, average is lower while optimum would be higher, basic uncertainty = 1.2</v>
      </c>
      <c r="X30" s="155">
        <v>0</v>
      </c>
      <c r="Y30" s="29">
        <f t="shared" si="9"/>
        <v>1</v>
      </c>
      <c r="Z30" s="1">
        <f t="shared" si="10"/>
        <v>1.2365959919080913</v>
      </c>
      <c r="AA30" s="139" t="str">
        <f t="shared" si="11"/>
        <v>(3,2,1,1,1,3); yield at good installation, average is lower while optimum would be higher, basic uncertainty = 1.2</v>
      </c>
      <c r="AB30" s="155">
        <v>0</v>
      </c>
      <c r="AC30" s="29">
        <f t="shared" si="12"/>
        <v>1</v>
      </c>
      <c r="AD30" s="1">
        <f t="shared" si="13"/>
        <v>1.2365959919080913</v>
      </c>
      <c r="AE30" s="139" t="str">
        <f t="shared" si="14"/>
        <v>(3,2,1,1,1,3); yield at good installation, average is lower while optimum would be higher, basic uncertainty = 1.2</v>
      </c>
      <c r="AF30" s="155">
        <v>0</v>
      </c>
      <c r="AG30" s="29">
        <f t="shared" si="15"/>
        <v>1</v>
      </c>
      <c r="AH30" s="1">
        <f t="shared" si="16"/>
        <v>1.2365959919080913</v>
      </c>
      <c r="AI30" s="139" t="str">
        <f t="shared" si="17"/>
        <v>(3,2,1,1,1,3); yield at good installation, average is lower while optimum would be higher, basic uncertainty = 1.2</v>
      </c>
      <c r="AJ30" s="155">
        <v>0</v>
      </c>
      <c r="AK30" s="29">
        <f t="shared" si="18"/>
        <v>1</v>
      </c>
      <c r="AL30" s="1">
        <f t="shared" si="19"/>
        <v>1.2365959919080913</v>
      </c>
      <c r="AM30" s="31" t="str">
        <f t="shared" si="20"/>
        <v>(3,2,1,1,1,3); yield at good installation, average is lower while optimum would be higher, basic uncertainty = 1.2</v>
      </c>
      <c r="AN30" s="155">
        <v>0</v>
      </c>
      <c r="AO30" s="29">
        <f t="shared" si="21"/>
        <v>1</v>
      </c>
      <c r="AP30" s="1">
        <f t="shared" si="22"/>
        <v>1.2365959919080913</v>
      </c>
      <c r="AQ30" s="139" t="str">
        <f t="shared" si="23"/>
        <v>(3,2,1,1,1,3); yield at good installation, average is lower while optimum would be higher, basic uncertainty = 1.2</v>
      </c>
      <c r="AR30" s="155">
        <v>0</v>
      </c>
      <c r="AS30" s="29">
        <f t="shared" si="24"/>
        <v>1</v>
      </c>
      <c r="AT30" s="1">
        <f t="shared" si="25"/>
        <v>1.2365959919080913</v>
      </c>
      <c r="AU30" s="31" t="str">
        <f t="shared" si="26"/>
        <v>(3,2,1,1,1,3); yield at good installation, average is lower while optimum would be higher, basic uncertainty = 1.2</v>
      </c>
      <c r="AV30" s="155">
        <v>0</v>
      </c>
      <c r="AW30" s="29">
        <f t="shared" si="27"/>
        <v>1</v>
      </c>
      <c r="AX30" s="1">
        <f t="shared" si="28"/>
        <v>1.2365959919080913</v>
      </c>
      <c r="AY30" s="139" t="str">
        <f t="shared" si="29"/>
        <v>(3,2,1,1,1,3); yield at good installation, average is lower while optimum would be higher, basic uncertainty = 1.2</v>
      </c>
      <c r="AZ30" s="155">
        <v>0</v>
      </c>
      <c r="BA30" s="29">
        <f t="shared" si="30"/>
        <v>1</v>
      </c>
      <c r="BB30" s="1">
        <f t="shared" si="31"/>
        <v>1.2365959919080913</v>
      </c>
      <c r="BC30" s="139" t="str">
        <f t="shared" si="32"/>
        <v>(3,2,1,1,1,3); yield at good installation, average is lower while optimum would be higher, basic uncertainty = 1.2</v>
      </c>
      <c r="BD30" s="155">
        <v>0</v>
      </c>
      <c r="BE30" s="29">
        <f t="shared" si="33"/>
        <v>1</v>
      </c>
      <c r="BF30" s="1">
        <f t="shared" si="34"/>
        <v>1.2365959919080913</v>
      </c>
      <c r="BG30" s="139" t="str">
        <f t="shared" si="35"/>
        <v>(3,2,1,1,1,3); yield at good installation, average is lower while optimum would be higher, basic uncertainty = 1.2</v>
      </c>
      <c r="BH30" s="29">
        <f t="shared" si="36"/>
        <v>1</v>
      </c>
      <c r="BI30" s="1">
        <f t="shared" si="37"/>
        <v>1.2365959919080913</v>
      </c>
      <c r="BJ30" s="139" t="str">
        <f t="shared" si="38"/>
        <v>(3,2,1,1,1,3); yield at good installation, average is lower while optimum would be higher, basic uncertainty = 1.2</v>
      </c>
      <c r="BK30" s="155">
        <v>0</v>
      </c>
      <c r="BL30" s="29">
        <f t="shared" si="39"/>
        <v>1</v>
      </c>
      <c r="BM30" s="1">
        <f t="shared" si="40"/>
        <v>1.2365959919080913</v>
      </c>
      <c r="BN30" s="139" t="str">
        <f t="shared" si="41"/>
        <v>(3,2,1,1,1,3); yield at good installation, average is lower while optimum would be higher, basic uncertainty = 1.2</v>
      </c>
      <c r="BO30" s="155">
        <v>0</v>
      </c>
      <c r="BP30" s="29">
        <f t="shared" si="42"/>
        <v>1</v>
      </c>
      <c r="BQ30" s="1">
        <f t="shared" si="43"/>
        <v>1.2365959919080913</v>
      </c>
      <c r="BR30" s="139" t="str">
        <f t="shared" si="44"/>
        <v>(3,2,1,1,1,3); yield at good installation, average is lower while optimum would be higher, basic uncertainty = 1.2</v>
      </c>
      <c r="BS30" s="155">
        <v>0</v>
      </c>
      <c r="BT30" s="29">
        <f t="shared" si="45"/>
        <v>1</v>
      </c>
      <c r="BU30" s="1">
        <f t="shared" si="46"/>
        <v>1.2365959919080913</v>
      </c>
      <c r="BV30" s="139" t="str">
        <f t="shared" si="47"/>
        <v>(3,2,1,1,1,3); yield at good installation, average is lower while optimum would be higher, basic uncertainty = 1.2</v>
      </c>
      <c r="BW30" s="155" t="e">
        <f>1/(Schrägdach*3*lifetime)</f>
        <v>#REF!</v>
      </c>
      <c r="BX30" s="29">
        <f t="shared" si="48"/>
        <v>1</v>
      </c>
      <c r="BY30" s="1">
        <f t="shared" si="49"/>
        <v>1.2365959919080913</v>
      </c>
      <c r="BZ30" s="31" t="str">
        <f t="shared" si="62"/>
        <v>(3,2,1,1,1,3); yield at good installation, average is lower while optimum would be higher, basic uncertainty = 1.2</v>
      </c>
      <c r="CA30" s="155">
        <f t="shared" si="73"/>
        <v>0</v>
      </c>
      <c r="CB30" s="29">
        <f t="shared" si="50"/>
        <v>1</v>
      </c>
      <c r="CC30" s="1">
        <f t="shared" si="51"/>
        <v>1.2365959919080913</v>
      </c>
      <c r="CD30" s="139" t="str">
        <f t="shared" si="63"/>
        <v>(3,2,1,1,1,3); yield at good installation, average is lower while optimum would be higher, basic uncertainty = 1.2</v>
      </c>
      <c r="CE30" s="155">
        <f t="shared" si="74"/>
        <v>0</v>
      </c>
      <c r="CF30" s="29">
        <f t="shared" si="52"/>
        <v>1</v>
      </c>
      <c r="CG30" s="1">
        <f t="shared" si="53"/>
        <v>1.2365959919080913</v>
      </c>
      <c r="CH30" s="139" t="str">
        <f t="shared" si="64"/>
        <v>(3,2,1,1,1,3); yield at good installation, average is lower while optimum would be higher, basic uncertainty = 1.2</v>
      </c>
      <c r="CI30" s="155">
        <f t="shared" si="75"/>
        <v>0</v>
      </c>
      <c r="CJ30" s="29">
        <f t="shared" si="54"/>
        <v>1</v>
      </c>
      <c r="CK30" s="1">
        <f t="shared" si="55"/>
        <v>1.2365959919080913</v>
      </c>
      <c r="CL30" s="139" t="str">
        <f t="shared" si="65"/>
        <v>(3,2,1,1,1,3); yield at good installation, average is lower while optimum would be higher, basic uncertainty = 1.2</v>
      </c>
      <c r="CM30" s="155">
        <f t="shared" si="76"/>
        <v>0</v>
      </c>
      <c r="CN30" s="29">
        <f t="shared" si="56"/>
        <v>1</v>
      </c>
      <c r="CO30" s="1">
        <f t="shared" si="57"/>
        <v>1.2365959919080913</v>
      </c>
      <c r="CP30" s="139" t="str">
        <f t="shared" si="66"/>
        <v>(3,2,1,1,1,3); yield at good installation, average is lower while optimum would be higher, basic uncertainty = 1.2</v>
      </c>
      <c r="CQ30" s="155">
        <f t="shared" si="77"/>
        <v>0</v>
      </c>
      <c r="CR30" s="29">
        <f t="shared" si="58"/>
        <v>1</v>
      </c>
      <c r="CS30" s="1">
        <f t="shared" si="59"/>
        <v>1.2365959919080913</v>
      </c>
      <c r="CT30" s="139" t="str">
        <f t="shared" si="67"/>
        <v>(3,2,1,1,1,3); yield at good installation, average is lower while optimum would be higher, basic uncertainty = 1.2</v>
      </c>
      <c r="CU30" s="155">
        <f t="shared" si="84"/>
        <v>0</v>
      </c>
      <c r="CV30" s="29">
        <f t="shared" si="60"/>
        <v>1</v>
      </c>
      <c r="CW30" s="1">
        <f t="shared" si="61"/>
        <v>1.2365959919080913</v>
      </c>
      <c r="CX30" s="139" t="str">
        <f t="shared" si="68"/>
        <v>(3,2,1,1,1,3); yield at good installation, average is lower while optimum would be higher, basic uncertainty = 1.2</v>
      </c>
      <c r="CY30" s="155" t="e">
        <f>1/(#REF!*3*lifetime)*DC30</f>
        <v>#REF!</v>
      </c>
      <c r="CZ30" s="29">
        <v>1</v>
      </c>
      <c r="DA30" s="1">
        <f t="shared" si="69"/>
        <v>1.2365959919080913</v>
      </c>
      <c r="DB30" s="31" t="str">
        <f t="shared" si="80"/>
        <v>(3,2,1,1,1,3); average yield, estimation for share of technologies. Basic uncertainty = 1.2</v>
      </c>
      <c r="DC30" s="287" t="e">
        <f>#REF!</f>
        <v>#REF!</v>
      </c>
      <c r="DD30" s="289" t="e">
        <f>#REF!</f>
        <v>#REF!</v>
      </c>
      <c r="DE30" s="287" t="e">
        <f>#REF!</f>
        <v>#REF!</v>
      </c>
      <c r="DF30" s="115" t="str">
        <f t="shared" si="81"/>
        <v>yield at good installation, average is lower while optimum would be higher, basic uncertainty = 1.2</v>
      </c>
      <c r="DG30" s="10">
        <f t="shared" si="82"/>
        <v>3</v>
      </c>
      <c r="DH30" s="50">
        <v>2</v>
      </c>
      <c r="DI30" s="50">
        <v>1</v>
      </c>
      <c r="DJ30" s="50">
        <v>1</v>
      </c>
      <c r="DK30" s="50">
        <v>1</v>
      </c>
      <c r="DL30" s="50">
        <v>3</v>
      </c>
      <c r="DM30" s="50">
        <f>IF(OR($D30="4",$E30="4"),INDEX([14]NamesElementary!$J$1:$J$65536,MATCH($A30,[14]NamesElementary!$A$1:$A$65536,0),1),INDEX([14]Names!$W$1:$W$65602,MATCH($A30,[14]Names!$F$1:$F$65602,0),1))</f>
        <v>9</v>
      </c>
      <c r="DN30" s="312">
        <f t="shared" si="83"/>
        <v>1.2</v>
      </c>
      <c r="DO30" s="87">
        <f t="shared" si="70"/>
        <v>1.1150377561073679</v>
      </c>
      <c r="DP30" s="88">
        <f t="shared" si="71"/>
        <v>1.2365959919080913</v>
      </c>
      <c r="DQ30" s="89" t="str">
        <f t="shared" si="72"/>
        <v>(3,2,1,1,1,3)</v>
      </c>
      <c r="DS30" s="52">
        <f>IF(DG30=1,'[14]SDG^2 values'!$B$4,IF(DG30=2,'[14]SDG^2 values'!$C$4,IF(DG30=3,'[14]SDG^2 values'!$D$4,IF(DG30=4,'[14]SDG^2 values'!$E$4,IF(DG30=5,'[14]SDG^2 values'!$F$4,1)))))</f>
        <v>1.1000000000000001</v>
      </c>
      <c r="DT30" s="52">
        <f>IF(DH30=1,'[14]SDG^2 values'!$B$5,IF(DH30=2,'[14]SDG^2 values'!$C$5,IF(DH30=3,'[14]SDG^2 values'!$D$5,IF(DH30=4,'[14]SDG^2 values'!$E$5,IF(DH30=5,'[14]SDG^2 values'!$F$5,1)))))</f>
        <v>1.02</v>
      </c>
      <c r="DU30" s="52">
        <f>IF(DI30=1,'[14]SDG^2 values'!$B$6,IF(DI30=2,'[14]SDG^2 values'!$C$6,IF(DI30=3,'[14]SDG^2 values'!$D$6,IF(DI30=4,'[14]SDG^2 values'!$E$6,IF(DI30=5,'[14]SDG^2 values'!$F$6,1)))))</f>
        <v>1</v>
      </c>
      <c r="DV30" s="52">
        <f>IF(DJ30=1,'[14]SDG^2 values'!$B$7,IF(DJ30=2,'[14]SDG^2 values'!$C$7,IF(DJ30=3,'[14]SDG^2 values'!$D$7,IF(DJ30=4,'[14]SDG^2 values'!$E$7,IF(DJ30=5,'[14]SDG^2 values'!$F$7,1)))))</f>
        <v>1</v>
      </c>
      <c r="DW30" s="52">
        <f>IF(DK30=1,'[14]SDG^2 values'!$B$8,IF(DK30=2,'[14]SDG^2 values'!$C$8,IF(DK30=3,'[14]SDG^2 values'!$D$8,IF(DK30=4,'[14]SDG^2 values'!$E$8,IF(DK30=5,'[14]SDG^2 values'!$F$8,1)))))</f>
        <v>1</v>
      </c>
      <c r="DX30" s="52">
        <f>IF(DL30=1,'[14]SDG^2 values'!$B$9,IF(DL30=2,'[14]SDG^2 values'!$C$9,IF(DL30=3,'[14]SDG^2 values'!$D$9,IF(DL30=4,'[14]SDG^2 values'!$E$9,IF(DL30=5,'[14]SDG^2 values'!$F$9,1)))))</f>
        <v>1.05</v>
      </c>
    </row>
    <row r="31" spans="1:128" ht="30.75" customHeight="1">
      <c r="A31" s="478" t="s">
        <v>809</v>
      </c>
      <c r="B31" s="168" t="s">
        <v>525</v>
      </c>
      <c r="C31" s="151"/>
      <c r="D31" s="152" t="s">
        <v>526</v>
      </c>
      <c r="E31" s="153" t="s">
        <v>402</v>
      </c>
      <c r="F31" s="144" t="str">
        <f>IF(OR(D31="4",E31="4"),INDEX([14]NamesElementary!$B$1:$B$65536,MATCH(A31,[14]NamesElementary!$A$1:$A$65536,0),1),INDEX([14]Names!$J$1:$J$65602,MATCH(A31,[14]Names!$F$1:$F$65602,0),1))</f>
        <v>3kWp slanted-roof installation, single-Si, European laminate, integrated, on roof</v>
      </c>
      <c r="G31" s="125" t="str">
        <f>IF(OR(D31="4",E31="4"),"-",INDEX([14]Names!$K$1:$K$65602,MATCH(A31,[14]Names!$F$1:$F$65602,0),1))</f>
        <v>CH</v>
      </c>
      <c r="H31" s="154" t="str">
        <f>IF(OR(D31="4",E31="4"),INDEX([14]NamesElementary!$D$1:$D$65536,MATCH($A31,[14]NamesElementary!$A$1:$A$65536,0),1),"-")</f>
        <v>-</v>
      </c>
      <c r="I31" s="123" t="str">
        <f>IF(OR(D31="4",E31="4"),INDEX([14]NamesElementary!$E$1:$E$65536,MATCH($A31,[14]NamesElementary!$A$1:$A$65536,0),1),"-")</f>
        <v>-</v>
      </c>
      <c r="J31" s="124">
        <f>IF(OR(D31="4",E31="4"),"-",INDEX([14]Names!$N$1:$N$65602,MATCH(A31,[14]Names!$F$1:$F$65602,0),1))</f>
        <v>1</v>
      </c>
      <c r="K31" s="125" t="str">
        <f>IF(OR(D31="4",E31="4"),INDEX([14]NamesElementary!$G$1:$G$65536,MATCH(A31,[14]NamesElementary!$A$1:$A$65536,0),1),INDEX([14]Names!$O$1:$O$65602,MATCH(A31,[14]Names!$F$1:$F$65602,0),1))</f>
        <v>unit</v>
      </c>
      <c r="L31" s="155">
        <v>0</v>
      </c>
      <c r="M31" s="29">
        <f t="shared" si="0"/>
        <v>1</v>
      </c>
      <c r="N31" s="1">
        <f t="shared" si="1"/>
        <v>1.2365959919080913</v>
      </c>
      <c r="O31" s="139" t="str">
        <f t="shared" si="2"/>
        <v>(3,2,1,1,1,3); yield at good installation, average is lower while optimum would be higher, basic uncertainty = 1.2</v>
      </c>
      <c r="P31" s="155">
        <v>0</v>
      </c>
      <c r="Q31" s="29">
        <f t="shared" si="3"/>
        <v>1</v>
      </c>
      <c r="R31" s="1">
        <f t="shared" si="4"/>
        <v>1.2365959919080913</v>
      </c>
      <c r="S31" s="139" t="str">
        <f t="shared" si="5"/>
        <v>(3,2,1,1,1,3); yield at good installation, average is lower while optimum would be higher, basic uncertainty = 1.2</v>
      </c>
      <c r="T31" s="155">
        <v>0</v>
      </c>
      <c r="U31" s="29">
        <f t="shared" si="6"/>
        <v>1</v>
      </c>
      <c r="V31" s="1">
        <f t="shared" si="7"/>
        <v>1.2365959919080913</v>
      </c>
      <c r="W31" s="139" t="str">
        <f t="shared" si="8"/>
        <v>(3,2,1,1,1,3); yield at good installation, average is lower while optimum would be higher, basic uncertainty = 1.2</v>
      </c>
      <c r="X31" s="155">
        <v>0</v>
      </c>
      <c r="Y31" s="29">
        <f t="shared" si="9"/>
        <v>1</v>
      </c>
      <c r="Z31" s="1">
        <f t="shared" si="10"/>
        <v>1.2365959919080913</v>
      </c>
      <c r="AA31" s="139" t="str">
        <f t="shared" si="11"/>
        <v>(3,2,1,1,1,3); yield at good installation, average is lower while optimum would be higher, basic uncertainty = 1.2</v>
      </c>
      <c r="AB31" s="155">
        <v>0</v>
      </c>
      <c r="AC31" s="29">
        <f t="shared" si="12"/>
        <v>1</v>
      </c>
      <c r="AD31" s="1">
        <f t="shared" si="13"/>
        <v>1.2365959919080913</v>
      </c>
      <c r="AE31" s="139" t="str">
        <f t="shared" si="14"/>
        <v>(3,2,1,1,1,3); yield at good installation, average is lower while optimum would be higher, basic uncertainty = 1.2</v>
      </c>
      <c r="AF31" s="155">
        <v>0</v>
      </c>
      <c r="AG31" s="29">
        <f t="shared" si="15"/>
        <v>1</v>
      </c>
      <c r="AH31" s="1">
        <f t="shared" si="16"/>
        <v>1.2365959919080913</v>
      </c>
      <c r="AI31" s="139" t="str">
        <f t="shared" si="17"/>
        <v>(3,2,1,1,1,3); yield at good installation, average is lower while optimum would be higher, basic uncertainty = 1.2</v>
      </c>
      <c r="AJ31" s="155">
        <v>0</v>
      </c>
      <c r="AK31" s="29">
        <f t="shared" si="18"/>
        <v>1</v>
      </c>
      <c r="AL31" s="1">
        <f t="shared" si="19"/>
        <v>1.2365959919080913</v>
      </c>
      <c r="AM31" s="31" t="str">
        <f t="shared" si="20"/>
        <v>(3,2,1,1,1,3); yield at good installation, average is lower while optimum would be higher, basic uncertainty = 1.2</v>
      </c>
      <c r="AN31" s="155">
        <v>0</v>
      </c>
      <c r="AO31" s="29">
        <f t="shared" si="21"/>
        <v>1</v>
      </c>
      <c r="AP31" s="1">
        <f t="shared" si="22"/>
        <v>1.2365959919080913</v>
      </c>
      <c r="AQ31" s="139" t="str">
        <f t="shared" si="23"/>
        <v>(3,2,1,1,1,3); yield at good installation, average is lower while optimum would be higher, basic uncertainty = 1.2</v>
      </c>
      <c r="AR31" s="155">
        <v>0</v>
      </c>
      <c r="AS31" s="29">
        <f t="shared" si="24"/>
        <v>1</v>
      </c>
      <c r="AT31" s="1">
        <f t="shared" si="25"/>
        <v>1.2365959919080913</v>
      </c>
      <c r="AU31" s="31" t="str">
        <f t="shared" si="26"/>
        <v>(3,2,1,1,1,3); yield at good installation, average is lower while optimum would be higher, basic uncertainty = 1.2</v>
      </c>
      <c r="AV31" s="155">
        <v>0</v>
      </c>
      <c r="AW31" s="29">
        <f t="shared" si="27"/>
        <v>1</v>
      </c>
      <c r="AX31" s="1">
        <f t="shared" si="28"/>
        <v>1.2365959919080913</v>
      </c>
      <c r="AY31" s="139" t="str">
        <f t="shared" si="29"/>
        <v>(3,2,1,1,1,3); yield at good installation, average is lower while optimum would be higher, basic uncertainty = 1.2</v>
      </c>
      <c r="AZ31" s="155">
        <v>0</v>
      </c>
      <c r="BA31" s="29">
        <f t="shared" si="30"/>
        <v>1</v>
      </c>
      <c r="BB31" s="1">
        <f t="shared" si="31"/>
        <v>1.2365959919080913</v>
      </c>
      <c r="BC31" s="139" t="str">
        <f t="shared" si="32"/>
        <v>(3,2,1,1,1,3); yield at good installation, average is lower while optimum would be higher, basic uncertainty = 1.2</v>
      </c>
      <c r="BD31" s="155">
        <v>0</v>
      </c>
      <c r="BE31" s="29">
        <f t="shared" si="33"/>
        <v>1</v>
      </c>
      <c r="BF31" s="1">
        <f t="shared" si="34"/>
        <v>1.2365959919080913</v>
      </c>
      <c r="BG31" s="139" t="str">
        <f t="shared" si="35"/>
        <v>(3,2,1,1,1,3); yield at good installation, average is lower while optimum would be higher, basic uncertainty = 1.2</v>
      </c>
      <c r="BH31" s="29">
        <f t="shared" si="36"/>
        <v>1</v>
      </c>
      <c r="BI31" s="1">
        <f t="shared" si="37"/>
        <v>1.2365959919080913</v>
      </c>
      <c r="BJ31" s="139" t="str">
        <f t="shared" si="38"/>
        <v>(3,2,1,1,1,3); yield at good installation, average is lower while optimum would be higher, basic uncertainty = 1.2</v>
      </c>
      <c r="BK31" s="155">
        <v>0</v>
      </c>
      <c r="BL31" s="29">
        <f t="shared" si="39"/>
        <v>1</v>
      </c>
      <c r="BM31" s="1">
        <f t="shared" si="40"/>
        <v>1.2365959919080913</v>
      </c>
      <c r="BN31" s="139" t="str">
        <f t="shared" si="41"/>
        <v>(3,2,1,1,1,3); yield at good installation, average is lower while optimum would be higher, basic uncertainty = 1.2</v>
      </c>
      <c r="BO31" s="155">
        <v>0</v>
      </c>
      <c r="BP31" s="29">
        <f t="shared" si="42"/>
        <v>1</v>
      </c>
      <c r="BQ31" s="1">
        <f t="shared" si="43"/>
        <v>1.2365959919080913</v>
      </c>
      <c r="BR31" s="139" t="str">
        <f t="shared" si="44"/>
        <v>(3,2,1,1,1,3); yield at good installation, average is lower while optimum would be higher, basic uncertainty = 1.2</v>
      </c>
      <c r="BS31" s="155">
        <v>0</v>
      </c>
      <c r="BT31" s="29">
        <f t="shared" si="45"/>
        <v>1</v>
      </c>
      <c r="BU31" s="1">
        <f t="shared" si="46"/>
        <v>1.2365959919080913</v>
      </c>
      <c r="BV31" s="139" t="str">
        <f t="shared" si="47"/>
        <v>(3,2,1,1,1,3); yield at good installation, average is lower while optimum would be higher, basic uncertainty = 1.2</v>
      </c>
      <c r="BW31" s="155">
        <v>0</v>
      </c>
      <c r="BX31" s="29">
        <f t="shared" si="48"/>
        <v>1</v>
      </c>
      <c r="BY31" s="1">
        <f t="shared" si="49"/>
        <v>1.2365959919080913</v>
      </c>
      <c r="BZ31" s="31" t="str">
        <f t="shared" ref="BZ31:BZ36" si="85">DQ31&amp;"; "&amp;DF31</f>
        <v>(3,2,1,1,1,3); yield at good installation, average is lower while optimum would be higher, basic uncertainty = 1.2</v>
      </c>
      <c r="CA31" s="155">
        <f>AR31</f>
        <v>0</v>
      </c>
      <c r="CB31" s="29">
        <f t="shared" si="50"/>
        <v>1</v>
      </c>
      <c r="CC31" s="1">
        <f t="shared" si="51"/>
        <v>1.2365959919080913</v>
      </c>
      <c r="CD31" s="139" t="str">
        <f t="shared" si="63"/>
        <v>(3,2,1,1,1,3); yield at good installation, average is lower while optimum would be higher, basic uncertainty = 1.2</v>
      </c>
      <c r="CE31" s="155">
        <f>AV31</f>
        <v>0</v>
      </c>
      <c r="CF31" s="29">
        <f t="shared" si="52"/>
        <v>1</v>
      </c>
      <c r="CG31" s="1">
        <f t="shared" si="53"/>
        <v>1.2365959919080913</v>
      </c>
      <c r="CH31" s="139" t="str">
        <f t="shared" si="64"/>
        <v>(3,2,1,1,1,3); yield at good installation, average is lower while optimum would be higher, basic uncertainty = 1.2</v>
      </c>
      <c r="CI31" s="155" t="e">
        <f>AJ21</f>
        <v>#REF!</v>
      </c>
      <c r="CJ31" s="29">
        <f t="shared" si="54"/>
        <v>1</v>
      </c>
      <c r="CK31" s="1">
        <f t="shared" si="55"/>
        <v>1.2365959919080913</v>
      </c>
      <c r="CL31" s="139" t="str">
        <f t="shared" si="65"/>
        <v>(3,2,1,1,1,3); yield at good installation, average is lower while optimum would be higher, basic uncertainty = 1.2</v>
      </c>
      <c r="CM31" s="155">
        <f>AN31</f>
        <v>0</v>
      </c>
      <c r="CN31" s="29">
        <f t="shared" si="56"/>
        <v>1</v>
      </c>
      <c r="CO31" s="1">
        <f t="shared" si="57"/>
        <v>1.2365959919080913</v>
      </c>
      <c r="CP31" s="139" t="str">
        <f t="shared" si="66"/>
        <v>(3,2,1,1,1,3); yield at good installation, average is lower while optimum would be higher, basic uncertainty = 1.2</v>
      </c>
      <c r="CQ31" s="155">
        <f>BK31</f>
        <v>0</v>
      </c>
      <c r="CR31" s="29">
        <f t="shared" si="58"/>
        <v>1</v>
      </c>
      <c r="CS31" s="1">
        <f t="shared" si="59"/>
        <v>1.2365959919080913</v>
      </c>
      <c r="CT31" s="139" t="str">
        <f t="shared" si="67"/>
        <v>(3,2,1,1,1,3); yield at good installation, average is lower while optimum would be higher, basic uncertainty = 1.2</v>
      </c>
      <c r="CU31" s="155">
        <f t="shared" si="84"/>
        <v>0</v>
      </c>
      <c r="CV31" s="29">
        <f t="shared" si="60"/>
        <v>1</v>
      </c>
      <c r="CW31" s="1">
        <f t="shared" si="61"/>
        <v>1.2365959919080913</v>
      </c>
      <c r="CX31" s="139" t="str">
        <f t="shared" si="68"/>
        <v>(3,2,1,1,1,3); yield at good installation, average is lower while optimum would be higher, basic uncertainty = 1.2</v>
      </c>
      <c r="CY31" s="155" t="e">
        <f>1/(#REF!*3*lifetime)*DC31</f>
        <v>#REF!</v>
      </c>
      <c r="CZ31" s="29">
        <v>1</v>
      </c>
      <c r="DA31" s="1">
        <f t="shared" si="69"/>
        <v>1.2365959919080913</v>
      </c>
      <c r="DB31" s="31" t="str">
        <f t="shared" ref="DB31:DB36" si="86">DQ31&amp;"; average yield, estimation for share of technologies. Basic uncertainty = "&amp;DN31</f>
        <v>(3,2,1,1,1,3); average yield, estimation for share of technologies. Basic uncertainty = 1.2</v>
      </c>
      <c r="DC31" s="287">
        <v>0</v>
      </c>
      <c r="DD31" s="289" t="e">
        <f>#REF!</f>
        <v>#REF!</v>
      </c>
      <c r="DE31" s="287" t="e">
        <f>#REF!</f>
        <v>#REF!</v>
      </c>
      <c r="DF31" s="115" t="str">
        <f t="shared" si="81"/>
        <v>yield at good installation, average is lower while optimum would be higher, basic uncertainty = 1.2</v>
      </c>
      <c r="DG31" s="10">
        <f t="shared" si="82"/>
        <v>3</v>
      </c>
      <c r="DH31" s="50">
        <v>2</v>
      </c>
      <c r="DI31" s="50">
        <v>1</v>
      </c>
      <c r="DJ31" s="50">
        <v>1</v>
      </c>
      <c r="DK31" s="50">
        <v>1</v>
      </c>
      <c r="DL31" s="50">
        <v>3</v>
      </c>
      <c r="DM31" s="50">
        <f>IF(OR($D31="4",$E31="4"),INDEX([14]NamesElementary!$J$1:$J$65536,MATCH($A31,[14]NamesElementary!$A$1:$A$65536,0),1),INDEX([14]Names!$W$1:$W$65602,MATCH($A31,[14]Names!$F$1:$F$65602,0),1))</f>
        <v>9</v>
      </c>
      <c r="DN31" s="312">
        <f t="shared" si="83"/>
        <v>1.2</v>
      </c>
      <c r="DO31" s="87">
        <f t="shared" ref="DO31:DO36" si="87">EXP(SQRT((LN(DS31)^2)+(LN(DT31)^2)+(LN(DU31)^2)+(LN(DV31)^2)+(LN(DW31)^2)+(LN(DX31)^2)))</f>
        <v>1.1150377561073679</v>
      </c>
      <c r="DP31" s="88">
        <f t="shared" ref="DP31:DP36" si="88">EXP(SQRT((LN(DS31)^2)+(LN(DT31)^2)+(LN(DU31)^2)+(LN(DV31)^2)+(LN(DW31)^2)+(LN(DX31)^2)+LN(DN31)^2))</f>
        <v>1.2365959919080913</v>
      </c>
      <c r="DQ31" s="89" t="str">
        <f t="shared" ref="DQ31:DQ36" si="89">CONCATENATE("(",DG31,",",DH31,",",DI31,",",DJ31,",",DK31,",",DL31,")")</f>
        <v>(3,2,1,1,1,3)</v>
      </c>
      <c r="DS31" s="52">
        <f>IF(DG31=1,'[14]SDG^2 values'!$B$4,IF(DG31=2,'[14]SDG^2 values'!$C$4,IF(DG31=3,'[14]SDG^2 values'!$D$4,IF(DG31=4,'[14]SDG^2 values'!$E$4,IF(DG31=5,'[14]SDG^2 values'!$F$4,1)))))</f>
        <v>1.1000000000000001</v>
      </c>
      <c r="DT31" s="52">
        <f>IF(DH31=1,'[14]SDG^2 values'!$B$5,IF(DH31=2,'[14]SDG^2 values'!$C$5,IF(DH31=3,'[14]SDG^2 values'!$D$5,IF(DH31=4,'[14]SDG^2 values'!$E$5,IF(DH31=5,'[14]SDG^2 values'!$F$5,1)))))</f>
        <v>1.02</v>
      </c>
      <c r="DU31" s="52">
        <f>IF(DI31=1,'[14]SDG^2 values'!$B$6,IF(DI31=2,'[14]SDG^2 values'!$C$6,IF(DI31=3,'[14]SDG^2 values'!$D$6,IF(DI31=4,'[14]SDG^2 values'!$E$6,IF(DI31=5,'[14]SDG^2 values'!$F$6,1)))))</f>
        <v>1</v>
      </c>
      <c r="DV31" s="52">
        <f>IF(DJ31=1,'[14]SDG^2 values'!$B$7,IF(DJ31=2,'[14]SDG^2 values'!$C$7,IF(DJ31=3,'[14]SDG^2 values'!$D$7,IF(DJ31=4,'[14]SDG^2 values'!$E$7,IF(DJ31=5,'[14]SDG^2 values'!$F$7,1)))))</f>
        <v>1</v>
      </c>
      <c r="DW31" s="52">
        <f>IF(DK31=1,'[14]SDG^2 values'!$B$8,IF(DK31=2,'[14]SDG^2 values'!$C$8,IF(DK31=3,'[14]SDG^2 values'!$D$8,IF(DK31=4,'[14]SDG^2 values'!$E$8,IF(DK31=5,'[14]SDG^2 values'!$F$8,1)))))</f>
        <v>1</v>
      </c>
      <c r="DX31" s="52">
        <f>IF(DL31=1,'[14]SDG^2 values'!$B$9,IF(DL31=2,'[14]SDG^2 values'!$C$9,IF(DL31=3,'[14]SDG^2 values'!$D$9,IF(DL31=4,'[14]SDG^2 values'!$E$9,IF(DL31=5,'[14]SDG^2 values'!$F$9,1)))))</f>
        <v>1.05</v>
      </c>
    </row>
    <row r="32" spans="1:128" ht="18" customHeight="1">
      <c r="A32" s="478" t="s">
        <v>810</v>
      </c>
      <c r="B32" s="168" t="s">
        <v>525</v>
      </c>
      <c r="C32" s="151"/>
      <c r="D32" s="152" t="s">
        <v>526</v>
      </c>
      <c r="E32" s="153" t="s">
        <v>402</v>
      </c>
      <c r="F32" s="144" t="str">
        <f>IF(OR(D32="4",E32="4"),INDEX([14]NamesElementary!$B$1:$B$65536,MATCH(A32,[14]NamesElementary!$A$1:$A$65536,0),1),INDEX([14]Names!$J$1:$J$65602,MATCH(A32,[14]Names!$F$1:$F$65602,0),1))</f>
        <v>3kWp slanted-roof installation, single-Si, European panel, mounted, on roof</v>
      </c>
      <c r="G32" s="125" t="str">
        <f>IF(OR(D32="4",E32="4"),"-",INDEX([14]Names!$K$1:$K$65602,MATCH(A32,[14]Names!$F$1:$F$65602,0),1))</f>
        <v>CH</v>
      </c>
      <c r="H32" s="154" t="str">
        <f>IF(OR(D32="4",E32="4"),INDEX([14]NamesElementary!$D$1:$D$65536,MATCH($A32,[14]NamesElementary!$A$1:$A$65536,0),1),"-")</f>
        <v>-</v>
      </c>
      <c r="I32" s="123" t="str">
        <f>IF(OR(D32="4",E32="4"),INDEX([14]NamesElementary!$E$1:$E$65536,MATCH($A32,[14]NamesElementary!$A$1:$A$65536,0),1),"-")</f>
        <v>-</v>
      </c>
      <c r="J32" s="124">
        <f>IF(OR(D32="4",E32="4"),"-",INDEX([14]Names!$N$1:$N$65602,MATCH(A32,[14]Names!$F$1:$F$65602,0),1))</f>
        <v>1</v>
      </c>
      <c r="K32" s="125" t="str">
        <f>IF(OR(D32="4",E32="4"),INDEX([14]NamesElementary!$G$1:$G$65536,MATCH(A32,[14]NamesElementary!$A$1:$A$65536,0),1),INDEX([14]Names!$O$1:$O$65602,MATCH(A32,[14]Names!$F$1:$F$65602,0),1))</f>
        <v>unit</v>
      </c>
      <c r="L32" s="155">
        <v>0</v>
      </c>
      <c r="M32" s="29">
        <f t="shared" si="0"/>
        <v>1</v>
      </c>
      <c r="N32" s="1">
        <f t="shared" si="1"/>
        <v>1.2365959919080913</v>
      </c>
      <c r="O32" s="139" t="str">
        <f t="shared" si="2"/>
        <v>(3,2,1,1,1,3); yield at good installation, average is lower while optimum would be higher, basic uncertainty = 1.2</v>
      </c>
      <c r="P32" s="155">
        <v>0</v>
      </c>
      <c r="Q32" s="29">
        <f t="shared" si="3"/>
        <v>1</v>
      </c>
      <c r="R32" s="1">
        <f t="shared" si="4"/>
        <v>1.2365959919080913</v>
      </c>
      <c r="S32" s="139" t="str">
        <f t="shared" si="5"/>
        <v>(3,2,1,1,1,3); yield at good installation, average is lower while optimum would be higher, basic uncertainty = 1.2</v>
      </c>
      <c r="T32" s="155">
        <v>0</v>
      </c>
      <c r="U32" s="29">
        <f t="shared" si="6"/>
        <v>1</v>
      </c>
      <c r="V32" s="1">
        <f t="shared" si="7"/>
        <v>1.2365959919080913</v>
      </c>
      <c r="W32" s="139" t="str">
        <f t="shared" si="8"/>
        <v>(3,2,1,1,1,3); yield at good installation, average is lower while optimum would be higher, basic uncertainty = 1.2</v>
      </c>
      <c r="X32" s="155">
        <v>0</v>
      </c>
      <c r="Y32" s="29">
        <f t="shared" si="9"/>
        <v>1</v>
      </c>
      <c r="Z32" s="1">
        <f t="shared" si="10"/>
        <v>1.2365959919080913</v>
      </c>
      <c r="AA32" s="139" t="str">
        <f t="shared" si="11"/>
        <v>(3,2,1,1,1,3); yield at good installation, average is lower while optimum would be higher, basic uncertainty = 1.2</v>
      </c>
      <c r="AB32" s="155">
        <v>0</v>
      </c>
      <c r="AC32" s="29">
        <f t="shared" si="12"/>
        <v>1</v>
      </c>
      <c r="AD32" s="1">
        <f t="shared" si="13"/>
        <v>1.2365959919080913</v>
      </c>
      <c r="AE32" s="139" t="str">
        <f t="shared" si="14"/>
        <v>(3,2,1,1,1,3); yield at good installation, average is lower while optimum would be higher, basic uncertainty = 1.2</v>
      </c>
      <c r="AF32" s="155">
        <v>0</v>
      </c>
      <c r="AG32" s="29">
        <f t="shared" si="15"/>
        <v>1</v>
      </c>
      <c r="AH32" s="1">
        <f t="shared" si="16"/>
        <v>1.2365959919080913</v>
      </c>
      <c r="AI32" s="139" t="str">
        <f t="shared" si="17"/>
        <v>(3,2,1,1,1,3); yield at good installation, average is lower while optimum would be higher, basic uncertainty = 1.2</v>
      </c>
      <c r="AJ32" s="155">
        <v>0</v>
      </c>
      <c r="AK32" s="29">
        <f t="shared" si="18"/>
        <v>1</v>
      </c>
      <c r="AL32" s="1">
        <f t="shared" si="19"/>
        <v>1.2365959919080913</v>
      </c>
      <c r="AM32" s="31" t="str">
        <f t="shared" si="20"/>
        <v>(3,2,1,1,1,3); yield at good installation, average is lower while optimum would be higher, basic uncertainty = 1.2</v>
      </c>
      <c r="AN32" s="155">
        <v>0</v>
      </c>
      <c r="AO32" s="29">
        <f t="shared" si="21"/>
        <v>1</v>
      </c>
      <c r="AP32" s="1">
        <f t="shared" si="22"/>
        <v>1.2365959919080913</v>
      </c>
      <c r="AQ32" s="139" t="str">
        <f t="shared" si="23"/>
        <v>(3,2,1,1,1,3); yield at good installation, average is lower while optimum would be higher, basic uncertainty = 1.2</v>
      </c>
      <c r="AR32" s="155">
        <v>0</v>
      </c>
      <c r="AS32" s="29">
        <f t="shared" si="24"/>
        <v>1</v>
      </c>
      <c r="AT32" s="1">
        <f t="shared" si="25"/>
        <v>1.2365959919080913</v>
      </c>
      <c r="AU32" s="31" t="str">
        <f t="shared" si="26"/>
        <v>(3,2,1,1,1,3); yield at good installation, average is lower while optimum would be higher, basic uncertainty = 1.2</v>
      </c>
      <c r="AV32" s="155">
        <v>0</v>
      </c>
      <c r="AW32" s="29">
        <f t="shared" si="27"/>
        <v>1</v>
      </c>
      <c r="AX32" s="1">
        <f t="shared" si="28"/>
        <v>1.2365959919080913</v>
      </c>
      <c r="AY32" s="139" t="str">
        <f t="shared" si="29"/>
        <v>(3,2,1,1,1,3); yield at good installation, average is lower while optimum would be higher, basic uncertainty = 1.2</v>
      </c>
      <c r="AZ32" s="155">
        <v>0</v>
      </c>
      <c r="BA32" s="29">
        <f t="shared" si="30"/>
        <v>1</v>
      </c>
      <c r="BB32" s="1">
        <f t="shared" si="31"/>
        <v>1.2365959919080913</v>
      </c>
      <c r="BC32" s="139" t="str">
        <f t="shared" si="32"/>
        <v>(3,2,1,1,1,3); yield at good installation, average is lower while optimum would be higher, basic uncertainty = 1.2</v>
      </c>
      <c r="BD32" s="155">
        <v>0</v>
      </c>
      <c r="BE32" s="29">
        <f t="shared" si="33"/>
        <v>1</v>
      </c>
      <c r="BF32" s="1">
        <f t="shared" si="34"/>
        <v>1.2365959919080913</v>
      </c>
      <c r="BG32" s="139" t="str">
        <f t="shared" si="35"/>
        <v>(3,2,1,1,1,3); yield at good installation, average is lower while optimum would be higher, basic uncertainty = 1.2</v>
      </c>
      <c r="BH32" s="29">
        <f t="shared" si="36"/>
        <v>1</v>
      </c>
      <c r="BI32" s="1">
        <f t="shared" si="37"/>
        <v>1.2365959919080913</v>
      </c>
      <c r="BJ32" s="139" t="str">
        <f t="shared" si="38"/>
        <v>(3,2,1,1,1,3); yield at good installation, average is lower while optimum would be higher, basic uncertainty = 1.2</v>
      </c>
      <c r="BK32" s="155">
        <v>0</v>
      </c>
      <c r="BL32" s="29">
        <f t="shared" si="39"/>
        <v>1</v>
      </c>
      <c r="BM32" s="1">
        <f t="shared" si="40"/>
        <v>1.2365959919080913</v>
      </c>
      <c r="BN32" s="139" t="str">
        <f t="shared" si="41"/>
        <v>(3,2,1,1,1,3); yield at good installation, average is lower while optimum would be higher, basic uncertainty = 1.2</v>
      </c>
      <c r="BO32" s="155">
        <v>0</v>
      </c>
      <c r="BP32" s="29">
        <f t="shared" si="42"/>
        <v>1</v>
      </c>
      <c r="BQ32" s="1">
        <f t="shared" si="43"/>
        <v>1.2365959919080913</v>
      </c>
      <c r="BR32" s="139" t="str">
        <f t="shared" si="44"/>
        <v>(3,2,1,1,1,3); yield at good installation, average is lower while optimum would be higher, basic uncertainty = 1.2</v>
      </c>
      <c r="BS32" s="155">
        <v>0</v>
      </c>
      <c r="BT32" s="29">
        <f t="shared" si="45"/>
        <v>1</v>
      </c>
      <c r="BU32" s="1">
        <f t="shared" si="46"/>
        <v>1.2365959919080913</v>
      </c>
      <c r="BV32" s="139" t="str">
        <f t="shared" si="47"/>
        <v>(3,2,1,1,1,3); yield at good installation, average is lower while optimum would be higher, basic uncertainty = 1.2</v>
      </c>
      <c r="BW32" s="155">
        <v>0</v>
      </c>
      <c r="BX32" s="29">
        <f t="shared" si="48"/>
        <v>1</v>
      </c>
      <c r="BY32" s="1">
        <f t="shared" si="49"/>
        <v>1.2365959919080913</v>
      </c>
      <c r="BZ32" s="31" t="str">
        <f t="shared" si="85"/>
        <v>(3,2,1,1,1,3); yield at good installation, average is lower while optimum would be higher, basic uncertainty = 1.2</v>
      </c>
      <c r="CA32" s="155">
        <f>AR32</f>
        <v>0</v>
      </c>
      <c r="CB32" s="29">
        <f t="shared" si="50"/>
        <v>1</v>
      </c>
      <c r="CC32" s="1">
        <f t="shared" si="51"/>
        <v>1.2365959919080913</v>
      </c>
      <c r="CD32" s="139" t="str">
        <f t="shared" si="63"/>
        <v>(3,2,1,1,1,3); yield at good installation, average is lower while optimum would be higher, basic uncertainty = 1.2</v>
      </c>
      <c r="CE32" s="155">
        <f>AV32</f>
        <v>0</v>
      </c>
      <c r="CF32" s="29">
        <f t="shared" si="52"/>
        <v>1</v>
      </c>
      <c r="CG32" s="1">
        <f t="shared" si="53"/>
        <v>1.2365959919080913</v>
      </c>
      <c r="CH32" s="139" t="str">
        <f t="shared" si="64"/>
        <v>(3,2,1,1,1,3); yield at good installation, average is lower while optimum would be higher, basic uncertainty = 1.2</v>
      </c>
      <c r="CI32" s="155">
        <f>AJ32</f>
        <v>0</v>
      </c>
      <c r="CJ32" s="29">
        <f t="shared" si="54"/>
        <v>1</v>
      </c>
      <c r="CK32" s="1">
        <f t="shared" si="55"/>
        <v>1.2365959919080913</v>
      </c>
      <c r="CL32" s="139" t="str">
        <f t="shared" si="65"/>
        <v>(3,2,1,1,1,3); yield at good installation, average is lower while optimum would be higher, basic uncertainty = 1.2</v>
      </c>
      <c r="CM32" s="155" t="e">
        <f>AN22</f>
        <v>#REF!</v>
      </c>
      <c r="CN32" s="29">
        <f t="shared" si="56"/>
        <v>1</v>
      </c>
      <c r="CO32" s="1">
        <f t="shared" si="57"/>
        <v>1.2365959919080913</v>
      </c>
      <c r="CP32" s="139" t="str">
        <f t="shared" si="66"/>
        <v>(3,2,1,1,1,3); yield at good installation, average is lower while optimum would be higher, basic uncertainty = 1.2</v>
      </c>
      <c r="CQ32" s="155">
        <f>BK32</f>
        <v>0</v>
      </c>
      <c r="CR32" s="29">
        <f t="shared" si="58"/>
        <v>1</v>
      </c>
      <c r="CS32" s="1">
        <f t="shared" si="59"/>
        <v>1.2365959919080913</v>
      </c>
      <c r="CT32" s="139" t="str">
        <f t="shared" si="67"/>
        <v>(3,2,1,1,1,3); yield at good installation, average is lower while optimum would be higher, basic uncertainty = 1.2</v>
      </c>
      <c r="CU32" s="155">
        <f t="shared" si="84"/>
        <v>0</v>
      </c>
      <c r="CV32" s="29">
        <f t="shared" si="60"/>
        <v>1</v>
      </c>
      <c r="CW32" s="1">
        <f t="shared" si="61"/>
        <v>1.2365959919080913</v>
      </c>
      <c r="CX32" s="139" t="str">
        <f t="shared" si="68"/>
        <v>(3,2,1,1,1,3); yield at good installation, average is lower while optimum would be higher, basic uncertainty = 1.2</v>
      </c>
      <c r="CY32" s="155" t="e">
        <f>1/(#REF!*3*lifetime)*DC32</f>
        <v>#REF!</v>
      </c>
      <c r="CZ32" s="29">
        <v>1</v>
      </c>
      <c r="DA32" s="1">
        <f t="shared" si="69"/>
        <v>1.2365959919080913</v>
      </c>
      <c r="DB32" s="31" t="str">
        <f t="shared" si="86"/>
        <v>(3,2,1,1,1,3); average yield, estimation for share of technologies. Basic uncertainty = 1.2</v>
      </c>
      <c r="DC32" s="287">
        <v>0</v>
      </c>
      <c r="DD32" s="289" t="e">
        <f>#REF!</f>
        <v>#REF!</v>
      </c>
      <c r="DE32" s="287" t="e">
        <f>#REF!</f>
        <v>#REF!</v>
      </c>
      <c r="DF32" s="115" t="str">
        <f t="shared" si="81"/>
        <v>yield at good installation, average is lower while optimum would be higher, basic uncertainty = 1.2</v>
      </c>
      <c r="DG32" s="10">
        <f t="shared" si="82"/>
        <v>3</v>
      </c>
      <c r="DH32" s="50">
        <v>2</v>
      </c>
      <c r="DI32" s="50">
        <v>1</v>
      </c>
      <c r="DJ32" s="50">
        <v>1</v>
      </c>
      <c r="DK32" s="50">
        <v>1</v>
      </c>
      <c r="DL32" s="50">
        <v>3</v>
      </c>
      <c r="DM32" s="50">
        <f>IF(OR($D32="4",$E32="4"),INDEX([14]NamesElementary!$J$1:$J$65536,MATCH($A32,[14]NamesElementary!$A$1:$A$65536,0),1),INDEX([14]Names!$W$1:$W$65602,MATCH($A32,[14]Names!$F$1:$F$65602,0),1))</f>
        <v>9</v>
      </c>
      <c r="DN32" s="312">
        <f t="shared" si="83"/>
        <v>1.2</v>
      </c>
      <c r="DO32" s="87">
        <f t="shared" si="87"/>
        <v>1.1150377561073679</v>
      </c>
      <c r="DP32" s="88">
        <f t="shared" si="88"/>
        <v>1.2365959919080913</v>
      </c>
      <c r="DQ32" s="89" t="str">
        <f t="shared" si="89"/>
        <v>(3,2,1,1,1,3)</v>
      </c>
      <c r="DS32" s="52">
        <f>IF(DG32=1,'[14]SDG^2 values'!$B$4,IF(DG32=2,'[14]SDG^2 values'!$C$4,IF(DG32=3,'[14]SDG^2 values'!$D$4,IF(DG32=4,'[14]SDG^2 values'!$E$4,IF(DG32=5,'[14]SDG^2 values'!$F$4,1)))))</f>
        <v>1.1000000000000001</v>
      </c>
      <c r="DT32" s="52">
        <f>IF(DH32=1,'[14]SDG^2 values'!$B$5,IF(DH32=2,'[14]SDG^2 values'!$C$5,IF(DH32=3,'[14]SDG^2 values'!$D$5,IF(DH32=4,'[14]SDG^2 values'!$E$5,IF(DH32=5,'[14]SDG^2 values'!$F$5,1)))))</f>
        <v>1.02</v>
      </c>
      <c r="DU32" s="52">
        <f>IF(DI32=1,'[14]SDG^2 values'!$B$6,IF(DI32=2,'[14]SDG^2 values'!$C$6,IF(DI32=3,'[14]SDG^2 values'!$D$6,IF(DI32=4,'[14]SDG^2 values'!$E$6,IF(DI32=5,'[14]SDG^2 values'!$F$6,1)))))</f>
        <v>1</v>
      </c>
      <c r="DV32" s="52">
        <f>IF(DJ32=1,'[14]SDG^2 values'!$B$7,IF(DJ32=2,'[14]SDG^2 values'!$C$7,IF(DJ32=3,'[14]SDG^2 values'!$D$7,IF(DJ32=4,'[14]SDG^2 values'!$E$7,IF(DJ32=5,'[14]SDG^2 values'!$F$7,1)))))</f>
        <v>1</v>
      </c>
      <c r="DW32" s="52">
        <f>IF(DK32=1,'[14]SDG^2 values'!$B$8,IF(DK32=2,'[14]SDG^2 values'!$C$8,IF(DK32=3,'[14]SDG^2 values'!$D$8,IF(DK32=4,'[14]SDG^2 values'!$E$8,IF(DK32=5,'[14]SDG^2 values'!$F$8,1)))))</f>
        <v>1</v>
      </c>
      <c r="DX32" s="52">
        <f>IF(DL32=1,'[14]SDG^2 values'!$B$9,IF(DL32=2,'[14]SDG^2 values'!$C$9,IF(DL32=3,'[14]SDG^2 values'!$D$9,IF(DL32=4,'[14]SDG^2 values'!$E$9,IF(DL32=5,'[14]SDG^2 values'!$F$9,1)))))</f>
        <v>1.05</v>
      </c>
    </row>
    <row r="33" spans="1:128" ht="36" customHeight="1">
      <c r="A33" s="478" t="s">
        <v>811</v>
      </c>
      <c r="B33" s="168" t="s">
        <v>525</v>
      </c>
      <c r="C33" s="151"/>
      <c r="D33" s="152" t="s">
        <v>526</v>
      </c>
      <c r="E33" s="153" t="s">
        <v>402</v>
      </c>
      <c r="F33" s="144" t="str">
        <f>IF(OR(D33="4",E33="4"),INDEX([14]NamesElementary!$B$1:$B$65536,MATCH(A33,[14]NamesElementary!$A$1:$A$65536,0),1),INDEX([14]Names!$J$1:$J$65602,MATCH(A33,[14]Names!$F$1:$F$65602,0),1))</f>
        <v>3kWp slanted-roof installation, multi-Si, European laminate, integrated, on roof</v>
      </c>
      <c r="G33" s="125" t="str">
        <f>IF(OR(D33="4",E33="4"),"-",INDEX([14]Names!$K$1:$K$65602,MATCH(A33,[14]Names!$F$1:$F$65602,0),1))</f>
        <v>CH</v>
      </c>
      <c r="H33" s="154" t="str">
        <f>IF(OR(D33="4",E33="4"),INDEX([14]NamesElementary!$D$1:$D$65536,MATCH($A33,[14]NamesElementary!$A$1:$A$65536,0),1),"-")</f>
        <v>-</v>
      </c>
      <c r="I33" s="123" t="str">
        <f>IF(OR(D33="4",E33="4"),INDEX([14]NamesElementary!$E$1:$E$65536,MATCH($A33,[14]NamesElementary!$A$1:$A$65536,0),1),"-")</f>
        <v>-</v>
      </c>
      <c r="J33" s="124">
        <f>IF(OR(D33="4",E33="4"),"-",INDEX([14]Names!$N$1:$N$65602,MATCH(A33,[14]Names!$F$1:$F$65602,0),1))</f>
        <v>1</v>
      </c>
      <c r="K33" s="125" t="str">
        <f>IF(OR(D33="4",E33="4"),INDEX([14]NamesElementary!$G$1:$G$65536,MATCH(A33,[14]NamesElementary!$A$1:$A$65536,0),1),INDEX([14]Names!$O$1:$O$65602,MATCH(A33,[14]Names!$F$1:$F$65602,0),1))</f>
        <v>unit</v>
      </c>
      <c r="L33" s="155">
        <v>0</v>
      </c>
      <c r="M33" s="29">
        <f t="shared" si="0"/>
        <v>1</v>
      </c>
      <c r="N33" s="1">
        <f t="shared" si="1"/>
        <v>1.2365959919080913</v>
      </c>
      <c r="O33" s="139" t="str">
        <f t="shared" si="2"/>
        <v>(3,2,1,1,1,3); yield at good installation, average is lower while optimum would be higher, basic uncertainty = 1.2</v>
      </c>
      <c r="P33" s="155">
        <v>0</v>
      </c>
      <c r="Q33" s="29">
        <f t="shared" si="3"/>
        <v>1</v>
      </c>
      <c r="R33" s="1">
        <f t="shared" si="4"/>
        <v>1.2365959919080913</v>
      </c>
      <c r="S33" s="139" t="str">
        <f t="shared" si="5"/>
        <v>(3,2,1,1,1,3); yield at good installation, average is lower while optimum would be higher, basic uncertainty = 1.2</v>
      </c>
      <c r="T33" s="155">
        <v>0</v>
      </c>
      <c r="U33" s="29">
        <f t="shared" si="6"/>
        <v>1</v>
      </c>
      <c r="V33" s="1">
        <f t="shared" si="7"/>
        <v>1.2365959919080913</v>
      </c>
      <c r="W33" s="139" t="str">
        <f t="shared" si="8"/>
        <v>(3,2,1,1,1,3); yield at good installation, average is lower while optimum would be higher, basic uncertainty = 1.2</v>
      </c>
      <c r="X33" s="155">
        <v>0</v>
      </c>
      <c r="Y33" s="29">
        <f t="shared" si="9"/>
        <v>1</v>
      </c>
      <c r="Z33" s="1">
        <f t="shared" si="10"/>
        <v>1.2365959919080913</v>
      </c>
      <c r="AA33" s="139" t="str">
        <f t="shared" si="11"/>
        <v>(3,2,1,1,1,3); yield at good installation, average is lower while optimum would be higher, basic uncertainty = 1.2</v>
      </c>
      <c r="AB33" s="155">
        <v>0</v>
      </c>
      <c r="AC33" s="29">
        <f t="shared" si="12"/>
        <v>1</v>
      </c>
      <c r="AD33" s="1">
        <f t="shared" si="13"/>
        <v>1.2365959919080913</v>
      </c>
      <c r="AE33" s="139" t="str">
        <f t="shared" si="14"/>
        <v>(3,2,1,1,1,3); yield at good installation, average is lower while optimum would be higher, basic uncertainty = 1.2</v>
      </c>
      <c r="AF33" s="155">
        <v>0</v>
      </c>
      <c r="AG33" s="29">
        <f t="shared" si="15"/>
        <v>1</v>
      </c>
      <c r="AH33" s="1">
        <f t="shared" si="16"/>
        <v>1.2365959919080913</v>
      </c>
      <c r="AI33" s="139" t="str">
        <f t="shared" si="17"/>
        <v>(3,2,1,1,1,3); yield at good installation, average is lower while optimum would be higher, basic uncertainty = 1.2</v>
      </c>
      <c r="AJ33" s="155">
        <v>0</v>
      </c>
      <c r="AK33" s="29">
        <f t="shared" si="18"/>
        <v>1</v>
      </c>
      <c r="AL33" s="1">
        <f t="shared" si="19"/>
        <v>1.2365959919080913</v>
      </c>
      <c r="AM33" s="31" t="str">
        <f t="shared" si="20"/>
        <v>(3,2,1,1,1,3); yield at good installation, average is lower while optimum would be higher, basic uncertainty = 1.2</v>
      </c>
      <c r="AN33" s="155">
        <v>0</v>
      </c>
      <c r="AO33" s="29">
        <f t="shared" si="21"/>
        <v>1</v>
      </c>
      <c r="AP33" s="1">
        <f t="shared" si="22"/>
        <v>1.2365959919080913</v>
      </c>
      <c r="AQ33" s="139" t="str">
        <f t="shared" si="23"/>
        <v>(3,2,1,1,1,3); yield at good installation, average is lower while optimum would be higher, basic uncertainty = 1.2</v>
      </c>
      <c r="AR33" s="155">
        <v>0</v>
      </c>
      <c r="AS33" s="29">
        <f t="shared" si="24"/>
        <v>1</v>
      </c>
      <c r="AT33" s="1">
        <f t="shared" si="25"/>
        <v>1.2365959919080913</v>
      </c>
      <c r="AU33" s="31" t="str">
        <f t="shared" si="26"/>
        <v>(3,2,1,1,1,3); yield at good installation, average is lower while optimum would be higher, basic uncertainty = 1.2</v>
      </c>
      <c r="AV33" s="155">
        <v>0</v>
      </c>
      <c r="AW33" s="29">
        <f t="shared" si="27"/>
        <v>1</v>
      </c>
      <c r="AX33" s="1">
        <f t="shared" si="28"/>
        <v>1.2365959919080913</v>
      </c>
      <c r="AY33" s="139" t="str">
        <f t="shared" si="29"/>
        <v>(3,2,1,1,1,3); yield at good installation, average is lower while optimum would be higher, basic uncertainty = 1.2</v>
      </c>
      <c r="AZ33" s="155">
        <v>0</v>
      </c>
      <c r="BA33" s="29">
        <f t="shared" si="30"/>
        <v>1</v>
      </c>
      <c r="BB33" s="1">
        <f t="shared" si="31"/>
        <v>1.2365959919080913</v>
      </c>
      <c r="BC33" s="139" t="str">
        <f t="shared" si="32"/>
        <v>(3,2,1,1,1,3); yield at good installation, average is lower while optimum would be higher, basic uncertainty = 1.2</v>
      </c>
      <c r="BD33" s="155">
        <v>0</v>
      </c>
      <c r="BE33" s="29">
        <f t="shared" si="33"/>
        <v>1</v>
      </c>
      <c r="BF33" s="1">
        <f t="shared" si="34"/>
        <v>1.2365959919080913</v>
      </c>
      <c r="BG33" s="139" t="str">
        <f t="shared" si="35"/>
        <v>(3,2,1,1,1,3); yield at good installation, average is lower while optimum would be higher, basic uncertainty = 1.2</v>
      </c>
      <c r="BH33" s="29">
        <f t="shared" si="36"/>
        <v>1</v>
      </c>
      <c r="BI33" s="1">
        <f t="shared" si="37"/>
        <v>1.2365959919080913</v>
      </c>
      <c r="BJ33" s="139" t="str">
        <f t="shared" si="38"/>
        <v>(3,2,1,1,1,3); yield at good installation, average is lower while optimum would be higher, basic uncertainty = 1.2</v>
      </c>
      <c r="BK33" s="155">
        <v>0</v>
      </c>
      <c r="BL33" s="29">
        <f t="shared" si="39"/>
        <v>1</v>
      </c>
      <c r="BM33" s="1">
        <f t="shared" si="40"/>
        <v>1.2365959919080913</v>
      </c>
      <c r="BN33" s="139" t="str">
        <f t="shared" si="41"/>
        <v>(3,2,1,1,1,3); yield at good installation, average is lower while optimum would be higher, basic uncertainty = 1.2</v>
      </c>
      <c r="BO33" s="155">
        <v>0</v>
      </c>
      <c r="BP33" s="29">
        <f t="shared" si="42"/>
        <v>1</v>
      </c>
      <c r="BQ33" s="1">
        <f t="shared" si="43"/>
        <v>1.2365959919080913</v>
      </c>
      <c r="BR33" s="139" t="str">
        <f t="shared" si="44"/>
        <v>(3,2,1,1,1,3); yield at good installation, average is lower while optimum would be higher, basic uncertainty = 1.2</v>
      </c>
      <c r="BS33" s="155">
        <v>0</v>
      </c>
      <c r="BT33" s="29">
        <f t="shared" si="45"/>
        <v>1</v>
      </c>
      <c r="BU33" s="1">
        <f t="shared" si="46"/>
        <v>1.2365959919080913</v>
      </c>
      <c r="BV33" s="139" t="str">
        <f t="shared" si="47"/>
        <v>(3,2,1,1,1,3); yield at good installation, average is lower while optimum would be higher, basic uncertainty = 1.2</v>
      </c>
      <c r="BW33" s="155">
        <v>0</v>
      </c>
      <c r="BX33" s="29">
        <f t="shared" si="48"/>
        <v>1</v>
      </c>
      <c r="BY33" s="1">
        <f t="shared" si="49"/>
        <v>1.2365959919080913</v>
      </c>
      <c r="BZ33" s="31" t="str">
        <f t="shared" si="85"/>
        <v>(3,2,1,1,1,3); yield at good installation, average is lower while optimum would be higher, basic uncertainty = 1.2</v>
      </c>
      <c r="CA33" s="155" t="e">
        <f>AR23</f>
        <v>#REF!</v>
      </c>
      <c r="CB33" s="29">
        <f t="shared" si="50"/>
        <v>1</v>
      </c>
      <c r="CC33" s="1">
        <f t="shared" si="51"/>
        <v>1.2365959919080913</v>
      </c>
      <c r="CD33" s="139" t="str">
        <f t="shared" si="63"/>
        <v>(3,2,1,1,1,3); yield at good installation, average is lower while optimum would be higher, basic uncertainty = 1.2</v>
      </c>
      <c r="CE33" s="155">
        <f>AV33</f>
        <v>0</v>
      </c>
      <c r="CF33" s="29">
        <f t="shared" si="52"/>
        <v>1</v>
      </c>
      <c r="CG33" s="1">
        <f t="shared" si="53"/>
        <v>1.2365959919080913</v>
      </c>
      <c r="CH33" s="139" t="str">
        <f t="shared" si="64"/>
        <v>(3,2,1,1,1,3); yield at good installation, average is lower while optimum would be higher, basic uncertainty = 1.2</v>
      </c>
      <c r="CI33" s="155">
        <f>AJ33</f>
        <v>0</v>
      </c>
      <c r="CJ33" s="29">
        <f t="shared" si="54"/>
        <v>1</v>
      </c>
      <c r="CK33" s="1">
        <f t="shared" si="55"/>
        <v>1.2365959919080913</v>
      </c>
      <c r="CL33" s="139" t="str">
        <f t="shared" si="65"/>
        <v>(3,2,1,1,1,3); yield at good installation, average is lower while optimum would be higher, basic uncertainty = 1.2</v>
      </c>
      <c r="CM33" s="155">
        <f>AN33</f>
        <v>0</v>
      </c>
      <c r="CN33" s="29">
        <f t="shared" si="56"/>
        <v>1</v>
      </c>
      <c r="CO33" s="1">
        <f t="shared" si="57"/>
        <v>1.2365959919080913</v>
      </c>
      <c r="CP33" s="139" t="str">
        <f t="shared" si="66"/>
        <v>(3,2,1,1,1,3); yield at good installation, average is lower while optimum would be higher, basic uncertainty = 1.2</v>
      </c>
      <c r="CQ33" s="155">
        <f>BK33</f>
        <v>0</v>
      </c>
      <c r="CR33" s="29">
        <f t="shared" si="58"/>
        <v>1</v>
      </c>
      <c r="CS33" s="1">
        <f t="shared" si="59"/>
        <v>1.2365959919080913</v>
      </c>
      <c r="CT33" s="139" t="str">
        <f t="shared" si="67"/>
        <v>(3,2,1,1,1,3); yield at good installation, average is lower while optimum would be higher, basic uncertainty = 1.2</v>
      </c>
      <c r="CU33" s="155">
        <f t="shared" si="84"/>
        <v>0</v>
      </c>
      <c r="CV33" s="29">
        <f t="shared" si="60"/>
        <v>1</v>
      </c>
      <c r="CW33" s="1">
        <f t="shared" si="61"/>
        <v>1.2365959919080913</v>
      </c>
      <c r="CX33" s="139" t="str">
        <f t="shared" si="68"/>
        <v>(3,2,1,1,1,3); yield at good installation, average is lower while optimum would be higher, basic uncertainty = 1.2</v>
      </c>
      <c r="CY33" s="155" t="e">
        <f>1/(#REF!*3*lifetime)*DC33</f>
        <v>#REF!</v>
      </c>
      <c r="CZ33" s="29">
        <v>1</v>
      </c>
      <c r="DA33" s="1">
        <f t="shared" si="69"/>
        <v>1.2365959919080913</v>
      </c>
      <c r="DB33" s="31" t="str">
        <f t="shared" si="86"/>
        <v>(3,2,1,1,1,3); average yield, estimation for share of technologies. Basic uncertainty = 1.2</v>
      </c>
      <c r="DC33" s="287">
        <v>0</v>
      </c>
      <c r="DD33" s="289" t="e">
        <f>#REF!</f>
        <v>#REF!</v>
      </c>
      <c r="DE33" s="287" t="e">
        <f>#REF!</f>
        <v>#REF!</v>
      </c>
      <c r="DF33" s="115" t="str">
        <f t="shared" si="81"/>
        <v>yield at good installation, average is lower while optimum would be higher, basic uncertainty = 1.2</v>
      </c>
      <c r="DG33" s="10">
        <f t="shared" si="82"/>
        <v>3</v>
      </c>
      <c r="DH33" s="50">
        <v>2</v>
      </c>
      <c r="DI33" s="50">
        <v>1</v>
      </c>
      <c r="DJ33" s="50">
        <v>1</v>
      </c>
      <c r="DK33" s="50">
        <v>1</v>
      </c>
      <c r="DL33" s="50">
        <v>3</v>
      </c>
      <c r="DM33" s="50">
        <f>IF(OR($D33="4",$E33="4"),INDEX([14]NamesElementary!$J$1:$J$65536,MATCH($A33,[14]NamesElementary!$A$1:$A$65536,0),1),INDEX([14]Names!$W$1:$W$65602,MATCH($A33,[14]Names!$F$1:$F$65602,0),1))</f>
        <v>9</v>
      </c>
      <c r="DN33" s="312">
        <f t="shared" si="83"/>
        <v>1.2</v>
      </c>
      <c r="DO33" s="87">
        <f t="shared" si="87"/>
        <v>1.1150377561073679</v>
      </c>
      <c r="DP33" s="88">
        <f t="shared" si="88"/>
        <v>1.2365959919080913</v>
      </c>
      <c r="DQ33" s="89" t="str">
        <f t="shared" si="89"/>
        <v>(3,2,1,1,1,3)</v>
      </c>
      <c r="DS33" s="52">
        <f>IF(DG33=1,'[14]SDG^2 values'!$B$4,IF(DG33=2,'[14]SDG^2 values'!$C$4,IF(DG33=3,'[14]SDG^2 values'!$D$4,IF(DG33=4,'[14]SDG^2 values'!$E$4,IF(DG33=5,'[14]SDG^2 values'!$F$4,1)))))</f>
        <v>1.1000000000000001</v>
      </c>
      <c r="DT33" s="52">
        <f>IF(DH33=1,'[14]SDG^2 values'!$B$5,IF(DH33=2,'[14]SDG^2 values'!$C$5,IF(DH33=3,'[14]SDG^2 values'!$D$5,IF(DH33=4,'[14]SDG^2 values'!$E$5,IF(DH33=5,'[14]SDG^2 values'!$F$5,1)))))</f>
        <v>1.02</v>
      </c>
      <c r="DU33" s="52">
        <f>IF(DI33=1,'[14]SDG^2 values'!$B$6,IF(DI33=2,'[14]SDG^2 values'!$C$6,IF(DI33=3,'[14]SDG^2 values'!$D$6,IF(DI33=4,'[14]SDG^2 values'!$E$6,IF(DI33=5,'[14]SDG^2 values'!$F$6,1)))))</f>
        <v>1</v>
      </c>
      <c r="DV33" s="52">
        <f>IF(DJ33=1,'[14]SDG^2 values'!$B$7,IF(DJ33=2,'[14]SDG^2 values'!$C$7,IF(DJ33=3,'[14]SDG^2 values'!$D$7,IF(DJ33=4,'[14]SDG^2 values'!$E$7,IF(DJ33=5,'[14]SDG^2 values'!$F$7,1)))))</f>
        <v>1</v>
      </c>
      <c r="DW33" s="52">
        <f>IF(DK33=1,'[14]SDG^2 values'!$B$8,IF(DK33=2,'[14]SDG^2 values'!$C$8,IF(DK33=3,'[14]SDG^2 values'!$D$8,IF(DK33=4,'[14]SDG^2 values'!$E$8,IF(DK33=5,'[14]SDG^2 values'!$F$8,1)))))</f>
        <v>1</v>
      </c>
      <c r="DX33" s="52">
        <f>IF(DL33=1,'[14]SDG^2 values'!$B$9,IF(DL33=2,'[14]SDG^2 values'!$C$9,IF(DL33=3,'[14]SDG^2 values'!$D$9,IF(DL33=4,'[14]SDG^2 values'!$E$9,IF(DL33=5,'[14]SDG^2 values'!$F$9,1)))))</f>
        <v>1.05</v>
      </c>
    </row>
    <row r="34" spans="1:128" ht="18" customHeight="1" outlineLevel="1">
      <c r="A34" s="478" t="s">
        <v>812</v>
      </c>
      <c r="B34" s="168" t="s">
        <v>525</v>
      </c>
      <c r="C34" s="151"/>
      <c r="D34" s="152" t="s">
        <v>526</v>
      </c>
      <c r="E34" s="153" t="s">
        <v>402</v>
      </c>
      <c r="F34" s="144" t="str">
        <f>IF(OR(D34="4",E34="4"),INDEX([14]NamesElementary!$B$1:$B$65536,MATCH(A34,[14]NamesElementary!$A$1:$A$65536,0),1),INDEX([14]Names!$J$1:$J$65602,MATCH(A34,[14]Names!$F$1:$F$65602,0),1))</f>
        <v>3kWp slanted-roof installation, multi-Si, European panel, mounted, on roof</v>
      </c>
      <c r="G34" s="125" t="str">
        <f>IF(OR(D34="4",E34="4"),"-",INDEX([14]Names!$K$1:$K$65602,MATCH(A34,[14]Names!$F$1:$F$65602,0),1))</f>
        <v>CH</v>
      </c>
      <c r="H34" s="154" t="str">
        <f>IF(OR(D34="4",E34="4"),INDEX([14]NamesElementary!$D$1:$D$65536,MATCH($A34,[14]NamesElementary!$A$1:$A$65536,0),1),"-")</f>
        <v>-</v>
      </c>
      <c r="I34" s="123" t="str">
        <f>IF(OR(D34="4",E34="4"),INDEX([14]NamesElementary!$E$1:$E$65536,MATCH($A34,[14]NamesElementary!$A$1:$A$65536,0),1),"-")</f>
        <v>-</v>
      </c>
      <c r="J34" s="124">
        <f>IF(OR(D34="4",E34="4"),"-",INDEX([14]Names!$N$1:$N$65602,MATCH(A34,[14]Names!$F$1:$F$65602,0),1))</f>
        <v>1</v>
      </c>
      <c r="K34" s="125" t="str">
        <f>IF(OR(D34="4",E34="4"),INDEX([14]NamesElementary!$G$1:$G$65536,MATCH(A34,[14]NamesElementary!$A$1:$A$65536,0),1),INDEX([14]Names!$O$1:$O$65602,MATCH(A34,[14]Names!$F$1:$F$65602,0),1))</f>
        <v>unit</v>
      </c>
      <c r="L34" s="155">
        <v>0</v>
      </c>
      <c r="M34" s="29">
        <f t="shared" si="0"/>
        <v>1</v>
      </c>
      <c r="N34" s="1">
        <f t="shared" si="1"/>
        <v>1.2365959919080913</v>
      </c>
      <c r="O34" s="139" t="str">
        <f t="shared" si="2"/>
        <v>(3,2,1,1,1,3); yield at good installation, average is lower while optimum would be higher, basic uncertainty = 1.2</v>
      </c>
      <c r="P34" s="155">
        <v>0</v>
      </c>
      <c r="Q34" s="29">
        <f t="shared" si="3"/>
        <v>1</v>
      </c>
      <c r="R34" s="1">
        <f t="shared" si="4"/>
        <v>1.2365959919080913</v>
      </c>
      <c r="S34" s="139" t="str">
        <f t="shared" si="5"/>
        <v>(3,2,1,1,1,3); yield at good installation, average is lower while optimum would be higher, basic uncertainty = 1.2</v>
      </c>
      <c r="T34" s="155">
        <v>0</v>
      </c>
      <c r="U34" s="29">
        <f t="shared" si="6"/>
        <v>1</v>
      </c>
      <c r="V34" s="1">
        <f t="shared" si="7"/>
        <v>1.2365959919080913</v>
      </c>
      <c r="W34" s="139" t="str">
        <f t="shared" si="8"/>
        <v>(3,2,1,1,1,3); yield at good installation, average is lower while optimum would be higher, basic uncertainty = 1.2</v>
      </c>
      <c r="X34" s="155">
        <v>0</v>
      </c>
      <c r="Y34" s="29">
        <f t="shared" si="9"/>
        <v>1</v>
      </c>
      <c r="Z34" s="1">
        <f t="shared" si="10"/>
        <v>1.2365959919080913</v>
      </c>
      <c r="AA34" s="139" t="str">
        <f t="shared" si="11"/>
        <v>(3,2,1,1,1,3); yield at good installation, average is lower while optimum would be higher, basic uncertainty = 1.2</v>
      </c>
      <c r="AB34" s="155">
        <v>0</v>
      </c>
      <c r="AC34" s="29">
        <f t="shared" si="12"/>
        <v>1</v>
      </c>
      <c r="AD34" s="1">
        <f t="shared" si="13"/>
        <v>1.2365959919080913</v>
      </c>
      <c r="AE34" s="139" t="str">
        <f t="shared" si="14"/>
        <v>(3,2,1,1,1,3); yield at good installation, average is lower while optimum would be higher, basic uncertainty = 1.2</v>
      </c>
      <c r="AF34" s="155">
        <v>0</v>
      </c>
      <c r="AG34" s="29">
        <f t="shared" si="15"/>
        <v>1</v>
      </c>
      <c r="AH34" s="1">
        <f t="shared" si="16"/>
        <v>1.2365959919080913</v>
      </c>
      <c r="AI34" s="139" t="str">
        <f t="shared" si="17"/>
        <v>(3,2,1,1,1,3); yield at good installation, average is lower while optimum would be higher, basic uncertainty = 1.2</v>
      </c>
      <c r="AJ34" s="155">
        <v>0</v>
      </c>
      <c r="AK34" s="29">
        <f t="shared" si="18"/>
        <v>1</v>
      </c>
      <c r="AL34" s="1">
        <f t="shared" si="19"/>
        <v>1.2365959919080913</v>
      </c>
      <c r="AM34" s="31" t="str">
        <f t="shared" si="20"/>
        <v>(3,2,1,1,1,3); yield at good installation, average is lower while optimum would be higher, basic uncertainty = 1.2</v>
      </c>
      <c r="AN34" s="155">
        <v>0</v>
      </c>
      <c r="AO34" s="29">
        <f t="shared" si="21"/>
        <v>1</v>
      </c>
      <c r="AP34" s="1">
        <f t="shared" si="22"/>
        <v>1.2365959919080913</v>
      </c>
      <c r="AQ34" s="139" t="str">
        <f t="shared" si="23"/>
        <v>(3,2,1,1,1,3); yield at good installation, average is lower while optimum would be higher, basic uncertainty = 1.2</v>
      </c>
      <c r="AR34" s="155">
        <v>0</v>
      </c>
      <c r="AS34" s="29">
        <f t="shared" si="24"/>
        <v>1</v>
      </c>
      <c r="AT34" s="1">
        <f t="shared" si="25"/>
        <v>1.2365959919080913</v>
      </c>
      <c r="AU34" s="31" t="str">
        <f t="shared" si="26"/>
        <v>(3,2,1,1,1,3); yield at good installation, average is lower while optimum would be higher, basic uncertainty = 1.2</v>
      </c>
      <c r="AV34" s="155">
        <v>0</v>
      </c>
      <c r="AW34" s="29">
        <f t="shared" si="27"/>
        <v>1</v>
      </c>
      <c r="AX34" s="1">
        <f t="shared" si="28"/>
        <v>1.2365959919080913</v>
      </c>
      <c r="AY34" s="139" t="str">
        <f t="shared" si="29"/>
        <v>(3,2,1,1,1,3); yield at good installation, average is lower while optimum would be higher, basic uncertainty = 1.2</v>
      </c>
      <c r="AZ34" s="155">
        <v>0</v>
      </c>
      <c r="BA34" s="29">
        <f t="shared" si="30"/>
        <v>1</v>
      </c>
      <c r="BB34" s="1">
        <f t="shared" si="31"/>
        <v>1.2365959919080913</v>
      </c>
      <c r="BC34" s="139" t="str">
        <f t="shared" si="32"/>
        <v>(3,2,1,1,1,3); yield at good installation, average is lower while optimum would be higher, basic uncertainty = 1.2</v>
      </c>
      <c r="BD34" s="155">
        <v>0</v>
      </c>
      <c r="BE34" s="29">
        <f t="shared" si="33"/>
        <v>1</v>
      </c>
      <c r="BF34" s="1">
        <f t="shared" si="34"/>
        <v>1.2365959919080913</v>
      </c>
      <c r="BG34" s="139" t="str">
        <f t="shared" si="35"/>
        <v>(3,2,1,1,1,3); yield at good installation, average is lower while optimum would be higher, basic uncertainty = 1.2</v>
      </c>
      <c r="BH34" s="29">
        <f t="shared" si="36"/>
        <v>1</v>
      </c>
      <c r="BI34" s="1">
        <f t="shared" si="37"/>
        <v>1.2365959919080913</v>
      </c>
      <c r="BJ34" s="139" t="str">
        <f t="shared" si="38"/>
        <v>(3,2,1,1,1,3); yield at good installation, average is lower while optimum would be higher, basic uncertainty = 1.2</v>
      </c>
      <c r="BK34" s="155">
        <v>0</v>
      </c>
      <c r="BL34" s="29">
        <f t="shared" si="39"/>
        <v>1</v>
      </c>
      <c r="BM34" s="1">
        <f t="shared" si="40"/>
        <v>1.2365959919080913</v>
      </c>
      <c r="BN34" s="139" t="str">
        <f t="shared" si="41"/>
        <v>(3,2,1,1,1,3); yield at good installation, average is lower while optimum would be higher, basic uncertainty = 1.2</v>
      </c>
      <c r="BO34" s="155">
        <v>0</v>
      </c>
      <c r="BP34" s="29">
        <f t="shared" si="42"/>
        <v>1</v>
      </c>
      <c r="BQ34" s="1">
        <f t="shared" si="43"/>
        <v>1.2365959919080913</v>
      </c>
      <c r="BR34" s="139" t="str">
        <f t="shared" si="44"/>
        <v>(3,2,1,1,1,3); yield at good installation, average is lower while optimum would be higher, basic uncertainty = 1.2</v>
      </c>
      <c r="BS34" s="155">
        <v>0</v>
      </c>
      <c r="BT34" s="29">
        <f t="shared" si="45"/>
        <v>1</v>
      </c>
      <c r="BU34" s="1">
        <f t="shared" si="46"/>
        <v>1.2365959919080913</v>
      </c>
      <c r="BV34" s="139" t="str">
        <f t="shared" si="47"/>
        <v>(3,2,1,1,1,3); yield at good installation, average is lower while optimum would be higher, basic uncertainty = 1.2</v>
      </c>
      <c r="BW34" s="155">
        <v>0</v>
      </c>
      <c r="BX34" s="29">
        <f t="shared" si="48"/>
        <v>1</v>
      </c>
      <c r="BY34" s="1">
        <f t="shared" si="49"/>
        <v>1.2365959919080913</v>
      </c>
      <c r="BZ34" s="31" t="str">
        <f t="shared" si="85"/>
        <v>(3,2,1,1,1,3); yield at good installation, average is lower while optimum would be higher, basic uncertainty = 1.2</v>
      </c>
      <c r="CA34" s="155">
        <f>AR34</f>
        <v>0</v>
      </c>
      <c r="CB34" s="29">
        <f t="shared" si="50"/>
        <v>1</v>
      </c>
      <c r="CC34" s="1">
        <f t="shared" si="51"/>
        <v>1.2365959919080913</v>
      </c>
      <c r="CD34" s="139" t="str">
        <f t="shared" si="63"/>
        <v>(3,2,1,1,1,3); yield at good installation, average is lower while optimum would be higher, basic uncertainty = 1.2</v>
      </c>
      <c r="CE34" s="155" t="e">
        <f>AV24</f>
        <v>#REF!</v>
      </c>
      <c r="CF34" s="29">
        <f t="shared" si="52"/>
        <v>1</v>
      </c>
      <c r="CG34" s="1">
        <f t="shared" si="53"/>
        <v>1.2365959919080913</v>
      </c>
      <c r="CH34" s="139" t="str">
        <f t="shared" si="64"/>
        <v>(3,2,1,1,1,3); yield at good installation, average is lower while optimum would be higher, basic uncertainty = 1.2</v>
      </c>
      <c r="CI34" s="155">
        <f>AJ34</f>
        <v>0</v>
      </c>
      <c r="CJ34" s="29">
        <f t="shared" si="54"/>
        <v>1</v>
      </c>
      <c r="CK34" s="1">
        <f t="shared" si="55"/>
        <v>1.2365959919080913</v>
      </c>
      <c r="CL34" s="139" t="str">
        <f t="shared" si="65"/>
        <v>(3,2,1,1,1,3); yield at good installation, average is lower while optimum would be higher, basic uncertainty = 1.2</v>
      </c>
      <c r="CM34" s="155">
        <f>AN34</f>
        <v>0</v>
      </c>
      <c r="CN34" s="29">
        <f t="shared" si="56"/>
        <v>1</v>
      </c>
      <c r="CO34" s="1">
        <f t="shared" si="57"/>
        <v>1.2365959919080913</v>
      </c>
      <c r="CP34" s="139" t="str">
        <f t="shared" si="66"/>
        <v>(3,2,1,1,1,3); yield at good installation, average is lower while optimum would be higher, basic uncertainty = 1.2</v>
      </c>
      <c r="CQ34" s="155">
        <f>BK34</f>
        <v>0</v>
      </c>
      <c r="CR34" s="29">
        <f t="shared" si="58"/>
        <v>1</v>
      </c>
      <c r="CS34" s="1">
        <f t="shared" si="59"/>
        <v>1.2365959919080913</v>
      </c>
      <c r="CT34" s="139" t="str">
        <f t="shared" si="67"/>
        <v>(3,2,1,1,1,3); yield at good installation, average is lower while optimum would be higher, basic uncertainty = 1.2</v>
      </c>
      <c r="CU34" s="155">
        <f t="shared" si="84"/>
        <v>0</v>
      </c>
      <c r="CV34" s="29">
        <f t="shared" si="60"/>
        <v>1</v>
      </c>
      <c r="CW34" s="1">
        <f t="shared" si="61"/>
        <v>1.2365959919080913</v>
      </c>
      <c r="CX34" s="139" t="str">
        <f t="shared" si="68"/>
        <v>(3,2,1,1,1,3); yield at good installation, average is lower while optimum would be higher, basic uncertainty = 1.2</v>
      </c>
      <c r="CY34" s="155" t="e">
        <f>1/(#REF!*3*lifetime)*DC34</f>
        <v>#REF!</v>
      </c>
      <c r="CZ34" s="29">
        <v>1</v>
      </c>
      <c r="DA34" s="1">
        <f t="shared" si="69"/>
        <v>1.2365959919080913</v>
      </c>
      <c r="DB34" s="31" t="str">
        <f t="shared" si="86"/>
        <v>(3,2,1,1,1,3); average yield, estimation for share of technologies. Basic uncertainty = 1.2</v>
      </c>
      <c r="DC34" s="287">
        <v>0</v>
      </c>
      <c r="DD34" s="289" t="e">
        <f>#REF!</f>
        <v>#REF!</v>
      </c>
      <c r="DE34" s="287" t="e">
        <f>#REF!</f>
        <v>#REF!</v>
      </c>
      <c r="DF34" s="115" t="str">
        <f t="shared" si="81"/>
        <v>yield at good installation, average is lower while optimum would be higher, basic uncertainty = 1.2</v>
      </c>
      <c r="DG34" s="10">
        <f t="shared" si="82"/>
        <v>3</v>
      </c>
      <c r="DH34" s="50">
        <v>2</v>
      </c>
      <c r="DI34" s="50">
        <v>1</v>
      </c>
      <c r="DJ34" s="50">
        <v>1</v>
      </c>
      <c r="DK34" s="50">
        <v>1</v>
      </c>
      <c r="DL34" s="50">
        <v>3</v>
      </c>
      <c r="DM34" s="50">
        <f>IF(OR($D34="4",$E34="4"),INDEX([14]NamesElementary!$J$1:$J$65536,MATCH($A34,[14]NamesElementary!$A$1:$A$65536,0),1),INDEX([14]Names!$W$1:$W$65602,MATCH($A34,[14]Names!$F$1:$F$65602,0),1))</f>
        <v>9</v>
      </c>
      <c r="DN34" s="312">
        <f t="shared" si="83"/>
        <v>1.2</v>
      </c>
      <c r="DO34" s="87">
        <f t="shared" si="87"/>
        <v>1.1150377561073679</v>
      </c>
      <c r="DP34" s="88">
        <f t="shared" si="88"/>
        <v>1.2365959919080913</v>
      </c>
      <c r="DQ34" s="89" t="str">
        <f t="shared" si="89"/>
        <v>(3,2,1,1,1,3)</v>
      </c>
      <c r="DS34" s="52">
        <f>IF(DG34=1,'[14]SDG^2 values'!$B$4,IF(DG34=2,'[14]SDG^2 values'!$C$4,IF(DG34=3,'[14]SDG^2 values'!$D$4,IF(DG34=4,'[14]SDG^2 values'!$E$4,IF(DG34=5,'[14]SDG^2 values'!$F$4,1)))))</f>
        <v>1.1000000000000001</v>
      </c>
      <c r="DT34" s="52">
        <f>IF(DH34=1,'[14]SDG^2 values'!$B$5,IF(DH34=2,'[14]SDG^2 values'!$C$5,IF(DH34=3,'[14]SDG^2 values'!$D$5,IF(DH34=4,'[14]SDG^2 values'!$E$5,IF(DH34=5,'[14]SDG^2 values'!$F$5,1)))))</f>
        <v>1.02</v>
      </c>
      <c r="DU34" s="52">
        <f>IF(DI34=1,'[14]SDG^2 values'!$B$6,IF(DI34=2,'[14]SDG^2 values'!$C$6,IF(DI34=3,'[14]SDG^2 values'!$D$6,IF(DI34=4,'[14]SDG^2 values'!$E$6,IF(DI34=5,'[14]SDG^2 values'!$F$6,1)))))</f>
        <v>1</v>
      </c>
      <c r="DV34" s="52">
        <f>IF(DJ34=1,'[14]SDG^2 values'!$B$7,IF(DJ34=2,'[14]SDG^2 values'!$C$7,IF(DJ34=3,'[14]SDG^2 values'!$D$7,IF(DJ34=4,'[14]SDG^2 values'!$E$7,IF(DJ34=5,'[14]SDG^2 values'!$F$7,1)))))</f>
        <v>1</v>
      </c>
      <c r="DW34" s="52">
        <f>IF(DK34=1,'[14]SDG^2 values'!$B$8,IF(DK34=2,'[14]SDG^2 values'!$C$8,IF(DK34=3,'[14]SDG^2 values'!$D$8,IF(DK34=4,'[14]SDG^2 values'!$E$8,IF(DK34=5,'[14]SDG^2 values'!$F$8,1)))))</f>
        <v>1</v>
      </c>
      <c r="DX34" s="52">
        <f>IF(DL34=1,'[14]SDG^2 values'!$B$9,IF(DL34=2,'[14]SDG^2 values'!$C$9,IF(DL34=3,'[14]SDG^2 values'!$D$9,IF(DL34=4,'[14]SDG^2 values'!$E$9,IF(DL34=5,'[14]SDG^2 values'!$F$9,1)))))</f>
        <v>1.05</v>
      </c>
    </row>
    <row r="35" spans="1:128" ht="18" customHeight="1" outlineLevel="1">
      <c r="A35" s="478" t="s">
        <v>813</v>
      </c>
      <c r="B35" s="168" t="s">
        <v>525</v>
      </c>
      <c r="C35" s="151"/>
      <c r="D35" s="152" t="s">
        <v>526</v>
      </c>
      <c r="E35" s="153" t="s">
        <v>402</v>
      </c>
      <c r="F35" s="144" t="str">
        <f>IF(OR(D35="4",E35="4"),INDEX([14]NamesElementary!$B$1:$B$65536,MATCH(A35,[14]NamesElementary!$A$1:$A$65536,0),1),INDEX([14]Names!$J$1:$J$65602,MATCH(A35,[14]Names!$F$1:$F$65602,0),1))</f>
        <v>3kWp slanted-roof installation, CdTe, German laminate, integrated, on roof</v>
      </c>
      <c r="G35" s="125" t="str">
        <f>IF(OR(D35="4",E35="4"),"-",INDEX([14]Names!$K$1:$K$65602,MATCH(A35,[14]Names!$F$1:$F$65602,0),1))</f>
        <v>CH</v>
      </c>
      <c r="H35" s="154" t="str">
        <f>IF(OR(D35="4",E35="4"),INDEX([14]NamesElementary!$D$1:$D$65536,MATCH($A35,[14]NamesElementary!$A$1:$A$65536,0),1),"-")</f>
        <v>-</v>
      </c>
      <c r="I35" s="123" t="str">
        <f>IF(OR(D35="4",E35="4"),INDEX([14]NamesElementary!$E$1:$E$65536,MATCH($A35,[14]NamesElementary!$A$1:$A$65536,0),1),"-")</f>
        <v>-</v>
      </c>
      <c r="J35" s="124">
        <f>IF(OR(D35="4",E35="4"),"-",INDEX([14]Names!$N$1:$N$65602,MATCH(A35,[14]Names!$F$1:$F$65602,0),1))</f>
        <v>1</v>
      </c>
      <c r="K35" s="125" t="str">
        <f>IF(OR(D35="4",E35="4"),INDEX([14]NamesElementary!$G$1:$G$65536,MATCH(A35,[14]NamesElementary!$A$1:$A$65536,0),1),INDEX([14]Names!$O$1:$O$65602,MATCH(A35,[14]Names!$F$1:$F$65602,0),1))</f>
        <v>unit</v>
      </c>
      <c r="L35" s="155">
        <v>0</v>
      </c>
      <c r="M35" s="29">
        <f t="shared" si="0"/>
        <v>1</v>
      </c>
      <c r="N35" s="1">
        <f t="shared" si="1"/>
        <v>1.2365959919080913</v>
      </c>
      <c r="O35" s="139" t="str">
        <f t="shared" si="2"/>
        <v>(3,2,1,1,1,3); yield at good installation, average is lower while optimum would be higher, basic uncertainty = 1.2</v>
      </c>
      <c r="P35" s="155">
        <v>0</v>
      </c>
      <c r="Q35" s="29">
        <f t="shared" si="3"/>
        <v>1</v>
      </c>
      <c r="R35" s="1">
        <f t="shared" si="4"/>
        <v>1.2365959919080913</v>
      </c>
      <c r="S35" s="139" t="str">
        <f t="shared" si="5"/>
        <v>(3,2,1,1,1,3); yield at good installation, average is lower while optimum would be higher, basic uncertainty = 1.2</v>
      </c>
      <c r="T35" s="155">
        <v>0</v>
      </c>
      <c r="U35" s="29">
        <f t="shared" si="6"/>
        <v>1</v>
      </c>
      <c r="V35" s="1">
        <f t="shared" si="7"/>
        <v>1.2365959919080913</v>
      </c>
      <c r="W35" s="139" t="str">
        <f t="shared" si="8"/>
        <v>(3,2,1,1,1,3); yield at good installation, average is lower while optimum would be higher, basic uncertainty = 1.2</v>
      </c>
      <c r="X35" s="155">
        <v>0</v>
      </c>
      <c r="Y35" s="29">
        <f t="shared" si="9"/>
        <v>1</v>
      </c>
      <c r="Z35" s="1">
        <f t="shared" si="10"/>
        <v>1.2365959919080913</v>
      </c>
      <c r="AA35" s="139" t="str">
        <f t="shared" si="11"/>
        <v>(3,2,1,1,1,3); yield at good installation, average is lower while optimum would be higher, basic uncertainty = 1.2</v>
      </c>
      <c r="AB35" s="155">
        <v>0</v>
      </c>
      <c r="AC35" s="29">
        <f t="shared" si="12"/>
        <v>1</v>
      </c>
      <c r="AD35" s="1">
        <f t="shared" si="13"/>
        <v>1.2365959919080913</v>
      </c>
      <c r="AE35" s="139" t="str">
        <f t="shared" si="14"/>
        <v>(3,2,1,1,1,3); yield at good installation, average is lower while optimum would be higher, basic uncertainty = 1.2</v>
      </c>
      <c r="AF35" s="155">
        <v>0</v>
      </c>
      <c r="AG35" s="29">
        <f t="shared" si="15"/>
        <v>1</v>
      </c>
      <c r="AH35" s="1">
        <f t="shared" si="16"/>
        <v>1.2365959919080913</v>
      </c>
      <c r="AI35" s="139" t="str">
        <f t="shared" si="17"/>
        <v>(3,2,1,1,1,3); yield at good installation, average is lower while optimum would be higher, basic uncertainty = 1.2</v>
      </c>
      <c r="AJ35" s="155">
        <v>0</v>
      </c>
      <c r="AK35" s="29">
        <f t="shared" si="18"/>
        <v>1</v>
      </c>
      <c r="AL35" s="1">
        <f t="shared" si="19"/>
        <v>1.2365959919080913</v>
      </c>
      <c r="AM35" s="31" t="str">
        <f t="shared" si="20"/>
        <v>(3,2,1,1,1,3); yield at good installation, average is lower while optimum would be higher, basic uncertainty = 1.2</v>
      </c>
      <c r="AN35" s="155">
        <v>0</v>
      </c>
      <c r="AO35" s="29">
        <f t="shared" si="21"/>
        <v>1</v>
      </c>
      <c r="AP35" s="1">
        <f t="shared" si="22"/>
        <v>1.2365959919080913</v>
      </c>
      <c r="AQ35" s="139" t="str">
        <f t="shared" si="23"/>
        <v>(3,2,1,1,1,3); yield at good installation, average is lower while optimum would be higher, basic uncertainty = 1.2</v>
      </c>
      <c r="AR35" s="155">
        <v>0</v>
      </c>
      <c r="AS35" s="29">
        <f t="shared" si="24"/>
        <v>1</v>
      </c>
      <c r="AT35" s="1">
        <f t="shared" si="25"/>
        <v>1.2365959919080913</v>
      </c>
      <c r="AU35" s="31" t="str">
        <f t="shared" si="26"/>
        <v>(3,2,1,1,1,3); yield at good installation, average is lower while optimum would be higher, basic uncertainty = 1.2</v>
      </c>
      <c r="AV35" s="155">
        <v>0</v>
      </c>
      <c r="AW35" s="29">
        <f t="shared" si="27"/>
        <v>1</v>
      </c>
      <c r="AX35" s="1">
        <f t="shared" si="28"/>
        <v>1.2365959919080913</v>
      </c>
      <c r="AY35" s="139" t="str">
        <f t="shared" si="29"/>
        <v>(3,2,1,1,1,3); yield at good installation, average is lower while optimum would be higher, basic uncertainty = 1.2</v>
      </c>
      <c r="AZ35" s="155">
        <v>0</v>
      </c>
      <c r="BA35" s="29">
        <f t="shared" si="30"/>
        <v>1</v>
      </c>
      <c r="BB35" s="1">
        <f t="shared" si="31"/>
        <v>1.2365959919080913</v>
      </c>
      <c r="BC35" s="139" t="str">
        <f t="shared" si="32"/>
        <v>(3,2,1,1,1,3); yield at good installation, average is lower while optimum would be higher, basic uncertainty = 1.2</v>
      </c>
      <c r="BD35" s="155">
        <v>0</v>
      </c>
      <c r="BE35" s="29">
        <f t="shared" si="33"/>
        <v>1</v>
      </c>
      <c r="BF35" s="1">
        <f t="shared" si="34"/>
        <v>1.2365959919080913</v>
      </c>
      <c r="BG35" s="139" t="str">
        <f t="shared" si="35"/>
        <v>(3,2,1,1,1,3); yield at good installation, average is lower while optimum would be higher, basic uncertainty = 1.2</v>
      </c>
      <c r="BH35" s="29">
        <f t="shared" si="36"/>
        <v>1</v>
      </c>
      <c r="BI35" s="1">
        <f t="shared" si="37"/>
        <v>1.2365959919080913</v>
      </c>
      <c r="BJ35" s="139" t="str">
        <f t="shared" si="38"/>
        <v>(3,2,1,1,1,3); yield at good installation, average is lower while optimum would be higher, basic uncertainty = 1.2</v>
      </c>
      <c r="BK35" s="155">
        <v>0</v>
      </c>
      <c r="BL35" s="29">
        <f t="shared" si="39"/>
        <v>1</v>
      </c>
      <c r="BM35" s="1">
        <f t="shared" si="40"/>
        <v>1.2365959919080913</v>
      </c>
      <c r="BN35" s="139" t="str">
        <f t="shared" si="41"/>
        <v>(3,2,1,1,1,3); yield at good installation, average is lower while optimum would be higher, basic uncertainty = 1.2</v>
      </c>
      <c r="BO35" s="155">
        <v>0</v>
      </c>
      <c r="BP35" s="29">
        <f t="shared" si="42"/>
        <v>1</v>
      </c>
      <c r="BQ35" s="1">
        <f t="shared" si="43"/>
        <v>1.2365959919080913</v>
      </c>
      <c r="BR35" s="139" t="str">
        <f t="shared" si="44"/>
        <v>(3,2,1,1,1,3); yield at good installation, average is lower while optimum would be higher, basic uncertainty = 1.2</v>
      </c>
      <c r="BS35" s="155">
        <v>0</v>
      </c>
      <c r="BT35" s="29">
        <f t="shared" si="45"/>
        <v>1</v>
      </c>
      <c r="BU35" s="1">
        <f t="shared" si="46"/>
        <v>1.2365959919080913</v>
      </c>
      <c r="BV35" s="139" t="str">
        <f t="shared" si="47"/>
        <v>(3,2,1,1,1,3); yield at good installation, average is lower while optimum would be higher, basic uncertainty = 1.2</v>
      </c>
      <c r="BW35" s="155">
        <v>0</v>
      </c>
      <c r="BX35" s="29">
        <f t="shared" si="48"/>
        <v>1</v>
      </c>
      <c r="BY35" s="1">
        <f t="shared" si="49"/>
        <v>1.2365959919080913</v>
      </c>
      <c r="BZ35" s="31" t="str">
        <f t="shared" si="85"/>
        <v>(3,2,1,1,1,3); yield at good installation, average is lower while optimum would be higher, basic uncertainty = 1.2</v>
      </c>
      <c r="CA35" s="155">
        <f>AR35</f>
        <v>0</v>
      </c>
      <c r="CB35" s="29">
        <f t="shared" si="50"/>
        <v>1</v>
      </c>
      <c r="CC35" s="1">
        <f t="shared" si="51"/>
        <v>1.2365959919080913</v>
      </c>
      <c r="CD35" s="139" t="str">
        <f t="shared" si="63"/>
        <v>(3,2,1,1,1,3); yield at good installation, average is lower while optimum would be higher, basic uncertainty = 1.2</v>
      </c>
      <c r="CE35" s="155">
        <f>AV35</f>
        <v>0</v>
      </c>
      <c r="CF35" s="29">
        <f t="shared" si="52"/>
        <v>1</v>
      </c>
      <c r="CG35" s="1">
        <f t="shared" si="53"/>
        <v>1.2365959919080913</v>
      </c>
      <c r="CH35" s="139" t="str">
        <f t="shared" si="64"/>
        <v>(3,2,1,1,1,3); yield at good installation, average is lower while optimum would be higher, basic uncertainty = 1.2</v>
      </c>
      <c r="CI35" s="155">
        <f>AJ35</f>
        <v>0</v>
      </c>
      <c r="CJ35" s="29">
        <f t="shared" si="54"/>
        <v>1</v>
      </c>
      <c r="CK35" s="1">
        <f t="shared" si="55"/>
        <v>1.2365959919080913</v>
      </c>
      <c r="CL35" s="139" t="str">
        <f t="shared" si="65"/>
        <v>(3,2,1,1,1,3); yield at good installation, average is lower while optimum would be higher, basic uncertainty = 1.2</v>
      </c>
      <c r="CM35" s="155">
        <f>AN35</f>
        <v>0</v>
      </c>
      <c r="CN35" s="29">
        <f t="shared" si="56"/>
        <v>1</v>
      </c>
      <c r="CO35" s="1">
        <f t="shared" si="57"/>
        <v>1.2365959919080913</v>
      </c>
      <c r="CP35" s="139" t="str">
        <f t="shared" si="66"/>
        <v>(3,2,1,1,1,3); yield at good installation, average is lower while optimum would be higher, basic uncertainty = 1.2</v>
      </c>
      <c r="CQ35" s="155" t="e">
        <f>BK27</f>
        <v>#REF!</v>
      </c>
      <c r="CR35" s="29">
        <f t="shared" si="58"/>
        <v>1</v>
      </c>
      <c r="CS35" s="1">
        <f t="shared" si="59"/>
        <v>1.2365959919080913</v>
      </c>
      <c r="CT35" s="139" t="str">
        <f t="shared" si="67"/>
        <v>(3,2,1,1,1,3); yield at good installation, average is lower while optimum would be higher, basic uncertainty = 1.2</v>
      </c>
      <c r="CU35" s="155">
        <f>BO27</f>
        <v>0</v>
      </c>
      <c r="CV35" s="29">
        <f t="shared" si="60"/>
        <v>1</v>
      </c>
      <c r="CW35" s="1">
        <f t="shared" si="61"/>
        <v>1.2365959919080913</v>
      </c>
      <c r="CX35" s="139" t="str">
        <f t="shared" si="68"/>
        <v>(3,2,1,1,1,3); yield at good installation, average is lower while optimum would be higher, basic uncertainty = 1.2</v>
      </c>
      <c r="CY35" s="155" t="e">
        <f>1/(#REF!*3*lifetime)*DC35</f>
        <v>#REF!</v>
      </c>
      <c r="CZ35" s="29">
        <v>1</v>
      </c>
      <c r="DA35" s="1">
        <f t="shared" si="69"/>
        <v>1.2365959919080913</v>
      </c>
      <c r="DB35" s="31" t="str">
        <f t="shared" si="86"/>
        <v>(3,2,1,1,1,3); average yield, estimation for share of technologies. Basic uncertainty = 1.2</v>
      </c>
      <c r="DC35" s="287">
        <v>0</v>
      </c>
      <c r="DD35" s="289" t="e">
        <f>#REF!</f>
        <v>#REF!</v>
      </c>
      <c r="DE35" s="287" t="e">
        <f>#REF!</f>
        <v>#REF!</v>
      </c>
      <c r="DF35" s="115" t="str">
        <f t="shared" si="81"/>
        <v>yield at good installation, average is lower while optimum would be higher, basic uncertainty = 1.2</v>
      </c>
      <c r="DG35" s="10">
        <f t="shared" si="82"/>
        <v>3</v>
      </c>
      <c r="DH35" s="50">
        <v>2</v>
      </c>
      <c r="DI35" s="50">
        <v>1</v>
      </c>
      <c r="DJ35" s="50">
        <v>1</v>
      </c>
      <c r="DK35" s="50">
        <v>1</v>
      </c>
      <c r="DL35" s="50">
        <v>3</v>
      </c>
      <c r="DM35" s="50">
        <f>IF(OR($D35="4",$E35="4"),INDEX([14]NamesElementary!$J$1:$J$65536,MATCH($A35,[14]NamesElementary!$A$1:$A$65536,0),1),INDEX([14]Names!$W$1:$W$65602,MATCH($A35,[14]Names!$F$1:$F$65602,0),1))</f>
        <v>9</v>
      </c>
      <c r="DN35" s="312">
        <f t="shared" si="83"/>
        <v>1.2</v>
      </c>
      <c r="DO35" s="87">
        <f t="shared" si="87"/>
        <v>1.1150377561073679</v>
      </c>
      <c r="DP35" s="88">
        <f t="shared" si="88"/>
        <v>1.2365959919080913</v>
      </c>
      <c r="DQ35" s="89" t="str">
        <f t="shared" si="89"/>
        <v>(3,2,1,1,1,3)</v>
      </c>
      <c r="DS35" s="52">
        <f>IF(DG35=1,'[14]SDG^2 values'!$B$4,IF(DG35=2,'[14]SDG^2 values'!$C$4,IF(DG35=3,'[14]SDG^2 values'!$D$4,IF(DG35=4,'[14]SDG^2 values'!$E$4,IF(DG35=5,'[14]SDG^2 values'!$F$4,1)))))</f>
        <v>1.1000000000000001</v>
      </c>
      <c r="DT35" s="52">
        <f>IF(DH35=1,'[14]SDG^2 values'!$B$5,IF(DH35=2,'[14]SDG^2 values'!$C$5,IF(DH35=3,'[14]SDG^2 values'!$D$5,IF(DH35=4,'[14]SDG^2 values'!$E$5,IF(DH35=5,'[14]SDG^2 values'!$F$5,1)))))</f>
        <v>1.02</v>
      </c>
      <c r="DU35" s="52">
        <f>IF(DI35=1,'[14]SDG^2 values'!$B$6,IF(DI35=2,'[14]SDG^2 values'!$C$6,IF(DI35=3,'[14]SDG^2 values'!$D$6,IF(DI35=4,'[14]SDG^2 values'!$E$6,IF(DI35=5,'[14]SDG^2 values'!$F$6,1)))))</f>
        <v>1</v>
      </c>
      <c r="DV35" s="52">
        <f>IF(DJ35=1,'[14]SDG^2 values'!$B$7,IF(DJ35=2,'[14]SDG^2 values'!$C$7,IF(DJ35=3,'[14]SDG^2 values'!$D$7,IF(DJ35=4,'[14]SDG^2 values'!$E$7,IF(DJ35=5,'[14]SDG^2 values'!$F$7,1)))))</f>
        <v>1</v>
      </c>
      <c r="DW35" s="52">
        <f>IF(DK35=1,'[14]SDG^2 values'!$B$8,IF(DK35=2,'[14]SDG^2 values'!$C$8,IF(DK35=3,'[14]SDG^2 values'!$D$8,IF(DK35=4,'[14]SDG^2 values'!$E$8,IF(DK35=5,'[14]SDG^2 values'!$F$8,1)))))</f>
        <v>1</v>
      </c>
      <c r="DX35" s="52">
        <f>IF(DL35=1,'[14]SDG^2 values'!$B$9,IF(DL35=2,'[14]SDG^2 values'!$C$9,IF(DL35=3,'[14]SDG^2 values'!$D$9,IF(DL35=4,'[14]SDG^2 values'!$E$9,IF(DL35=5,'[14]SDG^2 values'!$F$9,1)))))</f>
        <v>1.05</v>
      </c>
    </row>
    <row r="36" spans="1:128" ht="18" customHeight="1" outlineLevel="1">
      <c r="A36" s="478" t="s">
        <v>819</v>
      </c>
      <c r="B36" s="168" t="s">
        <v>525</v>
      </c>
      <c r="C36" s="151"/>
      <c r="D36" s="152" t="s">
        <v>526</v>
      </c>
      <c r="E36" s="153" t="s">
        <v>402</v>
      </c>
      <c r="F36" s="144" t="str">
        <f>IF(OR(D36="4",E36="4"),INDEX([14]NamesElementary!$B$1:$B$65536,MATCH(A36,[14]NamesElementary!$A$1:$A$65536,0),1),INDEX([14]Names!$J$1:$J$65602,MATCH(A36,[14]Names!$F$1:$F$65602,0),1))</f>
        <v>3kWp slanted-roof installation, multi-Si, Chinese panel, mounted, on roof</v>
      </c>
      <c r="G36" s="125" t="str">
        <f>IF(OR(D36="4",E36="4"),"-",INDEX([14]Names!$K$1:$K$65602,MATCH(A36,[14]Names!$F$1:$F$65602,0),1))</f>
        <v>CH</v>
      </c>
      <c r="H36" s="154" t="str">
        <f>IF(OR(D36="4",E36="4"),INDEX([14]NamesElementary!$D$1:$D$65536,MATCH($A36,[14]NamesElementary!$A$1:$A$65536,0),1),"-")</f>
        <v>-</v>
      </c>
      <c r="I36" s="123" t="str">
        <f>IF(OR(D36="4",E36="4"),INDEX([14]NamesElementary!$E$1:$E$65536,MATCH($A36,[14]NamesElementary!$A$1:$A$65536,0),1),"-")</f>
        <v>-</v>
      </c>
      <c r="J36" s="124">
        <f>IF(OR(D36="4",E36="4"),"-",INDEX([14]Names!$N$1:$N$65602,MATCH(A36,[14]Names!$F$1:$F$65602,0),1))</f>
        <v>1</v>
      </c>
      <c r="K36" s="125" t="str">
        <f>IF(OR(D36="4",E36="4"),INDEX([14]NamesElementary!$G$1:$G$65536,MATCH(A36,[14]NamesElementary!$A$1:$A$65536,0),1),INDEX([14]Names!$O$1:$O$65602,MATCH(A36,[14]Names!$F$1:$F$65602,0),1))</f>
        <v>unit</v>
      </c>
      <c r="L36" s="155">
        <v>0</v>
      </c>
      <c r="M36" s="29">
        <f t="shared" si="0"/>
        <v>1</v>
      </c>
      <c r="N36" s="1">
        <f t="shared" si="1"/>
        <v>1.2365959919080913</v>
      </c>
      <c r="O36" s="139" t="str">
        <f t="shared" si="2"/>
        <v>(3,2,1,1,1,3); yield at good installation, average is lower while optimum would be higher, basic uncertainty = 1.2</v>
      </c>
      <c r="P36" s="155">
        <v>0</v>
      </c>
      <c r="Q36" s="29">
        <f t="shared" si="3"/>
        <v>1</v>
      </c>
      <c r="R36" s="1">
        <f t="shared" si="4"/>
        <v>1.2365959919080913</v>
      </c>
      <c r="S36" s="139" t="str">
        <f t="shared" si="5"/>
        <v>(3,2,1,1,1,3); yield at good installation, average is lower while optimum would be higher, basic uncertainty = 1.2</v>
      </c>
      <c r="T36" s="155">
        <v>0</v>
      </c>
      <c r="U36" s="29">
        <f t="shared" si="6"/>
        <v>1</v>
      </c>
      <c r="V36" s="1">
        <f t="shared" si="7"/>
        <v>1.2365959919080913</v>
      </c>
      <c r="W36" s="139" t="str">
        <f t="shared" si="8"/>
        <v>(3,2,1,1,1,3); yield at good installation, average is lower while optimum would be higher, basic uncertainty = 1.2</v>
      </c>
      <c r="X36" s="155">
        <v>0</v>
      </c>
      <c r="Y36" s="29">
        <f t="shared" si="9"/>
        <v>1</v>
      </c>
      <c r="Z36" s="1">
        <f t="shared" si="10"/>
        <v>1.2365959919080913</v>
      </c>
      <c r="AA36" s="139" t="str">
        <f t="shared" si="11"/>
        <v>(3,2,1,1,1,3); yield at good installation, average is lower while optimum would be higher, basic uncertainty = 1.2</v>
      </c>
      <c r="AB36" s="155">
        <v>0</v>
      </c>
      <c r="AC36" s="29">
        <f t="shared" si="12"/>
        <v>1</v>
      </c>
      <c r="AD36" s="1">
        <f t="shared" si="13"/>
        <v>1.2365959919080913</v>
      </c>
      <c r="AE36" s="139" t="str">
        <f t="shared" si="14"/>
        <v>(3,2,1,1,1,3); yield at good installation, average is lower while optimum would be higher, basic uncertainty = 1.2</v>
      </c>
      <c r="AF36" s="155">
        <v>0</v>
      </c>
      <c r="AG36" s="29">
        <f t="shared" si="15"/>
        <v>1</v>
      </c>
      <c r="AH36" s="1">
        <f t="shared" si="16"/>
        <v>1.2365959919080913</v>
      </c>
      <c r="AI36" s="139" t="str">
        <f t="shared" si="17"/>
        <v>(3,2,1,1,1,3); yield at good installation, average is lower while optimum would be higher, basic uncertainty = 1.2</v>
      </c>
      <c r="AJ36" s="155">
        <v>0</v>
      </c>
      <c r="AK36" s="29">
        <f t="shared" si="18"/>
        <v>1</v>
      </c>
      <c r="AL36" s="1">
        <f t="shared" si="19"/>
        <v>1.2365959919080913</v>
      </c>
      <c r="AM36" s="31" t="str">
        <f t="shared" si="20"/>
        <v>(3,2,1,1,1,3); yield at good installation, average is lower while optimum would be higher, basic uncertainty = 1.2</v>
      </c>
      <c r="AN36" s="155">
        <v>0</v>
      </c>
      <c r="AO36" s="29">
        <f t="shared" si="21"/>
        <v>1</v>
      </c>
      <c r="AP36" s="1">
        <f t="shared" si="22"/>
        <v>1.2365959919080913</v>
      </c>
      <c r="AQ36" s="139" t="str">
        <f t="shared" si="23"/>
        <v>(3,2,1,1,1,3); yield at good installation, average is lower while optimum would be higher, basic uncertainty = 1.2</v>
      </c>
      <c r="AR36" s="155">
        <v>0</v>
      </c>
      <c r="AS36" s="29">
        <f t="shared" si="24"/>
        <v>1</v>
      </c>
      <c r="AT36" s="1">
        <f t="shared" si="25"/>
        <v>1.2365959919080913</v>
      </c>
      <c r="AU36" s="31" t="str">
        <f t="shared" si="26"/>
        <v>(3,2,1,1,1,3); yield at good installation, average is lower while optimum would be higher, basic uncertainty = 1.2</v>
      </c>
      <c r="AV36" s="155">
        <v>0</v>
      </c>
      <c r="AW36" s="29">
        <f t="shared" si="27"/>
        <v>1</v>
      </c>
      <c r="AX36" s="1">
        <f t="shared" si="28"/>
        <v>1.2365959919080913</v>
      </c>
      <c r="AY36" s="139" t="str">
        <f t="shared" si="29"/>
        <v>(3,2,1,1,1,3); yield at good installation, average is lower while optimum would be higher, basic uncertainty = 1.2</v>
      </c>
      <c r="AZ36" s="155">
        <v>0</v>
      </c>
      <c r="BA36" s="29">
        <f t="shared" si="30"/>
        <v>1</v>
      </c>
      <c r="BB36" s="1">
        <f t="shared" si="31"/>
        <v>1.2365959919080913</v>
      </c>
      <c r="BC36" s="139" t="str">
        <f t="shared" si="32"/>
        <v>(3,2,1,1,1,3); yield at good installation, average is lower while optimum would be higher, basic uncertainty = 1.2</v>
      </c>
      <c r="BD36" s="155">
        <v>0</v>
      </c>
      <c r="BE36" s="29">
        <f t="shared" si="33"/>
        <v>1</v>
      </c>
      <c r="BF36" s="1">
        <f t="shared" si="34"/>
        <v>1.2365959919080913</v>
      </c>
      <c r="BG36" s="139" t="str">
        <f t="shared" si="35"/>
        <v>(3,2,1,1,1,3); yield at good installation, average is lower while optimum would be higher, basic uncertainty = 1.2</v>
      </c>
      <c r="BH36" s="29">
        <f t="shared" si="36"/>
        <v>1</v>
      </c>
      <c r="BI36" s="1">
        <f t="shared" si="37"/>
        <v>1.2365959919080913</v>
      </c>
      <c r="BJ36" s="139" t="str">
        <f t="shared" si="38"/>
        <v>(3,2,1,1,1,3); yield at good installation, average is lower while optimum would be higher, basic uncertainty = 1.2</v>
      </c>
      <c r="BK36" s="155">
        <v>0</v>
      </c>
      <c r="BL36" s="29">
        <f t="shared" si="39"/>
        <v>1</v>
      </c>
      <c r="BM36" s="1">
        <f t="shared" si="40"/>
        <v>1.2365959919080913</v>
      </c>
      <c r="BN36" s="139" t="str">
        <f t="shared" si="41"/>
        <v>(3,2,1,1,1,3); yield at good installation, average is lower while optimum would be higher, basic uncertainty = 1.2</v>
      </c>
      <c r="BO36" s="155">
        <v>0</v>
      </c>
      <c r="BP36" s="29">
        <f t="shared" si="42"/>
        <v>1</v>
      </c>
      <c r="BQ36" s="1">
        <f t="shared" si="43"/>
        <v>1.2365959919080913</v>
      </c>
      <c r="BR36" s="139" t="str">
        <f t="shared" si="44"/>
        <v>(3,2,1,1,1,3); yield at good installation, average is lower while optimum would be higher, basic uncertainty = 1.2</v>
      </c>
      <c r="BS36" s="155">
        <v>0</v>
      </c>
      <c r="BT36" s="29">
        <f t="shared" si="45"/>
        <v>1</v>
      </c>
      <c r="BU36" s="1">
        <f t="shared" si="46"/>
        <v>1.2365959919080913</v>
      </c>
      <c r="BV36" s="139" t="str">
        <f t="shared" si="47"/>
        <v>(3,2,1,1,1,3); yield at good installation, average is lower while optimum would be higher, basic uncertainty = 1.2</v>
      </c>
      <c r="BW36" s="155">
        <v>0</v>
      </c>
      <c r="BX36" s="29">
        <f t="shared" si="48"/>
        <v>1</v>
      </c>
      <c r="BY36" s="1">
        <f t="shared" si="49"/>
        <v>1.2365959919080913</v>
      </c>
      <c r="BZ36" s="31" t="str">
        <f t="shared" si="85"/>
        <v>(3,2,1,1,1,3); yield at good installation, average is lower while optimum would be higher, basic uncertainty = 1.2</v>
      </c>
      <c r="CA36" s="155">
        <f>AR36</f>
        <v>0</v>
      </c>
      <c r="CB36" s="29">
        <f t="shared" si="50"/>
        <v>1</v>
      </c>
      <c r="CC36" s="1">
        <f t="shared" si="51"/>
        <v>1.2365959919080913</v>
      </c>
      <c r="CD36" s="139" t="str">
        <f t="shared" si="63"/>
        <v>(3,2,1,1,1,3); yield at good installation, average is lower while optimum would be higher, basic uncertainty = 1.2</v>
      </c>
      <c r="CE36" s="155">
        <f>AV36</f>
        <v>0</v>
      </c>
      <c r="CF36" s="29">
        <f t="shared" si="52"/>
        <v>1</v>
      </c>
      <c r="CG36" s="1">
        <f t="shared" si="53"/>
        <v>1.2365959919080913</v>
      </c>
      <c r="CH36" s="139" t="str">
        <f t="shared" si="64"/>
        <v>(3,2,1,1,1,3); yield at good installation, average is lower while optimum would be higher, basic uncertainty = 1.2</v>
      </c>
      <c r="CI36" s="155">
        <f>AJ36</f>
        <v>0</v>
      </c>
      <c r="CJ36" s="29">
        <f t="shared" si="54"/>
        <v>1</v>
      </c>
      <c r="CK36" s="1">
        <f t="shared" si="55"/>
        <v>1.2365959919080913</v>
      </c>
      <c r="CL36" s="139" t="str">
        <f t="shared" si="65"/>
        <v>(3,2,1,1,1,3); yield at good installation, average is lower while optimum would be higher, basic uncertainty = 1.2</v>
      </c>
      <c r="CM36" s="155">
        <f>AN36</f>
        <v>0</v>
      </c>
      <c r="CN36" s="29">
        <f t="shared" si="56"/>
        <v>1</v>
      </c>
      <c r="CO36" s="1">
        <f t="shared" si="57"/>
        <v>1.2365959919080913</v>
      </c>
      <c r="CP36" s="139" t="str">
        <f t="shared" si="66"/>
        <v>(3,2,1,1,1,3); yield at good installation, average is lower while optimum would be higher, basic uncertainty = 1.2</v>
      </c>
      <c r="CQ36" s="155">
        <v>0</v>
      </c>
      <c r="CR36" s="29">
        <f t="shared" si="58"/>
        <v>1</v>
      </c>
      <c r="CS36" s="1">
        <f t="shared" si="59"/>
        <v>1.2365959919080913</v>
      </c>
      <c r="CT36" s="139" t="str">
        <f t="shared" si="67"/>
        <v>(3,2,1,1,1,3); yield at good installation, average is lower while optimum would be higher, basic uncertainty = 1.2</v>
      </c>
      <c r="CU36" s="155" t="e">
        <f>CA33</f>
        <v>#REF!</v>
      </c>
      <c r="CV36" s="29">
        <f t="shared" si="60"/>
        <v>1</v>
      </c>
      <c r="CW36" s="1">
        <f t="shared" si="61"/>
        <v>1.2365959919080913</v>
      </c>
      <c r="CX36" s="139" t="str">
        <f t="shared" si="68"/>
        <v>(3,2,1,1,1,3); yield at good installation, average is lower while optimum would be higher, basic uncertainty = 1.2</v>
      </c>
      <c r="CY36" s="155" t="e">
        <f>1/(#REF!*3*lifetime)*DC36</f>
        <v>#REF!</v>
      </c>
      <c r="CZ36" s="29">
        <v>1</v>
      </c>
      <c r="DA36" s="1">
        <f t="shared" si="69"/>
        <v>1.2365959919080913</v>
      </c>
      <c r="DB36" s="31" t="str">
        <f t="shared" si="86"/>
        <v>(3,2,1,1,1,3); average yield, estimation for share of technologies. Basic uncertainty = 1.2</v>
      </c>
      <c r="DC36" s="287">
        <v>0</v>
      </c>
      <c r="DD36" s="289" t="e">
        <f>#REF!</f>
        <v>#REF!</v>
      </c>
      <c r="DE36" s="287" t="e">
        <f>#REF!</f>
        <v>#REF!</v>
      </c>
      <c r="DF36" s="115" t="str">
        <f t="shared" si="81"/>
        <v>yield at good installation, average is lower while optimum would be higher, basic uncertainty = 1.2</v>
      </c>
      <c r="DG36" s="10">
        <f t="shared" si="82"/>
        <v>3</v>
      </c>
      <c r="DH36" s="50">
        <v>2</v>
      </c>
      <c r="DI36" s="50">
        <v>1</v>
      </c>
      <c r="DJ36" s="50">
        <v>1</v>
      </c>
      <c r="DK36" s="50">
        <v>1</v>
      </c>
      <c r="DL36" s="50">
        <v>3</v>
      </c>
      <c r="DM36" s="50">
        <f>IF(OR($D36="4",$E36="4"),INDEX([14]NamesElementary!$J$1:$J$65536,MATCH($A36,[14]NamesElementary!$A$1:$A$65536,0),1),INDEX([14]Names!$W$1:$W$65602,MATCH($A36,[14]Names!$F$1:$F$65602,0),1))</f>
        <v>9</v>
      </c>
      <c r="DN36" s="312">
        <f t="shared" si="83"/>
        <v>1.2</v>
      </c>
      <c r="DO36" s="87">
        <f t="shared" si="87"/>
        <v>1.1150377561073679</v>
      </c>
      <c r="DP36" s="88">
        <f t="shared" si="88"/>
        <v>1.2365959919080913</v>
      </c>
      <c r="DQ36" s="89" t="str">
        <f t="shared" si="89"/>
        <v>(3,2,1,1,1,3)</v>
      </c>
      <c r="DS36" s="52">
        <f>IF(DG36=1,'[14]SDG^2 values'!$B$4,IF(DG36=2,'[14]SDG^2 values'!$C$4,IF(DG36=3,'[14]SDG^2 values'!$D$4,IF(DG36=4,'[14]SDG^2 values'!$E$4,IF(DG36=5,'[14]SDG^2 values'!$F$4,1)))))</f>
        <v>1.1000000000000001</v>
      </c>
      <c r="DT36" s="52">
        <f>IF(DH36=1,'[14]SDG^2 values'!$B$5,IF(DH36=2,'[14]SDG^2 values'!$C$5,IF(DH36=3,'[14]SDG^2 values'!$D$5,IF(DH36=4,'[14]SDG^2 values'!$E$5,IF(DH36=5,'[14]SDG^2 values'!$F$5,1)))))</f>
        <v>1.02</v>
      </c>
      <c r="DU36" s="52">
        <f>IF(DI36=1,'[14]SDG^2 values'!$B$6,IF(DI36=2,'[14]SDG^2 values'!$C$6,IF(DI36=3,'[14]SDG^2 values'!$D$6,IF(DI36=4,'[14]SDG^2 values'!$E$6,IF(DI36=5,'[14]SDG^2 values'!$F$6,1)))))</f>
        <v>1</v>
      </c>
      <c r="DV36" s="52">
        <f>IF(DJ36=1,'[14]SDG^2 values'!$B$7,IF(DJ36=2,'[14]SDG^2 values'!$C$7,IF(DJ36=3,'[14]SDG^2 values'!$D$7,IF(DJ36=4,'[14]SDG^2 values'!$E$7,IF(DJ36=5,'[14]SDG^2 values'!$F$7,1)))))</f>
        <v>1</v>
      </c>
      <c r="DW36" s="52">
        <f>IF(DK36=1,'[14]SDG^2 values'!$B$8,IF(DK36=2,'[14]SDG^2 values'!$C$8,IF(DK36=3,'[14]SDG^2 values'!$D$8,IF(DK36=4,'[14]SDG^2 values'!$E$8,IF(DK36=5,'[14]SDG^2 values'!$F$8,1)))))</f>
        <v>1</v>
      </c>
      <c r="DX36" s="52">
        <f>IF(DL36=1,'[14]SDG^2 values'!$B$9,IF(DL36=2,'[14]SDG^2 values'!$C$9,IF(DL36=3,'[14]SDG^2 values'!$D$9,IF(DL36=4,'[14]SDG^2 values'!$E$9,IF(DL36=5,'[14]SDG^2 values'!$F$9,1)))))</f>
        <v>1.05</v>
      </c>
    </row>
    <row r="37" spans="1:128" ht="18" customHeight="1">
      <c r="A37" s="156"/>
      <c r="B37" s="163" t="s">
        <v>692</v>
      </c>
      <c r="C37" s="151"/>
      <c r="D37" s="153" t="s">
        <v>402</v>
      </c>
      <c r="E37" s="152">
        <v>4</v>
      </c>
      <c r="F37" s="126" t="s">
        <v>324</v>
      </c>
      <c r="G37" s="125" t="s">
        <v>402</v>
      </c>
      <c r="H37" s="126" t="s">
        <v>325</v>
      </c>
      <c r="I37" s="126" t="s">
        <v>685</v>
      </c>
      <c r="J37" s="124" t="s">
        <v>402</v>
      </c>
      <c r="K37" s="125" t="s">
        <v>677</v>
      </c>
      <c r="L37" s="155" t="e">
        <f>L7-3.6</f>
        <v>#REF!</v>
      </c>
      <c r="M37" s="29">
        <f t="shared" si="0"/>
        <v>1</v>
      </c>
      <c r="N37" s="1">
        <f t="shared" si="1"/>
        <v>1.05</v>
      </c>
      <c r="O37" s="139" t="str">
        <f t="shared" si="2"/>
        <v>(1,na,na,na,na,na); Calculation</v>
      </c>
      <c r="P37" s="155" t="e">
        <f>P7-3.6</f>
        <v>#REF!</v>
      </c>
      <c r="Q37" s="29">
        <f t="shared" si="3"/>
        <v>1</v>
      </c>
      <c r="R37" s="1">
        <f t="shared" si="4"/>
        <v>1.05</v>
      </c>
      <c r="S37" s="139" t="str">
        <f t="shared" si="5"/>
        <v>(1,na,na,na,na,na); Calculation</v>
      </c>
      <c r="T37" s="155" t="e">
        <f>T7-3.6</f>
        <v>#REF!</v>
      </c>
      <c r="U37" s="29">
        <f t="shared" si="6"/>
        <v>1</v>
      </c>
      <c r="V37" s="1">
        <f t="shared" si="7"/>
        <v>1.05</v>
      </c>
      <c r="W37" s="139" t="str">
        <f t="shared" si="8"/>
        <v>(1,na,na,na,na,na); Calculation</v>
      </c>
      <c r="X37" s="155" t="e">
        <f>X7-3.6</f>
        <v>#REF!</v>
      </c>
      <c r="Y37" s="29">
        <f t="shared" si="9"/>
        <v>1</v>
      </c>
      <c r="Z37" s="1">
        <f t="shared" si="10"/>
        <v>1.05</v>
      </c>
      <c r="AA37" s="139" t="str">
        <f t="shared" si="11"/>
        <v>(1,na,na,na,na,na); Calculation</v>
      </c>
      <c r="AB37" s="155" t="e">
        <f>AB7-3.6</f>
        <v>#REF!</v>
      </c>
      <c r="AC37" s="29">
        <f t="shared" si="12"/>
        <v>1</v>
      </c>
      <c r="AD37" s="1">
        <f t="shared" si="13"/>
        <v>1.05</v>
      </c>
      <c r="AE37" s="139" t="str">
        <f t="shared" si="14"/>
        <v>(1,na,na,na,na,na); Calculation</v>
      </c>
      <c r="AF37" s="155" t="e">
        <f>AF7-3.6</f>
        <v>#REF!</v>
      </c>
      <c r="AG37" s="29">
        <f t="shared" si="15"/>
        <v>1</v>
      </c>
      <c r="AH37" s="1">
        <f t="shared" si="16"/>
        <v>1.05</v>
      </c>
      <c r="AI37" s="139" t="str">
        <f t="shared" si="17"/>
        <v>(1,na,na,na,na,na); Calculation</v>
      </c>
      <c r="AJ37" s="155" t="e">
        <f>AJ7-3.6</f>
        <v>#REF!</v>
      </c>
      <c r="AK37" s="29">
        <f t="shared" si="18"/>
        <v>1</v>
      </c>
      <c r="AL37" s="1">
        <f t="shared" si="19"/>
        <v>1.05</v>
      </c>
      <c r="AM37" s="31" t="str">
        <f t="shared" si="20"/>
        <v>(1,na,na,na,na,na); Calculation</v>
      </c>
      <c r="AN37" s="155" t="e">
        <f>AN7-3.6</f>
        <v>#REF!</v>
      </c>
      <c r="AO37" s="29">
        <f t="shared" si="21"/>
        <v>1</v>
      </c>
      <c r="AP37" s="1">
        <f t="shared" si="22"/>
        <v>1.05</v>
      </c>
      <c r="AQ37" s="139" t="str">
        <f t="shared" si="23"/>
        <v>(1,na,na,na,na,na); Calculation</v>
      </c>
      <c r="AR37" s="155" t="e">
        <f>AR7-3.6</f>
        <v>#REF!</v>
      </c>
      <c r="AS37" s="29">
        <f t="shared" si="24"/>
        <v>1</v>
      </c>
      <c r="AT37" s="1">
        <f t="shared" si="25"/>
        <v>1.05</v>
      </c>
      <c r="AU37" s="31" t="str">
        <f t="shared" si="26"/>
        <v>(1,na,na,na,na,na); Calculation</v>
      </c>
      <c r="AV37" s="155" t="e">
        <f>AV7-3.6</f>
        <v>#REF!</v>
      </c>
      <c r="AW37" s="29">
        <f t="shared" si="27"/>
        <v>1</v>
      </c>
      <c r="AX37" s="1">
        <f t="shared" si="28"/>
        <v>1.05</v>
      </c>
      <c r="AY37" s="139" t="str">
        <f t="shared" si="29"/>
        <v>(1,na,na,na,na,na); Calculation</v>
      </c>
      <c r="AZ37" s="155" t="e">
        <f>AZ7-3.6</f>
        <v>#REF!</v>
      </c>
      <c r="BA37" s="29">
        <f t="shared" si="30"/>
        <v>1</v>
      </c>
      <c r="BB37" s="1">
        <f t="shared" si="31"/>
        <v>1.05</v>
      </c>
      <c r="BC37" s="139" t="str">
        <f t="shared" si="32"/>
        <v>(1,na,na,na,na,na); Calculation</v>
      </c>
      <c r="BD37" s="155" t="e">
        <f>BD7-3.6</f>
        <v>#REF!</v>
      </c>
      <c r="BE37" s="29">
        <f t="shared" si="33"/>
        <v>1</v>
      </c>
      <c r="BF37" s="1">
        <f t="shared" si="34"/>
        <v>1.05</v>
      </c>
      <c r="BG37" s="139" t="str">
        <f t="shared" si="35"/>
        <v>(1,na,na,na,na,na); Calculation</v>
      </c>
      <c r="BH37" s="29">
        <f t="shared" si="36"/>
        <v>1</v>
      </c>
      <c r="BI37" s="1">
        <f t="shared" si="37"/>
        <v>1.05</v>
      </c>
      <c r="BJ37" s="139" t="str">
        <f t="shared" si="38"/>
        <v>(1,na,na,na,na,na); Calculation</v>
      </c>
      <c r="BK37" s="155" t="e">
        <f>BK7-3.6</f>
        <v>#REF!</v>
      </c>
      <c r="BL37" s="29">
        <f t="shared" si="39"/>
        <v>1</v>
      </c>
      <c r="BM37" s="1">
        <f t="shared" si="40"/>
        <v>1.05</v>
      </c>
      <c r="BN37" s="139" t="str">
        <f t="shared" si="41"/>
        <v>(1,na,na,na,na,na); Calculation</v>
      </c>
      <c r="BO37" s="155" t="e">
        <f>BO7-3.6</f>
        <v>#REF!</v>
      </c>
      <c r="BP37" s="29">
        <f t="shared" si="42"/>
        <v>1</v>
      </c>
      <c r="BQ37" s="1">
        <f t="shared" si="43"/>
        <v>1.05</v>
      </c>
      <c r="BR37" s="139" t="str">
        <f t="shared" si="44"/>
        <v>(1,na,na,na,na,na); Calculation</v>
      </c>
      <c r="BS37" s="155" t="e">
        <f>BS7-3.6</f>
        <v>#REF!</v>
      </c>
      <c r="BT37" s="29">
        <f t="shared" si="45"/>
        <v>1</v>
      </c>
      <c r="BU37" s="1">
        <f t="shared" si="46"/>
        <v>1.05</v>
      </c>
      <c r="BV37" s="139" t="str">
        <f t="shared" si="47"/>
        <v>(1,na,na,na,na,na); Calculation</v>
      </c>
      <c r="BW37" s="155" t="e">
        <f>BW7-3.6</f>
        <v>#REF!</v>
      </c>
      <c r="BX37" s="29">
        <f t="shared" si="48"/>
        <v>1</v>
      </c>
      <c r="BY37" s="1">
        <f t="shared" si="49"/>
        <v>1.05</v>
      </c>
      <c r="BZ37" s="31" t="str">
        <f t="shared" si="62"/>
        <v>(1,na,na,na,na,na); Calculation</v>
      </c>
      <c r="CA37" s="155" t="e">
        <f t="shared" si="73"/>
        <v>#REF!</v>
      </c>
      <c r="CB37" s="29">
        <f t="shared" si="50"/>
        <v>1</v>
      </c>
      <c r="CC37" s="1">
        <f t="shared" si="51"/>
        <v>1.05</v>
      </c>
      <c r="CD37" s="139" t="str">
        <f t="shared" si="63"/>
        <v>(1,na,na,na,na,na); Calculation</v>
      </c>
      <c r="CE37" s="155" t="e">
        <f t="shared" si="74"/>
        <v>#REF!</v>
      </c>
      <c r="CF37" s="29">
        <f t="shared" si="52"/>
        <v>1</v>
      </c>
      <c r="CG37" s="1">
        <f t="shared" si="53"/>
        <v>1.05</v>
      </c>
      <c r="CH37" s="139" t="str">
        <f t="shared" si="64"/>
        <v>(1,na,na,na,na,na); Calculation</v>
      </c>
      <c r="CI37" s="155" t="e">
        <f t="shared" si="75"/>
        <v>#REF!</v>
      </c>
      <c r="CJ37" s="29">
        <f t="shared" si="54"/>
        <v>1</v>
      </c>
      <c r="CK37" s="1">
        <f t="shared" si="55"/>
        <v>1.05</v>
      </c>
      <c r="CL37" s="139" t="str">
        <f t="shared" si="65"/>
        <v>(1,na,na,na,na,na); Calculation</v>
      </c>
      <c r="CM37" s="155" t="e">
        <f t="shared" si="76"/>
        <v>#REF!</v>
      </c>
      <c r="CN37" s="29">
        <f t="shared" si="56"/>
        <v>1</v>
      </c>
      <c r="CO37" s="1">
        <f t="shared" si="57"/>
        <v>1.05</v>
      </c>
      <c r="CP37" s="139" t="str">
        <f t="shared" si="66"/>
        <v>(1,na,na,na,na,na); Calculation</v>
      </c>
      <c r="CQ37" s="155" t="e">
        <f t="shared" si="77"/>
        <v>#REF!</v>
      </c>
      <c r="CR37" s="29">
        <f t="shared" si="58"/>
        <v>1</v>
      </c>
      <c r="CS37" s="1">
        <f t="shared" si="59"/>
        <v>1.05</v>
      </c>
      <c r="CT37" s="139" t="str">
        <f t="shared" si="67"/>
        <v>(1,na,na,na,na,na); Calculation</v>
      </c>
      <c r="CU37" s="155" t="e">
        <f>CE37</f>
        <v>#REF!</v>
      </c>
      <c r="CV37" s="29">
        <f t="shared" si="60"/>
        <v>1</v>
      </c>
      <c r="CW37" s="1">
        <f t="shared" si="61"/>
        <v>1.05</v>
      </c>
      <c r="CX37" s="139" t="str">
        <f t="shared" si="68"/>
        <v>(1,na,na,na,na,na); Calculation</v>
      </c>
      <c r="CY37" s="155" t="e">
        <f>CY7-3.6</f>
        <v>#REF!</v>
      </c>
      <c r="CZ37" s="29">
        <v>1</v>
      </c>
      <c r="DA37" s="1">
        <f t="shared" si="69"/>
        <v>1.05</v>
      </c>
      <c r="DB37" s="31" t="str">
        <f>DQ37&amp;"; "&amp;DF37</f>
        <v>(1,na,na,na,na,na); Calculation</v>
      </c>
      <c r="DC37" s="180"/>
      <c r="DD37" s="180"/>
      <c r="DE37" s="180"/>
      <c r="DF37" s="115" t="s">
        <v>401</v>
      </c>
      <c r="DG37" s="152">
        <v>1</v>
      </c>
      <c r="DH37" s="152" t="s">
        <v>271</v>
      </c>
      <c r="DI37" s="152" t="s">
        <v>271</v>
      </c>
      <c r="DJ37" s="152" t="s">
        <v>271</v>
      </c>
      <c r="DK37" s="152" t="s">
        <v>271</v>
      </c>
      <c r="DL37" s="152" t="s">
        <v>271</v>
      </c>
      <c r="DM37" s="50">
        <v>13</v>
      </c>
      <c r="DN37" s="51">
        <f>INDEX([14]BasicUncertainty!$H$1:$H$65536,MATCH(DM37,[14]BasicUncertainty!$B$1:$B$65536,0),1)</f>
        <v>1.05</v>
      </c>
      <c r="DO37" s="87">
        <f t="shared" si="70"/>
        <v>1</v>
      </c>
      <c r="DP37" s="88">
        <f t="shared" si="71"/>
        <v>1.05</v>
      </c>
      <c r="DQ37" s="89" t="str">
        <f t="shared" si="72"/>
        <v>(1,na,na,na,na,na)</v>
      </c>
      <c r="DS37" s="52">
        <f>IF(DG37=1,'[14]SDG^2 values'!$B$4,IF(DG37=2,'[14]SDG^2 values'!$C$4,IF(DG37=3,'[14]SDG^2 values'!$D$4,IF(DG37=4,'[14]SDG^2 values'!$E$4,IF(DG37=5,'[14]SDG^2 values'!$F$4,1)))))</f>
        <v>1</v>
      </c>
      <c r="DT37" s="52">
        <f>IF(DH37=1,'[14]SDG^2 values'!$B$5,IF(DH37=2,'[14]SDG^2 values'!$C$5,IF(DH37=3,'[14]SDG^2 values'!$D$5,IF(DH37=4,'[14]SDG^2 values'!$E$5,IF(DH37=5,'[14]SDG^2 values'!$F$5,1)))))</f>
        <v>1</v>
      </c>
      <c r="DU37" s="52">
        <f>IF(DI37=1,'[14]SDG^2 values'!$B$6,IF(DI37=2,'[14]SDG^2 values'!$C$6,IF(DI37=3,'[14]SDG^2 values'!$D$6,IF(DI37=4,'[14]SDG^2 values'!$E$6,IF(DI37=5,'[14]SDG^2 values'!$F$6,1)))))</f>
        <v>1</v>
      </c>
      <c r="DV37" s="52">
        <f>IF(DJ37=1,'[14]SDG^2 values'!$B$7,IF(DJ37=2,'[14]SDG^2 values'!$C$7,IF(DJ37=3,'[14]SDG^2 values'!$D$7,IF(DJ37=4,'[14]SDG^2 values'!$E$7,IF(DJ37=5,'[14]SDG^2 values'!$F$7,1)))))</f>
        <v>1</v>
      </c>
      <c r="DW37" s="52">
        <f>IF(DK37=1,'[14]SDG^2 values'!$B$8,IF(DK37=2,'[14]SDG^2 values'!$C$8,IF(DK37=3,'[14]SDG^2 values'!$D$8,IF(DK37=4,'[14]SDG^2 values'!$E$8,IF(DK37=5,'[14]SDG^2 values'!$F$8,1)))))</f>
        <v>1</v>
      </c>
      <c r="DX37" s="52">
        <f>IF(DL37=1,'[14]SDG^2 values'!$B$9,IF(DL37=2,'[14]SDG^2 values'!$C$9,IF(DL37=3,'[14]SDG^2 values'!$D$9,IF(DL37=4,'[14]SDG^2 values'!$E$9,IF(DL37=5,'[14]SDG^2 values'!$F$9,1)))))</f>
        <v>1</v>
      </c>
    </row>
    <row r="38" spans="1:128" outlineLevel="1">
      <c r="A38" s="5">
        <v>1459</v>
      </c>
      <c r="B38" s="168" t="s">
        <v>523</v>
      </c>
      <c r="C38" s="169"/>
      <c r="D38" s="11" t="s">
        <v>402</v>
      </c>
      <c r="E38" s="170">
        <v>0</v>
      </c>
      <c r="F38" s="145" t="str">
        <f>IF(OR(D38="4",E38="4"),INDEX([14]NamesElementary!$B$1:$B$65536,MATCH(A38,[14]NamesElementary!$A$1:$A$65536,0),1),INDEX([14]Names!$J$1:$J$65602,MATCH(A38,[14]Names!$F$1:$F$65602,0),1))</f>
        <v>electricity, PV, at 3kWp facade, single-Si, laminated, integrated</v>
      </c>
      <c r="G38" s="16" t="str">
        <f>IF(OR(D38="4",E38="4"),"-",INDEX([14]Names!$K$1:$K$65602,MATCH(A38,[14]Names!$F$1:$F$65602,0),1))</f>
        <v>CH</v>
      </c>
      <c r="H38" s="14" t="str">
        <f>IF(OR(D38="4",E38="4"),INDEX([14]NamesElementary!$D$1:$D$65536,MATCH($A38,[14]NamesElementary!$A$1:$A$65536,0),1),"-")</f>
        <v>-</v>
      </c>
      <c r="I38" s="14" t="str">
        <f>IF(OR(D38="4",E38="4"),INDEX([14]NamesElementary!$E$1:$E$65536,MATCH($A38,[14]NamesElementary!$A$1:$A$65536,0),1),"-")</f>
        <v>-</v>
      </c>
      <c r="J38" s="15">
        <f>IF(OR(D38="4",E38="4"),"-",INDEX([14]Names!$N$1:$N$65602,MATCH(A38,[14]Names!$F$1:$F$65602,0),1))</f>
        <v>0</v>
      </c>
      <c r="K38" s="16" t="str">
        <f>IF(OR(D38="4",E38="4"),INDEX([14]NamesElementary!$G$1:$G$65536,MATCH(A38,[14]NamesElementary!$A$1:$A$65536,0),1),INDEX([14]Names!$O$1:$O$65602,MATCH(A38,[14]Names!$F$1:$F$65602,0),1))</f>
        <v>kWh</v>
      </c>
      <c r="L38" s="149">
        <v>1</v>
      </c>
      <c r="M38" s="29"/>
      <c r="N38" s="1"/>
      <c r="O38" s="139"/>
      <c r="P38" s="149">
        <v>0</v>
      </c>
      <c r="Q38" s="29"/>
      <c r="R38" s="1"/>
      <c r="S38" s="139"/>
      <c r="T38" s="149">
        <v>0</v>
      </c>
      <c r="U38" s="29"/>
      <c r="V38" s="1"/>
      <c r="W38" s="139"/>
      <c r="X38" s="149">
        <v>0</v>
      </c>
      <c r="Y38" s="29"/>
      <c r="Z38" s="1"/>
      <c r="AA38" s="139"/>
      <c r="AB38" s="149">
        <v>0</v>
      </c>
      <c r="AC38" s="29"/>
      <c r="AD38" s="1"/>
      <c r="AE38" s="139"/>
      <c r="AF38" s="149">
        <v>0</v>
      </c>
      <c r="AG38" s="29"/>
      <c r="AH38" s="1"/>
      <c r="AI38" s="139"/>
      <c r="AJ38" s="149">
        <v>0</v>
      </c>
      <c r="AK38" s="29"/>
      <c r="AL38" s="1"/>
      <c r="AM38" s="31"/>
      <c r="AN38" s="149">
        <v>0</v>
      </c>
      <c r="AO38" s="29"/>
      <c r="AP38" s="1"/>
      <c r="AQ38" s="139"/>
      <c r="AR38" s="149">
        <v>0</v>
      </c>
      <c r="AS38" s="29"/>
      <c r="AT38" s="1"/>
      <c r="AU38" s="31"/>
      <c r="AV38" s="149">
        <v>0</v>
      </c>
      <c r="AW38" s="29"/>
      <c r="AX38" s="1"/>
      <c r="AY38" s="139"/>
      <c r="AZ38" s="149">
        <v>0</v>
      </c>
      <c r="BA38" s="29"/>
      <c r="BB38" s="1"/>
      <c r="BC38" s="139"/>
      <c r="BD38" s="149">
        <v>0</v>
      </c>
      <c r="BE38" s="29"/>
      <c r="BF38" s="1"/>
      <c r="BG38" s="139"/>
      <c r="BH38" s="29"/>
      <c r="BI38" s="1"/>
      <c r="BJ38" s="139"/>
      <c r="BK38" s="149">
        <v>0</v>
      </c>
      <c r="BL38" s="29"/>
      <c r="BM38" s="1"/>
      <c r="BN38" s="139"/>
      <c r="BO38" s="149">
        <v>0</v>
      </c>
      <c r="BP38" s="29"/>
      <c r="BQ38" s="1"/>
      <c r="BR38" s="139"/>
      <c r="BS38" s="149">
        <v>0</v>
      </c>
      <c r="BT38" s="29"/>
      <c r="BU38" s="1"/>
      <c r="BV38" s="139"/>
      <c r="BW38" s="149">
        <v>0</v>
      </c>
      <c r="BX38" s="29"/>
      <c r="BY38" s="1"/>
      <c r="BZ38" s="31"/>
      <c r="CA38" s="149">
        <v>0</v>
      </c>
      <c r="CB38" s="29"/>
      <c r="CC38" s="1"/>
      <c r="CD38" s="31"/>
      <c r="CE38" s="149">
        <v>0</v>
      </c>
      <c r="CF38" s="29"/>
      <c r="CG38" s="1"/>
      <c r="CH38" s="31"/>
      <c r="CI38" s="149">
        <v>0</v>
      </c>
      <c r="CJ38" s="29"/>
      <c r="CK38" s="1"/>
      <c r="CL38" s="31"/>
      <c r="CM38" s="149">
        <v>0</v>
      </c>
      <c r="CN38" s="29"/>
      <c r="CO38" s="1"/>
      <c r="CP38" s="31"/>
      <c r="CQ38" s="149">
        <v>0</v>
      </c>
      <c r="CR38" s="29"/>
      <c r="CS38" s="1"/>
      <c r="CT38" s="31"/>
      <c r="CU38" s="149">
        <v>0</v>
      </c>
      <c r="CV38" s="29"/>
      <c r="CW38" s="1"/>
      <c r="CX38" s="31"/>
      <c r="CY38" s="149">
        <v>0</v>
      </c>
      <c r="CZ38" s="29"/>
      <c r="DA38" s="1"/>
      <c r="DB38" s="31"/>
      <c r="DC38" s="180"/>
      <c r="DD38" s="180"/>
      <c r="DE38" s="287" t="e">
        <f t="shared" ref="DE38:DE53" si="90">DE15</f>
        <v>#REF!</v>
      </c>
      <c r="DF38" s="115"/>
      <c r="DG38" s="10">
        <v>1</v>
      </c>
      <c r="DH38" s="50">
        <v>1</v>
      </c>
      <c r="DI38" s="50">
        <v>1</v>
      </c>
      <c r="DJ38" s="50">
        <v>1</v>
      </c>
      <c r="DK38" s="50">
        <v>1</v>
      </c>
      <c r="DL38" s="50">
        <v>1</v>
      </c>
      <c r="DM38" s="50">
        <v>45</v>
      </c>
      <c r="DN38" s="51">
        <f>INDEX([14]BasicUncertainty!$A:$IV,MATCH(DM38,[14]BasicUncertainty!B$1:B$65536,0),8)</f>
        <v>1</v>
      </c>
      <c r="DO38" s="87">
        <f t="shared" si="70"/>
        <v>1</v>
      </c>
      <c r="DP38" s="88">
        <f t="shared" si="71"/>
        <v>1</v>
      </c>
      <c r="DQ38" s="89" t="str">
        <f t="shared" si="72"/>
        <v>(1,1,1,1,1,1)</v>
      </c>
      <c r="DS38" s="52">
        <f>IF(DG38=1,'[14]SDG^2 values'!$B$4,IF(DG38=2,'[14]SDG^2 values'!$C$4,IF(DG38=3,'[14]SDG^2 values'!$D$4,IF(DG38=4,'[14]SDG^2 values'!$E$4,IF(DG38=5,'[14]SDG^2 values'!$F$4,1)))))</f>
        <v>1</v>
      </c>
      <c r="DT38" s="52">
        <f>IF(DH38=1,'[14]SDG^2 values'!$B$5,IF(DH38=2,'[14]SDG^2 values'!$C$5,IF(DH38=3,'[14]SDG^2 values'!$D$5,IF(DH38=4,'[14]SDG^2 values'!$E$5,IF(DH38=5,'[14]SDG^2 values'!$F$5,1)))))</f>
        <v>1</v>
      </c>
      <c r="DU38" s="52">
        <f>IF(DI38=1,'[14]SDG^2 values'!$B$6,IF(DI38=2,'[14]SDG^2 values'!$C$6,IF(DI38=3,'[14]SDG^2 values'!$D$6,IF(DI38=4,'[14]SDG^2 values'!$E$6,IF(DI38=5,'[14]SDG^2 values'!$F$6,1)))))</f>
        <v>1</v>
      </c>
      <c r="DV38" s="52">
        <f>IF(DJ38=1,'[14]SDG^2 values'!$B$7,IF(DJ38=2,'[14]SDG^2 values'!$C$7,IF(DJ38=3,'[14]SDG^2 values'!$D$7,IF(DJ38=4,'[14]SDG^2 values'!$E$7,IF(DJ38=5,'[14]SDG^2 values'!$F$7,1)))))</f>
        <v>1</v>
      </c>
      <c r="DW38" s="52">
        <f>IF(DK38=1,'[14]SDG^2 values'!$B$8,IF(DK38=2,'[14]SDG^2 values'!$C$8,IF(DK38=3,'[14]SDG^2 values'!$D$8,IF(DK38=4,'[14]SDG^2 values'!$E$8,IF(DK38=5,'[14]SDG^2 values'!$F$8,1)))))</f>
        <v>1</v>
      </c>
      <c r="DX38" s="52">
        <f>IF(DL38=1,'[14]SDG^2 values'!$B$9,IF(DL38=2,'[14]SDG^2 values'!$C$9,IF(DL38=3,'[14]SDG^2 values'!$D$9,IF(DL38=4,'[14]SDG^2 values'!$E$9,IF(DL38=5,'[14]SDG^2 values'!$F$9,1)))))</f>
        <v>1</v>
      </c>
    </row>
    <row r="39" spans="1:128" ht="24" outlineLevel="1">
      <c r="A39" s="6">
        <v>1460</v>
      </c>
      <c r="B39" s="168"/>
      <c r="C39" s="169"/>
      <c r="D39" s="11" t="s">
        <v>402</v>
      </c>
      <c r="E39" s="170">
        <v>0</v>
      </c>
      <c r="F39" s="145" t="str">
        <f>IF(OR(D39="4",E39="4"),INDEX([14]NamesElementary!$B$1:$B$65536,MATCH(A39,[14]NamesElementary!$A$1:$A$65536,0),1),INDEX([14]Names!$J$1:$J$65602,MATCH(A39,[14]Names!$F$1:$F$65602,0),1))</f>
        <v>electricity, PV, at 3kWp facade installation, single-Si, panel, mounted</v>
      </c>
      <c r="G39" s="16" t="str">
        <f>IF(OR(D39="4",E39="4"),"-",INDEX([14]Names!$K$1:$K$65602,MATCH(A39,[14]Names!$F$1:$F$65602,0),1))</f>
        <v>CH</v>
      </c>
      <c r="H39" s="14" t="str">
        <f>IF(OR(D39="4",E39="4"),INDEX([14]NamesElementary!$D$1:$D$65536,MATCH($A39,[14]NamesElementary!$A$1:$A$65536,0),1),"-")</f>
        <v>-</v>
      </c>
      <c r="I39" s="14" t="str">
        <f>IF(OR(D39="4",E39="4"),INDEX([14]NamesElementary!$E$1:$E$65536,MATCH($A39,[14]NamesElementary!$A$1:$A$65536,0),1),"-")</f>
        <v>-</v>
      </c>
      <c r="J39" s="15">
        <f>IF(OR(D39="4",E39="4"),"-",INDEX([14]Names!$N$1:$N$65602,MATCH(A39,[14]Names!$F$1:$F$65602,0),1))</f>
        <v>0</v>
      </c>
      <c r="K39" s="16" t="str">
        <f>IF(OR(D39="4",E39="4"),INDEX([14]NamesElementary!$G$1:$G$65536,MATCH(A39,[14]NamesElementary!$A$1:$A$65536,0),1),INDEX([14]Names!$O$1:$O$65602,MATCH(A39,[14]Names!$F$1:$F$65602,0),1))</f>
        <v>kWh</v>
      </c>
      <c r="L39" s="149">
        <v>0</v>
      </c>
      <c r="M39" s="40"/>
      <c r="N39" s="89"/>
      <c r="O39" s="202"/>
      <c r="P39" s="149">
        <f t="shared" ref="P39:P51" si="91">L38</f>
        <v>1</v>
      </c>
      <c r="Q39" s="40"/>
      <c r="R39" s="89"/>
      <c r="S39" s="202"/>
      <c r="T39" s="149">
        <v>0</v>
      </c>
      <c r="U39" s="40"/>
      <c r="V39" s="89"/>
      <c r="W39" s="202"/>
      <c r="X39" s="149">
        <v>0</v>
      </c>
      <c r="Y39" s="40"/>
      <c r="Z39" s="89"/>
      <c r="AA39" s="202"/>
      <c r="AB39" s="149">
        <v>0</v>
      </c>
      <c r="AC39" s="40"/>
      <c r="AD39" s="89"/>
      <c r="AE39" s="202"/>
      <c r="AF39" s="149">
        <v>0</v>
      </c>
      <c r="AG39" s="40"/>
      <c r="AH39" s="89"/>
      <c r="AI39" s="202"/>
      <c r="AJ39" s="149">
        <v>0</v>
      </c>
      <c r="AK39" s="40"/>
      <c r="AL39" s="89"/>
      <c r="AM39" s="193"/>
      <c r="AN39" s="149">
        <v>0</v>
      </c>
      <c r="AO39" s="40"/>
      <c r="AP39" s="89"/>
      <c r="AQ39" s="202"/>
      <c r="AR39" s="149">
        <v>0</v>
      </c>
      <c r="AS39" s="40"/>
      <c r="AT39" s="89"/>
      <c r="AU39" s="193"/>
      <c r="AV39" s="149">
        <v>0</v>
      </c>
      <c r="AW39" s="40"/>
      <c r="AX39" s="89"/>
      <c r="AY39" s="202"/>
      <c r="AZ39" s="149">
        <v>0</v>
      </c>
      <c r="BA39" s="40"/>
      <c r="BB39" s="89"/>
      <c r="BC39" s="202"/>
      <c r="BD39" s="149">
        <v>0</v>
      </c>
      <c r="BE39" s="40"/>
      <c r="BF39" s="89"/>
      <c r="BG39" s="202"/>
      <c r="BH39" s="40"/>
      <c r="BI39" s="89"/>
      <c r="BJ39" s="202"/>
      <c r="BK39" s="149">
        <v>0</v>
      </c>
      <c r="BL39" s="40"/>
      <c r="BM39" s="89"/>
      <c r="BN39" s="202"/>
      <c r="BO39" s="149">
        <v>0</v>
      </c>
      <c r="BP39" s="40"/>
      <c r="BQ39" s="89"/>
      <c r="BR39" s="202"/>
      <c r="BS39" s="149">
        <v>0</v>
      </c>
      <c r="BT39" s="40"/>
      <c r="BU39" s="89"/>
      <c r="BV39" s="202"/>
      <c r="BW39" s="149">
        <v>0</v>
      </c>
      <c r="BX39" s="40"/>
      <c r="BY39" s="89"/>
      <c r="BZ39" s="193"/>
      <c r="CA39" s="149">
        <v>0</v>
      </c>
      <c r="CB39" s="40"/>
      <c r="CC39" s="89"/>
      <c r="CD39" s="193"/>
      <c r="CE39" s="149">
        <v>0</v>
      </c>
      <c r="CF39" s="40"/>
      <c r="CG39" s="89"/>
      <c r="CH39" s="193"/>
      <c r="CI39" s="149">
        <v>0</v>
      </c>
      <c r="CJ39" s="40"/>
      <c r="CK39" s="89"/>
      <c r="CL39" s="193"/>
      <c r="CM39" s="149">
        <v>0</v>
      </c>
      <c r="CN39" s="40"/>
      <c r="CO39" s="89"/>
      <c r="CP39" s="193"/>
      <c r="CQ39" s="149">
        <v>0</v>
      </c>
      <c r="CR39" s="40"/>
      <c r="CS39" s="89"/>
      <c r="CT39" s="193"/>
      <c r="CU39" s="149">
        <v>0</v>
      </c>
      <c r="CV39" s="40"/>
      <c r="CW39" s="89"/>
      <c r="CX39" s="193"/>
      <c r="CY39" s="149">
        <v>0</v>
      </c>
      <c r="CZ39" s="40"/>
      <c r="DA39" s="89"/>
      <c r="DB39" s="193"/>
      <c r="DC39" s="180"/>
      <c r="DD39" s="180"/>
      <c r="DE39" s="287" t="e">
        <f t="shared" si="90"/>
        <v>#REF!</v>
      </c>
    </row>
    <row r="40" spans="1:128" outlineLevel="1">
      <c r="A40" s="6">
        <v>1461</v>
      </c>
      <c r="B40" s="168"/>
      <c r="C40" s="169"/>
      <c r="D40" s="11" t="s">
        <v>402</v>
      </c>
      <c r="E40" s="170">
        <v>0</v>
      </c>
      <c r="F40" s="145" t="str">
        <f>IF(OR(D40="4",E40="4"),INDEX([14]NamesElementary!$B$1:$B$65536,MATCH(A40,[14]NamesElementary!$A$1:$A$65536,0),1),INDEX([14]Names!$J$1:$J$65602,MATCH(A40,[14]Names!$F$1:$F$65602,0),1))</f>
        <v>electricity, PV, at 3kWp facade, multi-Si, laminated, integrated</v>
      </c>
      <c r="G40" s="16" t="str">
        <f>IF(OR(D40="4",E40="4"),"-",INDEX([14]Names!$K$1:$K$65602,MATCH(A40,[14]Names!$F$1:$F$65602,0),1))</f>
        <v>CH</v>
      </c>
      <c r="H40" s="14" t="str">
        <f>IF(OR(D40="4",E40="4"),INDEX([14]NamesElementary!$D$1:$D$65536,MATCH($A40,[14]NamesElementary!$A$1:$A$65536,0),1),"-")</f>
        <v>-</v>
      </c>
      <c r="I40" s="14" t="str">
        <f>IF(OR(D40="4",E40="4"),INDEX([14]NamesElementary!$E$1:$E$65536,MATCH($A40,[14]NamesElementary!$A$1:$A$65536,0),1),"-")</f>
        <v>-</v>
      </c>
      <c r="J40" s="15">
        <f>IF(OR(D40="4",E40="4"),"-",INDEX([14]Names!$N$1:$N$65602,MATCH(A40,[14]Names!$F$1:$F$65602,0),1))</f>
        <v>0</v>
      </c>
      <c r="K40" s="16" t="str">
        <f>IF(OR(D40="4",E40="4"),INDEX([14]NamesElementary!$G$1:$G$65536,MATCH(A40,[14]NamesElementary!$A$1:$A$65536,0),1),INDEX([14]Names!$O$1:$O$65602,MATCH(A40,[14]Names!$F$1:$F$65602,0),1))</f>
        <v>kWh</v>
      </c>
      <c r="L40" s="149">
        <v>0</v>
      </c>
      <c r="M40" s="40"/>
      <c r="N40" s="89"/>
      <c r="O40" s="202"/>
      <c r="P40" s="149">
        <f t="shared" si="91"/>
        <v>0</v>
      </c>
      <c r="Q40" s="40"/>
      <c r="R40" s="89"/>
      <c r="S40" s="202"/>
      <c r="T40" s="149">
        <f>P39</f>
        <v>1</v>
      </c>
      <c r="U40" s="40"/>
      <c r="V40" s="89"/>
      <c r="W40" s="202"/>
      <c r="X40" s="149">
        <f>T39</f>
        <v>0</v>
      </c>
      <c r="Y40" s="40"/>
      <c r="Z40" s="89"/>
      <c r="AA40" s="202"/>
      <c r="AB40" s="149">
        <f t="shared" ref="AB40:AB51" si="92">X39</f>
        <v>0</v>
      </c>
      <c r="AC40" s="40"/>
      <c r="AD40" s="89"/>
      <c r="AE40" s="202"/>
      <c r="AF40" s="149">
        <f t="shared" ref="AF40:AF51" si="93">AB39</f>
        <v>0</v>
      </c>
      <c r="AG40" s="40"/>
      <c r="AH40" s="89"/>
      <c r="AI40" s="202"/>
      <c r="AJ40" s="149">
        <f t="shared" ref="AJ40:AJ51" si="94">AF39</f>
        <v>0</v>
      </c>
      <c r="AK40" s="40"/>
      <c r="AL40" s="89"/>
      <c r="AM40" s="193"/>
      <c r="AN40" s="149">
        <f t="shared" ref="AN40:AN51" si="95">AJ39</f>
        <v>0</v>
      </c>
      <c r="AO40" s="40"/>
      <c r="AP40" s="89"/>
      <c r="AQ40" s="202"/>
      <c r="AR40" s="149">
        <f t="shared" ref="AR40:AR51" si="96">AN39</f>
        <v>0</v>
      </c>
      <c r="AS40" s="40"/>
      <c r="AT40" s="89"/>
      <c r="AU40" s="193"/>
      <c r="AV40" s="149">
        <f t="shared" ref="AV40:AV51" si="97">AR39</f>
        <v>0</v>
      </c>
      <c r="AW40" s="40"/>
      <c r="AX40" s="89"/>
      <c r="AY40" s="202"/>
      <c r="AZ40" s="149">
        <f t="shared" ref="AZ40:AZ47" si="98">AV39</f>
        <v>0</v>
      </c>
      <c r="BA40" s="40"/>
      <c r="BB40" s="89"/>
      <c r="BC40" s="202"/>
      <c r="BD40" s="149">
        <f t="shared" ref="BD40:BD51" si="99">AZ39</f>
        <v>0</v>
      </c>
      <c r="BE40" s="40"/>
      <c r="BF40" s="89"/>
      <c r="BG40" s="202"/>
      <c r="BH40" s="40"/>
      <c r="BI40" s="89"/>
      <c r="BJ40" s="202"/>
      <c r="BK40" s="149">
        <f t="shared" ref="BK40:BK47" si="100">AZ39</f>
        <v>0</v>
      </c>
      <c r="BL40" s="40"/>
      <c r="BM40" s="89"/>
      <c r="BN40" s="202"/>
      <c r="BO40" s="149">
        <v>0</v>
      </c>
      <c r="BP40" s="40"/>
      <c r="BQ40" s="89"/>
      <c r="BR40" s="202"/>
      <c r="BS40" s="149">
        <f>BO39</f>
        <v>0</v>
      </c>
      <c r="BT40" s="40"/>
      <c r="BU40" s="89"/>
      <c r="BV40" s="202"/>
      <c r="BW40" s="149">
        <f>BS39</f>
        <v>0</v>
      </c>
      <c r="BX40" s="40"/>
      <c r="BY40" s="89"/>
      <c r="BZ40" s="193"/>
      <c r="CA40" s="149">
        <f>BW39</f>
        <v>0</v>
      </c>
      <c r="CB40" s="40"/>
      <c r="CC40" s="89"/>
      <c r="CD40" s="193"/>
      <c r="CE40" s="149">
        <f>CA39</f>
        <v>0</v>
      </c>
      <c r="CF40" s="40"/>
      <c r="CG40" s="89"/>
      <c r="CH40" s="193"/>
      <c r="CI40" s="149">
        <f>CE39</f>
        <v>0</v>
      </c>
      <c r="CJ40" s="40"/>
      <c r="CK40" s="89"/>
      <c r="CL40" s="193"/>
      <c r="CM40" s="149">
        <f>CI39</f>
        <v>0</v>
      </c>
      <c r="CN40" s="40"/>
      <c r="CO40" s="89"/>
      <c r="CP40" s="193"/>
      <c r="CQ40" s="149">
        <f>CM39</f>
        <v>0</v>
      </c>
      <c r="CR40" s="40"/>
      <c r="CS40" s="89"/>
      <c r="CT40" s="193"/>
      <c r="CU40" s="149">
        <f>CQ39</f>
        <v>0</v>
      </c>
      <c r="CV40" s="40"/>
      <c r="CW40" s="89"/>
      <c r="CX40" s="193"/>
      <c r="CY40" s="149">
        <v>0</v>
      </c>
      <c r="CZ40" s="40"/>
      <c r="DA40" s="89"/>
      <c r="DB40" s="193"/>
      <c r="DC40" s="180"/>
      <c r="DD40" s="180"/>
      <c r="DE40" s="287" t="e">
        <f t="shared" si="90"/>
        <v>#REF!</v>
      </c>
    </row>
    <row r="41" spans="1:128" ht="24" outlineLevel="1">
      <c r="A41" s="6">
        <v>1462</v>
      </c>
      <c r="B41" s="168"/>
      <c r="C41" s="169"/>
      <c r="D41" s="11" t="s">
        <v>402</v>
      </c>
      <c r="E41" s="170">
        <v>0</v>
      </c>
      <c r="F41" s="145" t="str">
        <f>IF(OR(D41="4",E41="4"),INDEX([14]NamesElementary!$B$1:$B$65536,MATCH(A41,[14]NamesElementary!$A$1:$A$65536,0),1),INDEX([14]Names!$J$1:$J$65602,MATCH(A41,[14]Names!$F$1:$F$65602,0),1))</f>
        <v>electricity, PV, at 3kWp facade installation, multi-Si, panel, mounted</v>
      </c>
      <c r="G41" s="16" t="str">
        <f>IF(OR(D41="4",E41="4"),"-",INDEX([14]Names!$K$1:$K$65602,MATCH(A41,[14]Names!$F$1:$F$65602,0),1))</f>
        <v>CH</v>
      </c>
      <c r="H41" s="14" t="str">
        <f>IF(OR(D41="4",E41="4"),INDEX([14]NamesElementary!$D$1:$D$65536,MATCH($A41,[14]NamesElementary!$A$1:$A$65536,0),1),"-")</f>
        <v>-</v>
      </c>
      <c r="I41" s="14" t="str">
        <f>IF(OR(D41="4",E41="4"),INDEX([14]NamesElementary!$E$1:$E$65536,MATCH($A41,[14]NamesElementary!$A$1:$A$65536,0),1),"-")</f>
        <v>-</v>
      </c>
      <c r="J41" s="15">
        <f>IF(OR(D41="4",E41="4"),"-",INDEX([14]Names!$N$1:$N$65602,MATCH(A41,[14]Names!$F$1:$F$65602,0),1))</f>
        <v>0</v>
      </c>
      <c r="K41" s="16" t="str">
        <f>IF(OR(D41="4",E41="4"),INDEX([14]NamesElementary!$G$1:$G$65536,MATCH(A41,[14]NamesElementary!$A$1:$A$65536,0),1),INDEX([14]Names!$O$1:$O$65602,MATCH(A41,[14]Names!$F$1:$F$65602,0),1))</f>
        <v>kWh</v>
      </c>
      <c r="L41" s="149">
        <v>0</v>
      </c>
      <c r="M41" s="40"/>
      <c r="N41" s="89"/>
      <c r="O41" s="202"/>
      <c r="P41" s="149">
        <f t="shared" si="91"/>
        <v>0</v>
      </c>
      <c r="Q41" s="40"/>
      <c r="R41" s="89"/>
      <c r="S41" s="202"/>
      <c r="T41" s="149">
        <f>P40</f>
        <v>0</v>
      </c>
      <c r="U41" s="40"/>
      <c r="V41" s="89"/>
      <c r="W41" s="202"/>
      <c r="X41" s="149">
        <f>T40</f>
        <v>1</v>
      </c>
      <c r="Y41" s="40"/>
      <c r="Z41" s="89"/>
      <c r="AA41" s="202"/>
      <c r="AB41" s="149">
        <f t="shared" si="92"/>
        <v>0</v>
      </c>
      <c r="AC41" s="40"/>
      <c r="AD41" s="89"/>
      <c r="AE41" s="202"/>
      <c r="AF41" s="149">
        <f t="shared" si="93"/>
        <v>0</v>
      </c>
      <c r="AG41" s="40"/>
      <c r="AH41" s="89"/>
      <c r="AI41" s="202"/>
      <c r="AJ41" s="149">
        <f t="shared" si="94"/>
        <v>0</v>
      </c>
      <c r="AK41" s="40"/>
      <c r="AL41" s="89"/>
      <c r="AM41" s="193"/>
      <c r="AN41" s="149">
        <f t="shared" si="95"/>
        <v>0</v>
      </c>
      <c r="AO41" s="40"/>
      <c r="AP41" s="89"/>
      <c r="AQ41" s="202"/>
      <c r="AR41" s="149">
        <f t="shared" si="96"/>
        <v>0</v>
      </c>
      <c r="AS41" s="40"/>
      <c r="AT41" s="89"/>
      <c r="AU41" s="193"/>
      <c r="AV41" s="149">
        <f t="shared" si="97"/>
        <v>0</v>
      </c>
      <c r="AW41" s="40"/>
      <c r="AX41" s="89"/>
      <c r="AY41" s="202"/>
      <c r="AZ41" s="149">
        <f t="shared" si="98"/>
        <v>0</v>
      </c>
      <c r="BA41" s="40"/>
      <c r="BB41" s="89"/>
      <c r="BC41" s="202"/>
      <c r="BD41" s="149">
        <f t="shared" si="99"/>
        <v>0</v>
      </c>
      <c r="BE41" s="40"/>
      <c r="BF41" s="89"/>
      <c r="BG41" s="202"/>
      <c r="BH41" s="40"/>
      <c r="BI41" s="89"/>
      <c r="BJ41" s="202"/>
      <c r="BK41" s="149">
        <f t="shared" si="100"/>
        <v>0</v>
      </c>
      <c r="BL41" s="40"/>
      <c r="BM41" s="89"/>
      <c r="BN41" s="202"/>
      <c r="BO41" s="149">
        <v>0</v>
      </c>
      <c r="BP41" s="40"/>
      <c r="BQ41" s="89"/>
      <c r="BR41" s="202"/>
      <c r="BS41" s="149">
        <v>0</v>
      </c>
      <c r="BT41" s="40"/>
      <c r="BU41" s="89"/>
      <c r="BV41" s="202"/>
      <c r="BW41" s="149">
        <f>BS40</f>
        <v>0</v>
      </c>
      <c r="BX41" s="40"/>
      <c r="BY41" s="89"/>
      <c r="BZ41" s="193"/>
      <c r="CA41" s="149">
        <f>BW40</f>
        <v>0</v>
      </c>
      <c r="CB41" s="40"/>
      <c r="CC41" s="89"/>
      <c r="CD41" s="193"/>
      <c r="CE41" s="149">
        <f>CA40</f>
        <v>0</v>
      </c>
      <c r="CF41" s="40"/>
      <c r="CG41" s="89"/>
      <c r="CH41" s="193"/>
      <c r="CI41" s="149">
        <f>CE40</f>
        <v>0</v>
      </c>
      <c r="CJ41" s="40"/>
      <c r="CK41" s="89"/>
      <c r="CL41" s="193"/>
      <c r="CM41" s="149">
        <f>CI40</f>
        <v>0</v>
      </c>
      <c r="CN41" s="40"/>
      <c r="CO41" s="89"/>
      <c r="CP41" s="193"/>
      <c r="CQ41" s="149">
        <f>CM40</f>
        <v>0</v>
      </c>
      <c r="CR41" s="40"/>
      <c r="CS41" s="89"/>
      <c r="CT41" s="193"/>
      <c r="CU41" s="149">
        <f>CQ40</f>
        <v>0</v>
      </c>
      <c r="CV41" s="40"/>
      <c r="CW41" s="89"/>
      <c r="CX41" s="193"/>
      <c r="CY41" s="149">
        <v>0</v>
      </c>
      <c r="CZ41" s="40"/>
      <c r="DA41" s="89"/>
      <c r="DB41" s="193"/>
      <c r="DC41" s="603" t="e">
        <f>SUM(DC10:DC36)</f>
        <v>#REF!</v>
      </c>
      <c r="DE41" s="287" t="e">
        <f t="shared" si="90"/>
        <v>#REF!</v>
      </c>
    </row>
    <row r="42" spans="1:128" outlineLevel="1">
      <c r="A42" s="6">
        <v>1463</v>
      </c>
      <c r="B42" s="168"/>
      <c r="C42" s="169"/>
      <c r="D42" s="11" t="s">
        <v>402</v>
      </c>
      <c r="E42" s="170">
        <v>0</v>
      </c>
      <c r="F42" s="145" t="str">
        <f>IF(OR(D42="4",E42="4"),INDEX([14]NamesElementary!$B$1:$B$65536,MATCH(A42,[14]NamesElementary!$A$1:$A$65536,0),1),INDEX([14]Names!$J$1:$J$65602,MATCH(A42,[14]Names!$F$1:$F$65602,0),1))</f>
        <v>electricity, PV, at 3kWp flat roof installation, single-Si</v>
      </c>
      <c r="G42" s="16" t="str">
        <f>IF(OR(D42="4",E42="4"),"-",INDEX([14]Names!$K$1:$K$65602,MATCH(A42,[14]Names!$F$1:$F$65602,0),1))</f>
        <v>CH</v>
      </c>
      <c r="H42" s="14" t="str">
        <f>IF(OR(D42="4",E42="4"),INDEX([14]NamesElementary!$D$1:$D$65536,MATCH($A42,[14]NamesElementary!$A$1:$A$65536,0),1),"-")</f>
        <v>-</v>
      </c>
      <c r="I42" s="14" t="str">
        <f>IF(OR(D42="4",E42="4"),INDEX([14]NamesElementary!$E$1:$E$65536,MATCH($A42,[14]NamesElementary!$A$1:$A$65536,0),1),"-")</f>
        <v>-</v>
      </c>
      <c r="J42" s="15">
        <f>IF(OR(D42="4",E42="4"),"-",INDEX([14]Names!$N$1:$N$65602,MATCH(A42,[14]Names!$F$1:$F$65602,0),1))</f>
        <v>0</v>
      </c>
      <c r="K42" s="16" t="str">
        <f>IF(OR(D42="4",E42="4"),INDEX([14]NamesElementary!$G$1:$G$65536,MATCH(A42,[14]NamesElementary!$A$1:$A$65536,0),1),INDEX([14]Names!$O$1:$O$65602,MATCH(A42,[14]Names!$F$1:$F$65602,0),1))</f>
        <v>kWh</v>
      </c>
      <c r="L42" s="149">
        <v>0</v>
      </c>
      <c r="M42" s="40"/>
      <c r="N42" s="89"/>
      <c r="O42" s="202"/>
      <c r="P42" s="149">
        <f t="shared" si="91"/>
        <v>0</v>
      </c>
      <c r="Q42" s="40"/>
      <c r="R42" s="89"/>
      <c r="S42" s="202"/>
      <c r="T42" s="149">
        <f>P41</f>
        <v>0</v>
      </c>
      <c r="U42" s="40"/>
      <c r="V42" s="89"/>
      <c r="W42" s="202"/>
      <c r="X42" s="149">
        <f>T41</f>
        <v>0</v>
      </c>
      <c r="Y42" s="40"/>
      <c r="Z42" s="89"/>
      <c r="AA42" s="202"/>
      <c r="AB42" s="149">
        <f t="shared" si="92"/>
        <v>1</v>
      </c>
      <c r="AC42" s="40"/>
      <c r="AD42" s="89"/>
      <c r="AE42" s="202"/>
      <c r="AF42" s="149">
        <f t="shared" si="93"/>
        <v>0</v>
      </c>
      <c r="AG42" s="40"/>
      <c r="AH42" s="89"/>
      <c r="AI42" s="202"/>
      <c r="AJ42" s="149">
        <f t="shared" si="94"/>
        <v>0</v>
      </c>
      <c r="AK42" s="40"/>
      <c r="AL42" s="89"/>
      <c r="AM42" s="193"/>
      <c r="AN42" s="149">
        <f t="shared" si="95"/>
        <v>0</v>
      </c>
      <c r="AO42" s="40"/>
      <c r="AP42" s="89"/>
      <c r="AQ42" s="202"/>
      <c r="AR42" s="149">
        <f t="shared" si="96"/>
        <v>0</v>
      </c>
      <c r="AS42" s="40"/>
      <c r="AT42" s="89"/>
      <c r="AU42" s="193"/>
      <c r="AV42" s="149">
        <f t="shared" si="97"/>
        <v>0</v>
      </c>
      <c r="AW42" s="40"/>
      <c r="AX42" s="89"/>
      <c r="AY42" s="202"/>
      <c r="AZ42" s="149">
        <f t="shared" si="98"/>
        <v>0</v>
      </c>
      <c r="BA42" s="40"/>
      <c r="BB42" s="89"/>
      <c r="BC42" s="202"/>
      <c r="BD42" s="149">
        <f t="shared" si="99"/>
        <v>0</v>
      </c>
      <c r="BE42" s="40"/>
      <c r="BF42" s="89"/>
      <c r="BG42" s="202"/>
      <c r="BH42" s="40"/>
      <c r="BI42" s="89"/>
      <c r="BJ42" s="202"/>
      <c r="BK42" s="149">
        <f t="shared" si="100"/>
        <v>0</v>
      </c>
      <c r="BL42" s="40"/>
      <c r="BM42" s="89"/>
      <c r="BN42" s="202"/>
      <c r="BO42" s="149">
        <v>0</v>
      </c>
      <c r="BP42" s="40"/>
      <c r="BQ42" s="89"/>
      <c r="BR42" s="202"/>
      <c r="BS42" s="149">
        <v>0</v>
      </c>
      <c r="BT42" s="40"/>
      <c r="BU42" s="89"/>
      <c r="BV42" s="202"/>
      <c r="BW42" s="149">
        <v>0</v>
      </c>
      <c r="BX42" s="40"/>
      <c r="BY42" s="89"/>
      <c r="BZ42" s="193"/>
      <c r="CA42" s="149">
        <v>0</v>
      </c>
      <c r="CB42" s="40"/>
      <c r="CC42" s="89"/>
      <c r="CD42" s="193"/>
      <c r="CE42" s="149">
        <v>0</v>
      </c>
      <c r="CF42" s="40"/>
      <c r="CG42" s="89"/>
      <c r="CH42" s="193"/>
      <c r="CI42" s="149">
        <v>0</v>
      </c>
      <c r="CJ42" s="40"/>
      <c r="CK42" s="89"/>
      <c r="CL42" s="193"/>
      <c r="CM42" s="149">
        <v>0</v>
      </c>
      <c r="CN42" s="40"/>
      <c r="CO42" s="89"/>
      <c r="CP42" s="193"/>
      <c r="CQ42" s="149">
        <v>0</v>
      </c>
      <c r="CR42" s="40"/>
      <c r="CS42" s="89"/>
      <c r="CT42" s="193"/>
      <c r="CU42" s="149">
        <v>0</v>
      </c>
      <c r="CV42" s="40"/>
      <c r="CW42" s="89"/>
      <c r="CX42" s="193"/>
      <c r="CY42" s="149">
        <v>0</v>
      </c>
      <c r="CZ42" s="40"/>
      <c r="DA42" s="89"/>
      <c r="DB42" s="193"/>
      <c r="DE42" s="287" t="e">
        <f t="shared" si="90"/>
        <v>#REF!</v>
      </c>
    </row>
    <row r="43" spans="1:128" outlineLevel="1">
      <c r="A43" s="5">
        <v>1464</v>
      </c>
      <c r="B43" s="168"/>
      <c r="C43" s="169"/>
      <c r="D43" s="11" t="s">
        <v>402</v>
      </c>
      <c r="E43" s="170">
        <v>0</v>
      </c>
      <c r="F43" s="145" t="str">
        <f>IF(OR(D43="4",E43="4"),INDEX([14]NamesElementary!$B$1:$B$65536,MATCH(A43,[14]NamesElementary!$A$1:$A$65536,0),1),INDEX([14]Names!$J$1:$J$65602,MATCH(A43,[14]Names!$F$1:$F$65602,0),1))</f>
        <v>electricity, PV, at 3kWp flat roof installation, multi-Si</v>
      </c>
      <c r="G43" s="16" t="str">
        <f>IF(OR(D43="4",E43="4"),"-",INDEX([14]Names!$K$1:$K$65602,MATCH(A43,[14]Names!$F$1:$F$65602,0),1))</f>
        <v>CH</v>
      </c>
      <c r="H43" s="14" t="str">
        <f>IF(OR(D43="4",E43="4"),INDEX([14]NamesElementary!$D$1:$D$65536,MATCH($A43,[14]NamesElementary!$A$1:$A$65536,0),1),"-")</f>
        <v>-</v>
      </c>
      <c r="I43" s="14" t="str">
        <f>IF(OR(D43="4",E43="4"),INDEX([14]NamesElementary!$E$1:$E$65536,MATCH($A43,[14]NamesElementary!$A$1:$A$65536,0),1),"-")</f>
        <v>-</v>
      </c>
      <c r="J43" s="15">
        <f>IF(OR(D43="4",E43="4"),"-",INDEX([14]Names!$N$1:$N$65602,MATCH(A43,[14]Names!$F$1:$F$65602,0),1))</f>
        <v>0</v>
      </c>
      <c r="K43" s="16" t="str">
        <f>IF(OR(D43="4",E43="4"),INDEX([14]NamesElementary!$G$1:$G$65536,MATCH(A43,[14]NamesElementary!$A$1:$A$65536,0),1),INDEX([14]Names!$O$1:$O$65602,MATCH(A43,[14]Names!$F$1:$F$65602,0),1))</f>
        <v>kWh</v>
      </c>
      <c r="L43" s="149">
        <v>0</v>
      </c>
      <c r="M43" s="29"/>
      <c r="N43" s="1"/>
      <c r="O43" s="139"/>
      <c r="P43" s="149">
        <f t="shared" si="91"/>
        <v>0</v>
      </c>
      <c r="Q43" s="29"/>
      <c r="R43" s="1"/>
      <c r="S43" s="139"/>
      <c r="T43" s="149">
        <v>0</v>
      </c>
      <c r="U43" s="29"/>
      <c r="V43" s="1"/>
      <c r="W43" s="139"/>
      <c r="X43" s="149">
        <v>0</v>
      </c>
      <c r="Y43" s="29"/>
      <c r="Z43" s="1"/>
      <c r="AA43" s="139"/>
      <c r="AB43" s="149">
        <f t="shared" si="92"/>
        <v>0</v>
      </c>
      <c r="AC43" s="29"/>
      <c r="AD43" s="1"/>
      <c r="AE43" s="139"/>
      <c r="AF43" s="149">
        <f t="shared" si="93"/>
        <v>1</v>
      </c>
      <c r="AG43" s="29"/>
      <c r="AH43" s="1"/>
      <c r="AI43" s="139"/>
      <c r="AJ43" s="149">
        <f t="shared" si="94"/>
        <v>0</v>
      </c>
      <c r="AK43" s="29"/>
      <c r="AL43" s="1"/>
      <c r="AM43" s="31"/>
      <c r="AN43" s="149">
        <f t="shared" si="95"/>
        <v>0</v>
      </c>
      <c r="AO43" s="29"/>
      <c r="AP43" s="1"/>
      <c r="AQ43" s="139"/>
      <c r="AR43" s="149">
        <f t="shared" si="96"/>
        <v>0</v>
      </c>
      <c r="AS43" s="29"/>
      <c r="AT43" s="1"/>
      <c r="AU43" s="31"/>
      <c r="AV43" s="149">
        <f t="shared" si="97"/>
        <v>0</v>
      </c>
      <c r="AW43" s="29"/>
      <c r="AX43" s="1"/>
      <c r="AY43" s="139"/>
      <c r="AZ43" s="149">
        <f t="shared" si="98"/>
        <v>0</v>
      </c>
      <c r="BA43" s="29"/>
      <c r="BB43" s="1"/>
      <c r="BC43" s="139"/>
      <c r="BD43" s="149">
        <f t="shared" si="99"/>
        <v>0</v>
      </c>
      <c r="BE43" s="29"/>
      <c r="BF43" s="1"/>
      <c r="BG43" s="139"/>
      <c r="BH43" s="29"/>
      <c r="BI43" s="1"/>
      <c r="BJ43" s="139"/>
      <c r="BK43" s="149">
        <f t="shared" si="100"/>
        <v>0</v>
      </c>
      <c r="BL43" s="29"/>
      <c r="BM43" s="1"/>
      <c r="BN43" s="139"/>
      <c r="BO43" s="149">
        <v>0</v>
      </c>
      <c r="BP43" s="29"/>
      <c r="BQ43" s="1"/>
      <c r="BR43" s="139"/>
      <c r="BS43" s="149">
        <v>0</v>
      </c>
      <c r="BT43" s="29"/>
      <c r="BU43" s="1"/>
      <c r="BV43" s="139"/>
      <c r="BW43" s="149">
        <v>0</v>
      </c>
      <c r="BX43" s="29"/>
      <c r="BY43" s="1"/>
      <c r="BZ43" s="31"/>
      <c r="CA43" s="149">
        <v>0</v>
      </c>
      <c r="CB43" s="29"/>
      <c r="CC43" s="1"/>
      <c r="CD43" s="31"/>
      <c r="CE43" s="149">
        <v>0</v>
      </c>
      <c r="CF43" s="29"/>
      <c r="CG43" s="1"/>
      <c r="CH43" s="31"/>
      <c r="CI43" s="149">
        <v>0</v>
      </c>
      <c r="CJ43" s="29"/>
      <c r="CK43" s="1"/>
      <c r="CL43" s="31"/>
      <c r="CM43" s="149">
        <v>0</v>
      </c>
      <c r="CN43" s="29"/>
      <c r="CO43" s="1"/>
      <c r="CP43" s="31"/>
      <c r="CQ43" s="149">
        <v>0</v>
      </c>
      <c r="CR43" s="29"/>
      <c r="CS43" s="1"/>
      <c r="CT43" s="31"/>
      <c r="CU43" s="149">
        <v>0</v>
      </c>
      <c r="CV43" s="29"/>
      <c r="CW43" s="1"/>
      <c r="CX43" s="31"/>
      <c r="CY43" s="149">
        <v>0</v>
      </c>
      <c r="CZ43" s="29"/>
      <c r="DA43" s="1"/>
      <c r="DB43" s="31"/>
      <c r="DE43" s="287" t="e">
        <f t="shared" si="90"/>
        <v>#REF!</v>
      </c>
      <c r="DF43" s="115"/>
      <c r="DG43" s="10"/>
      <c r="DH43" s="50"/>
      <c r="DI43" s="50"/>
      <c r="DJ43" s="50"/>
      <c r="DK43" s="50"/>
      <c r="DL43" s="50"/>
      <c r="DM43" s="50"/>
      <c r="DN43" s="51"/>
      <c r="DO43" s="87"/>
      <c r="DP43" s="88"/>
      <c r="DQ43" s="89"/>
      <c r="DS43" s="52"/>
      <c r="DT43" s="52"/>
      <c r="DU43" s="52"/>
      <c r="DV43" s="52"/>
      <c r="DW43" s="52"/>
      <c r="DX43" s="52"/>
    </row>
    <row r="44" spans="1:128" ht="24" outlineLevel="1">
      <c r="A44" s="6">
        <v>1465</v>
      </c>
      <c r="B44" s="168"/>
      <c r="C44" s="169"/>
      <c r="D44" s="11" t="s">
        <v>402</v>
      </c>
      <c r="E44" s="170">
        <v>0</v>
      </c>
      <c r="F44" s="145" t="str">
        <f>IF(OR(D44="4",E44="4"),INDEX([14]NamesElementary!$B$1:$B$65536,MATCH(A44,[14]NamesElementary!$A$1:$A$65536,0),1),INDEX([14]Names!$J$1:$J$65602,MATCH(A44,[14]Names!$F$1:$F$65602,0),1))</f>
        <v>electricity, PV, at 3kWp slanted-roof, single-Si, laminated, integrated</v>
      </c>
      <c r="G44" s="16" t="str">
        <f>IF(OR(D44="4",E44="4"),"-",INDEX([14]Names!$K$1:$K$65602,MATCH(A44,[14]Names!$F$1:$F$65602,0),1))</f>
        <v>CH</v>
      </c>
      <c r="H44" s="14" t="str">
        <f>IF(OR(D44="4",E44="4"),INDEX([14]NamesElementary!$D$1:$D$65536,MATCH($A44,[14]NamesElementary!$A$1:$A$65536,0),1),"-")</f>
        <v>-</v>
      </c>
      <c r="I44" s="14" t="str">
        <f>IF(OR(D44="4",E44="4"),INDEX([14]NamesElementary!$E$1:$E$65536,MATCH($A44,[14]NamesElementary!$A$1:$A$65536,0),1),"-")</f>
        <v>-</v>
      </c>
      <c r="J44" s="15">
        <f>IF(OR(D44="4",E44="4"),"-",INDEX([14]Names!$N$1:$N$65602,MATCH(A44,[14]Names!$F$1:$F$65602,0),1))</f>
        <v>0</v>
      </c>
      <c r="K44" s="16" t="str">
        <f>IF(OR(D44="4",E44="4"),INDEX([14]NamesElementary!$G$1:$G$65536,MATCH(A44,[14]NamesElementary!$A$1:$A$65536,0),1),INDEX([14]Names!$O$1:$O$65602,MATCH(A44,[14]Names!$F$1:$F$65602,0),1))</f>
        <v>kWh</v>
      </c>
      <c r="L44" s="149">
        <v>0</v>
      </c>
      <c r="M44" s="40"/>
      <c r="N44" s="89"/>
      <c r="O44" s="202"/>
      <c r="P44" s="149">
        <f t="shared" si="91"/>
        <v>0</v>
      </c>
      <c r="Q44" s="40"/>
      <c r="R44" s="89"/>
      <c r="S44" s="202"/>
      <c r="T44" s="149">
        <v>0</v>
      </c>
      <c r="U44" s="40"/>
      <c r="V44" s="89"/>
      <c r="W44" s="202"/>
      <c r="X44" s="149">
        <v>0</v>
      </c>
      <c r="Y44" s="40"/>
      <c r="Z44" s="89"/>
      <c r="AA44" s="202"/>
      <c r="AB44" s="149">
        <f t="shared" si="92"/>
        <v>0</v>
      </c>
      <c r="AC44" s="40"/>
      <c r="AD44" s="89"/>
      <c r="AE44" s="202"/>
      <c r="AF44" s="149">
        <f t="shared" si="93"/>
        <v>0</v>
      </c>
      <c r="AG44" s="40"/>
      <c r="AH44" s="89"/>
      <c r="AI44" s="202"/>
      <c r="AJ44" s="149">
        <f t="shared" si="94"/>
        <v>1</v>
      </c>
      <c r="AK44" s="40"/>
      <c r="AL44" s="89"/>
      <c r="AM44" s="193"/>
      <c r="AN44" s="149">
        <f t="shared" si="95"/>
        <v>0</v>
      </c>
      <c r="AO44" s="40"/>
      <c r="AP44" s="89"/>
      <c r="AQ44" s="202"/>
      <c r="AR44" s="149">
        <f t="shared" si="96"/>
        <v>0</v>
      </c>
      <c r="AS44" s="40"/>
      <c r="AT44" s="89"/>
      <c r="AU44" s="193"/>
      <c r="AV44" s="149">
        <f t="shared" si="97"/>
        <v>0</v>
      </c>
      <c r="AW44" s="40"/>
      <c r="AX44" s="89"/>
      <c r="AY44" s="202"/>
      <c r="AZ44" s="149">
        <f t="shared" si="98"/>
        <v>0</v>
      </c>
      <c r="BA44" s="40"/>
      <c r="BB44" s="89"/>
      <c r="BC44" s="202"/>
      <c r="BD44" s="149">
        <f t="shared" si="99"/>
        <v>0</v>
      </c>
      <c r="BE44" s="40"/>
      <c r="BF44" s="89"/>
      <c r="BG44" s="202"/>
      <c r="BH44" s="40"/>
      <c r="BI44" s="89"/>
      <c r="BJ44" s="202"/>
      <c r="BK44" s="149">
        <f t="shared" si="100"/>
        <v>0</v>
      </c>
      <c r="BL44" s="40"/>
      <c r="BM44" s="89"/>
      <c r="BN44" s="202"/>
      <c r="BO44" s="149">
        <v>0</v>
      </c>
      <c r="BP44" s="40"/>
      <c r="BQ44" s="89"/>
      <c r="BR44" s="202"/>
      <c r="BS44" s="149">
        <v>0</v>
      </c>
      <c r="BT44" s="40"/>
      <c r="BU44" s="89"/>
      <c r="BV44" s="202"/>
      <c r="BW44" s="149">
        <v>0</v>
      </c>
      <c r="BX44" s="40"/>
      <c r="BY44" s="89"/>
      <c r="BZ44" s="193"/>
      <c r="CA44" s="149">
        <v>0</v>
      </c>
      <c r="CB44" s="40"/>
      <c r="CC44" s="89"/>
      <c r="CD44" s="193"/>
      <c r="CE44" s="149">
        <v>0</v>
      </c>
      <c r="CF44" s="40"/>
      <c r="CG44" s="89"/>
      <c r="CH44" s="193"/>
      <c r="CI44" s="149">
        <v>0</v>
      </c>
      <c r="CJ44" s="40"/>
      <c r="CK44" s="89"/>
      <c r="CL44" s="193"/>
      <c r="CM44" s="149">
        <v>0</v>
      </c>
      <c r="CN44" s="40"/>
      <c r="CO44" s="89"/>
      <c r="CP44" s="193"/>
      <c r="CQ44" s="149">
        <v>0</v>
      </c>
      <c r="CR44" s="40"/>
      <c r="CS44" s="89"/>
      <c r="CT44" s="193"/>
      <c r="CU44" s="149">
        <v>0</v>
      </c>
      <c r="CV44" s="40"/>
      <c r="CW44" s="89"/>
      <c r="CX44" s="193"/>
      <c r="CY44" s="149">
        <v>0</v>
      </c>
      <c r="CZ44" s="40"/>
      <c r="DA44" s="89"/>
      <c r="DB44" s="193"/>
      <c r="DE44" s="287" t="e">
        <f t="shared" si="90"/>
        <v>#REF!</v>
      </c>
    </row>
    <row r="45" spans="1:128" outlineLevel="1">
      <c r="A45" s="6">
        <v>1466</v>
      </c>
      <c r="B45" s="168"/>
      <c r="C45" s="169"/>
      <c r="D45" s="11" t="s">
        <v>402</v>
      </c>
      <c r="E45" s="170">
        <v>0</v>
      </c>
      <c r="F45" s="145" t="str">
        <f>IF(OR(D45="4",E45="4"),INDEX([14]NamesElementary!$B$1:$B$65536,MATCH(A45,[14]NamesElementary!$A$1:$A$65536,0),1),INDEX([14]Names!$J$1:$J$65602,MATCH(A45,[14]Names!$F$1:$F$65602,0),1))</f>
        <v>electricity, PV, at 3kWp slanted-roof, single-Si, panel, mounted</v>
      </c>
      <c r="G45" s="16" t="str">
        <f>IF(OR(D45="4",E45="4"),"-",INDEX([14]Names!$K$1:$K$65602,MATCH(A45,[14]Names!$F$1:$F$65602,0),1))</f>
        <v>CH</v>
      </c>
      <c r="H45" s="14" t="str">
        <f>IF(OR(D45="4",E45="4"),INDEX([14]NamesElementary!$D$1:$D$65536,MATCH($A45,[14]NamesElementary!$A$1:$A$65536,0),1),"-")</f>
        <v>-</v>
      </c>
      <c r="I45" s="14" t="str">
        <f>IF(OR(D45="4",E45="4"),INDEX([14]NamesElementary!$E$1:$E$65536,MATCH($A45,[14]NamesElementary!$A$1:$A$65536,0),1),"-")</f>
        <v>-</v>
      </c>
      <c r="J45" s="15">
        <f>IF(OR(D45="4",E45="4"),"-",INDEX([14]Names!$N$1:$N$65602,MATCH(A45,[14]Names!$F$1:$F$65602,0),1))</f>
        <v>0</v>
      </c>
      <c r="K45" s="16" t="str">
        <f>IF(OR(D45="4",E45="4"),INDEX([14]NamesElementary!$G$1:$G$65536,MATCH(A45,[14]NamesElementary!$A$1:$A$65536,0),1),INDEX([14]Names!$O$1:$O$65602,MATCH(A45,[14]Names!$F$1:$F$65602,0),1))</f>
        <v>kWh</v>
      </c>
      <c r="L45" s="149">
        <v>0</v>
      </c>
      <c r="M45" s="40"/>
      <c r="N45" s="89"/>
      <c r="O45" s="202"/>
      <c r="P45" s="149">
        <f t="shared" si="91"/>
        <v>0</v>
      </c>
      <c r="Q45" s="40"/>
      <c r="R45" s="89"/>
      <c r="S45" s="202"/>
      <c r="T45" s="149">
        <v>0</v>
      </c>
      <c r="U45" s="40"/>
      <c r="V45" s="89"/>
      <c r="W45" s="202"/>
      <c r="X45" s="149">
        <v>0</v>
      </c>
      <c r="Y45" s="40"/>
      <c r="Z45" s="89"/>
      <c r="AA45" s="202"/>
      <c r="AB45" s="149">
        <f t="shared" si="92"/>
        <v>0</v>
      </c>
      <c r="AC45" s="40"/>
      <c r="AD45" s="89"/>
      <c r="AE45" s="202"/>
      <c r="AF45" s="149">
        <f t="shared" si="93"/>
        <v>0</v>
      </c>
      <c r="AG45" s="40"/>
      <c r="AH45" s="89"/>
      <c r="AI45" s="202"/>
      <c r="AJ45" s="149">
        <f t="shared" si="94"/>
        <v>0</v>
      </c>
      <c r="AK45" s="40"/>
      <c r="AL45" s="89"/>
      <c r="AM45" s="193"/>
      <c r="AN45" s="149">
        <f t="shared" si="95"/>
        <v>1</v>
      </c>
      <c r="AO45" s="40"/>
      <c r="AP45" s="89"/>
      <c r="AQ45" s="202"/>
      <c r="AR45" s="149">
        <f t="shared" si="96"/>
        <v>0</v>
      </c>
      <c r="AS45" s="40"/>
      <c r="AT45" s="89"/>
      <c r="AU45" s="193"/>
      <c r="AV45" s="149">
        <f t="shared" si="97"/>
        <v>0</v>
      </c>
      <c r="AW45" s="40"/>
      <c r="AX45" s="89"/>
      <c r="AY45" s="202"/>
      <c r="AZ45" s="149">
        <f t="shared" si="98"/>
        <v>0</v>
      </c>
      <c r="BA45" s="40"/>
      <c r="BB45" s="89"/>
      <c r="BC45" s="202"/>
      <c r="BD45" s="149">
        <f t="shared" si="99"/>
        <v>0</v>
      </c>
      <c r="BE45" s="40"/>
      <c r="BF45" s="89"/>
      <c r="BG45" s="202"/>
      <c r="BH45" s="40"/>
      <c r="BI45" s="89"/>
      <c r="BJ45" s="202"/>
      <c r="BK45" s="149">
        <f t="shared" si="100"/>
        <v>0</v>
      </c>
      <c r="BL45" s="40"/>
      <c r="BM45" s="89"/>
      <c r="BN45" s="202"/>
      <c r="BO45" s="149">
        <v>0</v>
      </c>
      <c r="BP45" s="40"/>
      <c r="BQ45" s="89"/>
      <c r="BR45" s="202"/>
      <c r="BS45" s="149">
        <v>0</v>
      </c>
      <c r="BT45" s="40"/>
      <c r="BU45" s="89"/>
      <c r="BV45" s="202"/>
      <c r="BW45" s="149">
        <v>0</v>
      </c>
      <c r="BX45" s="40"/>
      <c r="BY45" s="89"/>
      <c r="BZ45" s="193"/>
      <c r="CA45" s="149">
        <v>0</v>
      </c>
      <c r="CB45" s="40"/>
      <c r="CC45" s="89"/>
      <c r="CD45" s="193"/>
      <c r="CE45" s="149">
        <v>0</v>
      </c>
      <c r="CF45" s="40"/>
      <c r="CG45" s="89"/>
      <c r="CH45" s="193"/>
      <c r="CI45" s="149">
        <v>0</v>
      </c>
      <c r="CJ45" s="40"/>
      <c r="CK45" s="89"/>
      <c r="CL45" s="193"/>
      <c r="CM45" s="149">
        <v>0</v>
      </c>
      <c r="CN45" s="40"/>
      <c r="CO45" s="89"/>
      <c r="CP45" s="193"/>
      <c r="CQ45" s="149">
        <v>0</v>
      </c>
      <c r="CR45" s="40"/>
      <c r="CS45" s="89"/>
      <c r="CT45" s="193"/>
      <c r="CU45" s="149">
        <v>0</v>
      </c>
      <c r="CV45" s="40"/>
      <c r="CW45" s="89"/>
      <c r="CX45" s="193"/>
      <c r="CY45" s="149">
        <v>0</v>
      </c>
      <c r="CZ45" s="40"/>
      <c r="DA45" s="89"/>
      <c r="DB45" s="193"/>
      <c r="DE45" s="287" t="e">
        <f t="shared" si="90"/>
        <v>#REF!</v>
      </c>
    </row>
    <row r="46" spans="1:128" outlineLevel="1">
      <c r="A46" s="6">
        <v>1467</v>
      </c>
      <c r="B46" s="168"/>
      <c r="C46" s="169"/>
      <c r="D46" s="11" t="s">
        <v>402</v>
      </c>
      <c r="E46" s="170">
        <v>0</v>
      </c>
      <c r="F46" s="145" t="str">
        <f>IF(OR(D46="4",E46="4"),INDEX([14]NamesElementary!$B$1:$B$65536,MATCH(A46,[14]NamesElementary!$A$1:$A$65536,0),1),INDEX([14]Names!$J$1:$J$65602,MATCH(A46,[14]Names!$F$1:$F$65602,0),1))</f>
        <v>electricity, PV, at 3kWp slanted-roof, multi-Si, laminated, integrated</v>
      </c>
      <c r="G46" s="16" t="str">
        <f>IF(OR(D46="4",E46="4"),"-",INDEX([14]Names!$K$1:$K$65602,MATCH(A46,[14]Names!$F$1:$F$65602,0),1))</f>
        <v>CH</v>
      </c>
      <c r="H46" s="14" t="str">
        <f>IF(OR(D46="4",E46="4"),INDEX([14]NamesElementary!$D$1:$D$65536,MATCH($A46,[14]NamesElementary!$A$1:$A$65536,0),1),"-")</f>
        <v>-</v>
      </c>
      <c r="I46" s="14" t="str">
        <f>IF(OR(D46="4",E46="4"),INDEX([14]NamesElementary!$E$1:$E$65536,MATCH($A46,[14]NamesElementary!$A$1:$A$65536,0),1),"-")</f>
        <v>-</v>
      </c>
      <c r="J46" s="15">
        <f>IF(OR(D46="4",E46="4"),"-",INDEX([14]Names!$N$1:$N$65602,MATCH(A46,[14]Names!$F$1:$F$65602,0),1))</f>
        <v>0</v>
      </c>
      <c r="K46" s="16" t="str">
        <f>IF(OR(D46="4",E46="4"),INDEX([14]NamesElementary!$G$1:$G$65536,MATCH(A46,[14]NamesElementary!$A$1:$A$65536,0),1),INDEX([14]Names!$O$1:$O$65602,MATCH(A46,[14]Names!$F$1:$F$65602,0),1))</f>
        <v>kWh</v>
      </c>
      <c r="L46" s="149">
        <v>0</v>
      </c>
      <c r="M46" s="40"/>
      <c r="N46" s="89"/>
      <c r="O46" s="202"/>
      <c r="P46" s="149">
        <f t="shared" si="91"/>
        <v>0</v>
      </c>
      <c r="Q46" s="40"/>
      <c r="R46" s="89"/>
      <c r="S46" s="202"/>
      <c r="T46" s="149">
        <v>0</v>
      </c>
      <c r="U46" s="40"/>
      <c r="V46" s="89"/>
      <c r="W46" s="202"/>
      <c r="X46" s="149">
        <v>0</v>
      </c>
      <c r="Y46" s="40"/>
      <c r="Z46" s="89"/>
      <c r="AA46" s="202"/>
      <c r="AB46" s="149">
        <f t="shared" si="92"/>
        <v>0</v>
      </c>
      <c r="AC46" s="40"/>
      <c r="AD46" s="89"/>
      <c r="AE46" s="202"/>
      <c r="AF46" s="149">
        <f t="shared" si="93"/>
        <v>0</v>
      </c>
      <c r="AG46" s="40"/>
      <c r="AH46" s="89"/>
      <c r="AI46" s="202"/>
      <c r="AJ46" s="149">
        <f t="shared" si="94"/>
        <v>0</v>
      </c>
      <c r="AK46" s="40"/>
      <c r="AL46" s="89"/>
      <c r="AM46" s="193"/>
      <c r="AN46" s="149">
        <f t="shared" si="95"/>
        <v>0</v>
      </c>
      <c r="AO46" s="40"/>
      <c r="AP46" s="89"/>
      <c r="AQ46" s="202"/>
      <c r="AR46" s="149">
        <f t="shared" si="96"/>
        <v>1</v>
      </c>
      <c r="AS46" s="40"/>
      <c r="AT46" s="89"/>
      <c r="AU46" s="193"/>
      <c r="AV46" s="149">
        <f t="shared" si="97"/>
        <v>0</v>
      </c>
      <c r="AW46" s="40"/>
      <c r="AX46" s="89"/>
      <c r="AY46" s="202"/>
      <c r="AZ46" s="149">
        <f t="shared" si="98"/>
        <v>0</v>
      </c>
      <c r="BA46" s="40"/>
      <c r="BB46" s="89"/>
      <c r="BC46" s="202"/>
      <c r="BD46" s="149">
        <f t="shared" si="99"/>
        <v>0</v>
      </c>
      <c r="BE46" s="40"/>
      <c r="BF46" s="89"/>
      <c r="BG46" s="202"/>
      <c r="BH46" s="40"/>
      <c r="BI46" s="89"/>
      <c r="BJ46" s="202"/>
      <c r="BK46" s="149">
        <f t="shared" si="100"/>
        <v>0</v>
      </c>
      <c r="BL46" s="40"/>
      <c r="BM46" s="89"/>
      <c r="BN46" s="202"/>
      <c r="BO46" s="149">
        <v>0</v>
      </c>
      <c r="BP46" s="40"/>
      <c r="BQ46" s="89"/>
      <c r="BR46" s="202"/>
      <c r="BS46" s="149">
        <v>0</v>
      </c>
      <c r="BT46" s="40"/>
      <c r="BU46" s="89"/>
      <c r="BV46" s="202"/>
      <c r="BW46" s="149">
        <v>0</v>
      </c>
      <c r="BX46" s="40"/>
      <c r="BY46" s="89"/>
      <c r="BZ46" s="193"/>
      <c r="CA46" s="149">
        <v>0</v>
      </c>
      <c r="CB46" s="40"/>
      <c r="CC46" s="89"/>
      <c r="CD46" s="193"/>
      <c r="CE46" s="149">
        <v>0</v>
      </c>
      <c r="CF46" s="40"/>
      <c r="CG46" s="89"/>
      <c r="CH46" s="193"/>
      <c r="CI46" s="149">
        <v>0</v>
      </c>
      <c r="CJ46" s="40"/>
      <c r="CK46" s="89"/>
      <c r="CL46" s="193"/>
      <c r="CM46" s="149">
        <v>0</v>
      </c>
      <c r="CN46" s="40"/>
      <c r="CO46" s="89"/>
      <c r="CP46" s="193"/>
      <c r="CQ46" s="149">
        <v>0</v>
      </c>
      <c r="CR46" s="40"/>
      <c r="CS46" s="89"/>
      <c r="CT46" s="193"/>
      <c r="CU46" s="149">
        <v>0</v>
      </c>
      <c r="CV46" s="40"/>
      <c r="CW46" s="89"/>
      <c r="CX46" s="193"/>
      <c r="CY46" s="149">
        <v>0</v>
      </c>
      <c r="CZ46" s="40"/>
      <c r="DA46" s="89"/>
      <c r="DB46" s="193"/>
      <c r="DE46" s="287" t="e">
        <f t="shared" si="90"/>
        <v>#REF!</v>
      </c>
    </row>
    <row r="47" spans="1:128" outlineLevel="1">
      <c r="A47" s="6">
        <v>1468</v>
      </c>
      <c r="B47" s="168"/>
      <c r="C47" s="169"/>
      <c r="D47" s="11" t="s">
        <v>402</v>
      </c>
      <c r="E47" s="170">
        <v>0</v>
      </c>
      <c r="F47" s="145" t="str">
        <f>IF(OR(D47="4",E47="4"),INDEX([14]NamesElementary!$B$1:$B$65536,MATCH(A47,[14]NamesElementary!$A$1:$A$65536,0),1),INDEX([14]Names!$J$1:$J$65602,MATCH(A47,[14]Names!$F$1:$F$65602,0),1))</f>
        <v>electricity, PV, at 3kWp slanted-roof, multi-Si, panel, mounted</v>
      </c>
      <c r="G47" s="16" t="str">
        <f>IF(OR(D47="4",E47="4"),"-",INDEX([14]Names!$K$1:$K$65602,MATCH(A47,[14]Names!$F$1:$F$65602,0),1))</f>
        <v>CH</v>
      </c>
      <c r="H47" s="14" t="str">
        <f>IF(OR(D47="4",E47="4"),INDEX([14]NamesElementary!$D$1:$D$65536,MATCH($A47,[14]NamesElementary!$A$1:$A$65536,0),1),"-")</f>
        <v>-</v>
      </c>
      <c r="I47" s="14" t="str">
        <f>IF(OR(D47="4",E47="4"),INDEX([14]NamesElementary!$E$1:$E$65536,MATCH($A47,[14]NamesElementary!$A$1:$A$65536,0),1),"-")</f>
        <v>-</v>
      </c>
      <c r="J47" s="15">
        <f>IF(OR(D47="4",E47="4"),"-",INDEX([14]Names!$N$1:$N$65602,MATCH(A47,[14]Names!$F$1:$F$65602,0),1))</f>
        <v>0</v>
      </c>
      <c r="K47" s="16" t="str">
        <f>IF(OR(D47="4",E47="4"),INDEX([14]NamesElementary!$G$1:$G$65536,MATCH(A47,[14]NamesElementary!$A$1:$A$65536,0),1),INDEX([14]Names!$O$1:$O$65602,MATCH(A47,[14]Names!$F$1:$F$65602,0),1))</f>
        <v>kWh</v>
      </c>
      <c r="L47" s="149">
        <v>0</v>
      </c>
      <c r="M47" s="40"/>
      <c r="N47" s="89"/>
      <c r="O47" s="202"/>
      <c r="P47" s="149">
        <f t="shared" si="91"/>
        <v>0</v>
      </c>
      <c r="Q47" s="40"/>
      <c r="R47" s="89"/>
      <c r="S47" s="202"/>
      <c r="T47" s="149">
        <v>0</v>
      </c>
      <c r="U47" s="40"/>
      <c r="V47" s="89"/>
      <c r="W47" s="202"/>
      <c r="X47" s="149">
        <v>0</v>
      </c>
      <c r="Y47" s="40"/>
      <c r="Z47" s="89"/>
      <c r="AA47" s="202"/>
      <c r="AB47" s="149">
        <f t="shared" si="92"/>
        <v>0</v>
      </c>
      <c r="AC47" s="40"/>
      <c r="AD47" s="89"/>
      <c r="AE47" s="202"/>
      <c r="AF47" s="149">
        <f t="shared" si="93"/>
        <v>0</v>
      </c>
      <c r="AG47" s="40"/>
      <c r="AH47" s="89"/>
      <c r="AI47" s="202"/>
      <c r="AJ47" s="149">
        <f t="shared" si="94"/>
        <v>0</v>
      </c>
      <c r="AK47" s="40"/>
      <c r="AL47" s="89"/>
      <c r="AM47" s="193"/>
      <c r="AN47" s="149">
        <f t="shared" si="95"/>
        <v>0</v>
      </c>
      <c r="AO47" s="40"/>
      <c r="AP47" s="89"/>
      <c r="AQ47" s="202"/>
      <c r="AR47" s="149">
        <f t="shared" si="96"/>
        <v>0</v>
      </c>
      <c r="AS47" s="40"/>
      <c r="AT47" s="89"/>
      <c r="AU47" s="193"/>
      <c r="AV47" s="149">
        <f t="shared" si="97"/>
        <v>1</v>
      </c>
      <c r="AW47" s="40"/>
      <c r="AX47" s="89"/>
      <c r="AY47" s="202"/>
      <c r="AZ47" s="149">
        <f t="shared" si="98"/>
        <v>0</v>
      </c>
      <c r="BA47" s="40"/>
      <c r="BB47" s="89"/>
      <c r="BC47" s="202"/>
      <c r="BD47" s="149">
        <f t="shared" si="99"/>
        <v>0</v>
      </c>
      <c r="BE47" s="40"/>
      <c r="BF47" s="89"/>
      <c r="BG47" s="202"/>
      <c r="BH47" s="40"/>
      <c r="BI47" s="89"/>
      <c r="BJ47" s="202"/>
      <c r="BK47" s="149">
        <f t="shared" si="100"/>
        <v>0</v>
      </c>
      <c r="BL47" s="40"/>
      <c r="BM47" s="89"/>
      <c r="BN47" s="202"/>
      <c r="BO47" s="149">
        <v>0</v>
      </c>
      <c r="BP47" s="40"/>
      <c r="BQ47" s="89"/>
      <c r="BR47" s="202"/>
      <c r="BS47" s="149">
        <v>0</v>
      </c>
      <c r="BT47" s="40"/>
      <c r="BU47" s="89"/>
      <c r="BV47" s="202"/>
      <c r="BW47" s="149">
        <v>0</v>
      </c>
      <c r="BX47" s="40"/>
      <c r="BY47" s="89"/>
      <c r="BZ47" s="193"/>
      <c r="CA47" s="149">
        <v>0</v>
      </c>
      <c r="CB47" s="40"/>
      <c r="CC47" s="89"/>
      <c r="CD47" s="193"/>
      <c r="CE47" s="149">
        <v>0</v>
      </c>
      <c r="CF47" s="40"/>
      <c r="CG47" s="89"/>
      <c r="CH47" s="193"/>
      <c r="CI47" s="149">
        <v>0</v>
      </c>
      <c r="CJ47" s="40"/>
      <c r="CK47" s="89"/>
      <c r="CL47" s="193"/>
      <c r="CM47" s="149">
        <v>0</v>
      </c>
      <c r="CN47" s="40"/>
      <c r="CO47" s="89"/>
      <c r="CP47" s="193"/>
      <c r="CQ47" s="149">
        <v>0</v>
      </c>
      <c r="CR47" s="40"/>
      <c r="CS47" s="89"/>
      <c r="CT47" s="193"/>
      <c r="CU47" s="149">
        <v>0</v>
      </c>
      <c r="CV47" s="40"/>
      <c r="CW47" s="89"/>
      <c r="CX47" s="193"/>
      <c r="CY47" s="149">
        <v>0</v>
      </c>
      <c r="CZ47" s="40"/>
      <c r="DA47" s="89"/>
      <c r="DB47" s="193"/>
      <c r="DE47" s="287" t="e">
        <f t="shared" si="90"/>
        <v>#REF!</v>
      </c>
    </row>
    <row r="48" spans="1:128" outlineLevel="1">
      <c r="A48" s="6">
        <f>AZ1</f>
        <v>32067</v>
      </c>
      <c r="B48" s="168"/>
      <c r="C48" s="169"/>
      <c r="D48" s="11" t="s">
        <v>402</v>
      </c>
      <c r="E48" s="170">
        <v>0</v>
      </c>
      <c r="F48" s="145" t="str">
        <f>IF(OR(D48="4",E48="4"),INDEX([14]NamesElementary!$B$1:$B$65536,MATCH(A48,[14]NamesElementary!$A$1:$A$65536,0),1),INDEX([14]Names!$J$1:$J$65602,MATCH(A48,[14]Names!$F$1:$F$65602,0),1))</f>
        <v>electricity, PV, at 3kWp slanted-roof, ribbon-Si, panel, mounted</v>
      </c>
      <c r="G48" s="16" t="str">
        <f>IF(OR(D48="4",E48="4"),"-",INDEX([14]Names!$K$1:$K$65602,MATCH(A48,[14]Names!$F$1:$F$65602,0),1))</f>
        <v>CH</v>
      </c>
      <c r="H48" s="14" t="str">
        <f>IF(OR(D48="4",E48="4"),INDEX([14]NamesElementary!$D$1:$D$65536,MATCH($A48,[14]NamesElementary!$A$1:$A$65536,0),1),"-")</f>
        <v>-</v>
      </c>
      <c r="I48" s="14" t="str">
        <f>IF(OR(D48="4",E48="4"),INDEX([14]NamesElementary!$E$1:$E$65536,MATCH($A48,[14]NamesElementary!$A$1:$A$65536,0),1),"-")</f>
        <v>-</v>
      </c>
      <c r="J48" s="15">
        <f>IF(OR(D48="4",E48="4"),"-",INDEX([14]Names!$N$1:$N$65602,MATCH(A48,[14]Names!$F$1:$F$65602,0),1))</f>
        <v>0</v>
      </c>
      <c r="K48" s="16" t="str">
        <f>IF(OR(D48="4",E48="4"),INDEX([14]NamesElementary!$G$1:$G$65536,MATCH(A48,[14]NamesElementary!$A$1:$A$65536,0),1),INDEX([14]Names!$O$1:$O$65602,MATCH(A48,[14]Names!$F$1:$F$65602,0),1))</f>
        <v>kWh</v>
      </c>
      <c r="L48" s="149">
        <v>0</v>
      </c>
      <c r="M48" s="40"/>
      <c r="N48" s="89"/>
      <c r="O48" s="202"/>
      <c r="P48" s="149">
        <f t="shared" si="91"/>
        <v>0</v>
      </c>
      <c r="Q48" s="40"/>
      <c r="R48" s="89"/>
      <c r="S48" s="202"/>
      <c r="T48" s="149">
        <v>0</v>
      </c>
      <c r="U48" s="40"/>
      <c r="V48" s="89"/>
      <c r="W48" s="202"/>
      <c r="X48" s="149">
        <v>0</v>
      </c>
      <c r="Y48" s="40"/>
      <c r="Z48" s="89"/>
      <c r="AA48" s="202"/>
      <c r="AB48" s="149">
        <f t="shared" si="92"/>
        <v>0</v>
      </c>
      <c r="AC48" s="40"/>
      <c r="AD48" s="89"/>
      <c r="AE48" s="202"/>
      <c r="AF48" s="149">
        <f t="shared" si="93"/>
        <v>0</v>
      </c>
      <c r="AG48" s="40"/>
      <c r="AH48" s="89"/>
      <c r="AI48" s="202"/>
      <c r="AJ48" s="149">
        <f t="shared" si="94"/>
        <v>0</v>
      </c>
      <c r="AK48" s="40"/>
      <c r="AL48" s="89"/>
      <c r="AM48" s="193"/>
      <c r="AN48" s="149">
        <f t="shared" si="95"/>
        <v>0</v>
      </c>
      <c r="AO48" s="40"/>
      <c r="AP48" s="89"/>
      <c r="AQ48" s="202"/>
      <c r="AR48" s="149">
        <f t="shared" si="96"/>
        <v>0</v>
      </c>
      <c r="AS48" s="40"/>
      <c r="AT48" s="89"/>
      <c r="AU48" s="193"/>
      <c r="AV48" s="149">
        <f t="shared" si="97"/>
        <v>0</v>
      </c>
      <c r="AW48" s="40"/>
      <c r="AX48" s="89"/>
      <c r="AY48" s="202"/>
      <c r="AZ48" s="149">
        <v>1</v>
      </c>
      <c r="BA48" s="40"/>
      <c r="BB48" s="89"/>
      <c r="BC48" s="202"/>
      <c r="BD48" s="149">
        <f t="shared" si="99"/>
        <v>0</v>
      </c>
      <c r="BE48" s="40"/>
      <c r="BF48" s="89"/>
      <c r="BG48" s="202"/>
      <c r="BH48" s="40"/>
      <c r="BI48" s="89"/>
      <c r="BJ48" s="202"/>
      <c r="BK48" s="149">
        <v>0</v>
      </c>
      <c r="BL48" s="40"/>
      <c r="BM48" s="89"/>
      <c r="BN48" s="202"/>
      <c r="BO48" s="149">
        <v>0</v>
      </c>
      <c r="BP48" s="40"/>
      <c r="BQ48" s="89"/>
      <c r="BR48" s="202"/>
      <c r="BS48" s="149">
        <v>0</v>
      </c>
      <c r="BT48" s="40"/>
      <c r="BU48" s="89"/>
      <c r="BV48" s="202"/>
      <c r="BW48" s="149">
        <v>0</v>
      </c>
      <c r="BX48" s="40"/>
      <c r="BY48" s="89"/>
      <c r="BZ48" s="193"/>
      <c r="CA48" s="149">
        <v>0</v>
      </c>
      <c r="CB48" s="40"/>
      <c r="CC48" s="89"/>
      <c r="CD48" s="193"/>
      <c r="CE48" s="149">
        <v>0</v>
      </c>
      <c r="CF48" s="40"/>
      <c r="CG48" s="89"/>
      <c r="CH48" s="193"/>
      <c r="CI48" s="149">
        <v>0</v>
      </c>
      <c r="CJ48" s="40"/>
      <c r="CK48" s="89"/>
      <c r="CL48" s="193"/>
      <c r="CM48" s="149">
        <v>0</v>
      </c>
      <c r="CN48" s="40"/>
      <c r="CO48" s="89"/>
      <c r="CP48" s="193"/>
      <c r="CQ48" s="149">
        <v>0</v>
      </c>
      <c r="CR48" s="40"/>
      <c r="CS48" s="89"/>
      <c r="CT48" s="193"/>
      <c r="CU48" s="149">
        <v>0</v>
      </c>
      <c r="CV48" s="40"/>
      <c r="CW48" s="89"/>
      <c r="CX48" s="193"/>
      <c r="CY48" s="149">
        <v>0</v>
      </c>
      <c r="CZ48" s="40"/>
      <c r="DA48" s="89"/>
      <c r="DB48" s="193"/>
      <c r="DE48" s="287" t="e">
        <f t="shared" si="90"/>
        <v>#REF!</v>
      </c>
    </row>
    <row r="49" spans="1:121" outlineLevel="1">
      <c r="A49" s="6">
        <f>BD1</f>
        <v>32125</v>
      </c>
      <c r="B49" s="168"/>
      <c r="C49" s="169"/>
      <c r="D49" s="11" t="s">
        <v>402</v>
      </c>
      <c r="E49" s="170">
        <v>0</v>
      </c>
      <c r="F49" s="145" t="str">
        <f>IF(OR(D49="4",E49="4"),INDEX([14]NamesElementary!$B$1:$B$65536,MATCH(A49,[14]NamesElementary!$A$1:$A$65536,0),1),INDEX([14]Names!$J$1:$J$65602,MATCH(A49,[14]Names!$F$1:$F$65602,0),1))</f>
        <v>electricity, PV, at 3kWp slanted-roof, ribbon-Si, lam., integrated</v>
      </c>
      <c r="G49" s="16" t="str">
        <f>IF(OR(D49="4",E49="4"),"-",INDEX([14]Names!$K$1:$K$65602,MATCH(A49,[14]Names!$F$1:$F$65602,0),1))</f>
        <v>CH</v>
      </c>
      <c r="H49" s="14" t="str">
        <f>IF(OR(D49="4",E49="4"),INDEX([14]NamesElementary!$D$1:$D$65536,MATCH($A49,[14]NamesElementary!$A$1:$A$65536,0),1),"-")</f>
        <v>-</v>
      </c>
      <c r="I49" s="14" t="str">
        <f>IF(OR(D49="4",E49="4"),INDEX([14]NamesElementary!$E$1:$E$65536,MATCH($A49,[14]NamesElementary!$A$1:$A$65536,0),1),"-")</f>
        <v>-</v>
      </c>
      <c r="J49" s="15">
        <f>IF(OR(D49="4",E49="4"),"-",INDEX([14]Names!$N$1:$N$65602,MATCH(A49,[14]Names!$F$1:$F$65602,0),1))</f>
        <v>0</v>
      </c>
      <c r="K49" s="16" t="str">
        <f>IF(OR(D49="4",E49="4"),INDEX([14]NamesElementary!$G$1:$G$65536,MATCH(A49,[14]NamesElementary!$A$1:$A$65536,0),1),INDEX([14]Names!$O$1:$O$65602,MATCH(A49,[14]Names!$F$1:$F$65602,0),1))</f>
        <v>kWh</v>
      </c>
      <c r="L49" s="149">
        <v>0</v>
      </c>
      <c r="M49" s="40"/>
      <c r="N49" s="89"/>
      <c r="O49" s="202"/>
      <c r="P49" s="149">
        <f t="shared" si="91"/>
        <v>0</v>
      </c>
      <c r="Q49" s="40"/>
      <c r="R49" s="89"/>
      <c r="S49" s="202"/>
      <c r="T49" s="149">
        <v>0</v>
      </c>
      <c r="U49" s="40"/>
      <c r="V49" s="89"/>
      <c r="W49" s="202"/>
      <c r="X49" s="149">
        <v>0</v>
      </c>
      <c r="Y49" s="40"/>
      <c r="Z49" s="89"/>
      <c r="AA49" s="202"/>
      <c r="AB49" s="149">
        <f t="shared" si="92"/>
        <v>0</v>
      </c>
      <c r="AC49" s="40"/>
      <c r="AD49" s="89"/>
      <c r="AE49" s="202"/>
      <c r="AF49" s="149">
        <f t="shared" si="93"/>
        <v>0</v>
      </c>
      <c r="AG49" s="40"/>
      <c r="AH49" s="89"/>
      <c r="AI49" s="202"/>
      <c r="AJ49" s="149">
        <f t="shared" si="94"/>
        <v>0</v>
      </c>
      <c r="AK49" s="40"/>
      <c r="AL49" s="89"/>
      <c r="AM49" s="193"/>
      <c r="AN49" s="149">
        <f t="shared" si="95"/>
        <v>0</v>
      </c>
      <c r="AO49" s="40"/>
      <c r="AP49" s="89"/>
      <c r="AQ49" s="202"/>
      <c r="AR49" s="149">
        <f t="shared" si="96"/>
        <v>0</v>
      </c>
      <c r="AS49" s="40"/>
      <c r="AT49" s="89"/>
      <c r="AU49" s="193"/>
      <c r="AV49" s="149">
        <f t="shared" si="97"/>
        <v>0</v>
      </c>
      <c r="AW49" s="40"/>
      <c r="AX49" s="89"/>
      <c r="AY49" s="202"/>
      <c r="AZ49" s="149">
        <f>AV48</f>
        <v>0</v>
      </c>
      <c r="BA49" s="40"/>
      <c r="BB49" s="89"/>
      <c r="BC49" s="202"/>
      <c r="BD49" s="149">
        <f t="shared" si="99"/>
        <v>1</v>
      </c>
      <c r="BE49" s="40"/>
      <c r="BF49" s="89"/>
      <c r="BG49" s="202"/>
      <c r="BH49" s="40"/>
      <c r="BI49" s="89"/>
      <c r="BJ49" s="202"/>
      <c r="BK49" s="149">
        <v>0</v>
      </c>
      <c r="BL49" s="40"/>
      <c r="BM49" s="89"/>
      <c r="BN49" s="202"/>
      <c r="BO49" s="149">
        <v>0</v>
      </c>
      <c r="BP49" s="40"/>
      <c r="BQ49" s="89"/>
      <c r="BR49" s="202"/>
      <c r="BS49" s="149">
        <v>0</v>
      </c>
      <c r="BT49" s="40"/>
      <c r="BU49" s="89"/>
      <c r="BV49" s="202"/>
      <c r="BW49" s="149">
        <v>0</v>
      </c>
      <c r="BX49" s="40"/>
      <c r="BY49" s="89"/>
      <c r="BZ49" s="193"/>
      <c r="CA49" s="149">
        <v>0</v>
      </c>
      <c r="CB49" s="40"/>
      <c r="CC49" s="89"/>
      <c r="CD49" s="193"/>
      <c r="CE49" s="149">
        <v>0</v>
      </c>
      <c r="CF49" s="40"/>
      <c r="CG49" s="89"/>
      <c r="CH49" s="193"/>
      <c r="CI49" s="149">
        <v>0</v>
      </c>
      <c r="CJ49" s="40"/>
      <c r="CK49" s="89"/>
      <c r="CL49" s="193"/>
      <c r="CM49" s="149">
        <v>0</v>
      </c>
      <c r="CN49" s="40"/>
      <c r="CO49" s="89"/>
      <c r="CP49" s="193"/>
      <c r="CQ49" s="149">
        <v>0</v>
      </c>
      <c r="CR49" s="40"/>
      <c r="CS49" s="89"/>
      <c r="CT49" s="193"/>
      <c r="CU49" s="149">
        <v>0</v>
      </c>
      <c r="CV49" s="40"/>
      <c r="CW49" s="89"/>
      <c r="CX49" s="193"/>
      <c r="CY49" s="149">
        <v>0</v>
      </c>
      <c r="CZ49" s="40"/>
      <c r="DA49" s="89"/>
      <c r="DB49" s="193"/>
      <c r="DE49" s="287" t="e">
        <f t="shared" si="90"/>
        <v>#REF!</v>
      </c>
    </row>
    <row r="50" spans="1:121" outlineLevel="1">
      <c r="A50" s="417">
        <v>32077</v>
      </c>
      <c r="B50" s="168"/>
      <c r="C50" s="169"/>
      <c r="D50" s="11" t="s">
        <v>402</v>
      </c>
      <c r="E50" s="170">
        <v>0</v>
      </c>
      <c r="F50" s="145" t="str">
        <f>IF(OR(D50="4",E50="4"),INDEX([14]NamesElementary!$B$1:$B$65536,MATCH(A50,[14]NamesElementary!$A$1:$A$65536,0),1),INDEX([14]Names!$J$1:$J$65602,MATCH(A50,[14]Names!$F$1:$F$65602,0),1))</f>
        <v>electricity, PV, at 3kWp slanted-roof, CdTe, laminated, integrated</v>
      </c>
      <c r="G50" s="16" t="str">
        <f>IF(OR(D50="4",E50="4"),"-",INDEX([14]Names!$K$1:$K$65602,MATCH(A50,[14]Names!$F$1:$F$65602,0),1))</f>
        <v>CH</v>
      </c>
      <c r="H50" s="14" t="str">
        <f>IF(OR(D50="4",E50="4"),INDEX([14]NamesElementary!$D$1:$D$65536,MATCH($A50,[14]NamesElementary!$A$1:$A$65536,0),1),"-")</f>
        <v>-</v>
      </c>
      <c r="I50" s="14" t="str">
        <f>IF(OR(D50="4",E50="4"),INDEX([14]NamesElementary!$E$1:$E$65536,MATCH($A50,[14]NamesElementary!$A$1:$A$65536,0),1),"-")</f>
        <v>-</v>
      </c>
      <c r="J50" s="15">
        <f>IF(OR(D50="4",E50="4"),"-",INDEX([14]Names!$N$1:$N$65602,MATCH(A50,[14]Names!$F$1:$F$65602,0),1))</f>
        <v>0</v>
      </c>
      <c r="K50" s="16" t="str">
        <f>IF(OR(D50="4",E50="4"),INDEX([14]NamesElementary!$G$1:$G$65536,MATCH(A50,[14]NamesElementary!$A$1:$A$65536,0),1),INDEX([14]Names!$O$1:$O$65602,MATCH(A50,[14]Names!$F$1:$F$65602,0),1))</f>
        <v>kWh</v>
      </c>
      <c r="L50" s="149">
        <v>0</v>
      </c>
      <c r="M50" s="40"/>
      <c r="N50" s="89"/>
      <c r="O50" s="202"/>
      <c r="P50" s="149">
        <f t="shared" si="91"/>
        <v>0</v>
      </c>
      <c r="Q50" s="40"/>
      <c r="R50" s="89"/>
      <c r="S50" s="202"/>
      <c r="T50" s="149">
        <v>0</v>
      </c>
      <c r="U50" s="40"/>
      <c r="V50" s="89"/>
      <c r="W50" s="202"/>
      <c r="X50" s="149">
        <v>0</v>
      </c>
      <c r="Y50" s="40"/>
      <c r="Z50" s="89"/>
      <c r="AA50" s="202"/>
      <c r="AB50" s="149">
        <f t="shared" si="92"/>
        <v>0</v>
      </c>
      <c r="AC50" s="40"/>
      <c r="AD50" s="89"/>
      <c r="AE50" s="202"/>
      <c r="AF50" s="149">
        <f t="shared" si="93"/>
        <v>0</v>
      </c>
      <c r="AG50" s="40"/>
      <c r="AH50" s="89"/>
      <c r="AI50" s="202"/>
      <c r="AJ50" s="149">
        <f t="shared" si="94"/>
        <v>0</v>
      </c>
      <c r="AK50" s="40"/>
      <c r="AL50" s="89"/>
      <c r="AM50" s="193"/>
      <c r="AN50" s="149">
        <f t="shared" si="95"/>
        <v>0</v>
      </c>
      <c r="AO50" s="40"/>
      <c r="AP50" s="89"/>
      <c r="AQ50" s="202"/>
      <c r="AR50" s="149">
        <f t="shared" si="96"/>
        <v>0</v>
      </c>
      <c r="AS50" s="40"/>
      <c r="AT50" s="89"/>
      <c r="AU50" s="193"/>
      <c r="AV50" s="149">
        <f t="shared" si="97"/>
        <v>0</v>
      </c>
      <c r="AW50" s="40"/>
      <c r="AX50" s="89"/>
      <c r="AY50" s="202"/>
      <c r="AZ50" s="149">
        <f>AV49</f>
        <v>0</v>
      </c>
      <c r="BA50" s="40"/>
      <c r="BB50" s="89"/>
      <c r="BC50" s="202"/>
      <c r="BD50" s="149">
        <f t="shared" si="99"/>
        <v>0</v>
      </c>
      <c r="BE50" s="40"/>
      <c r="BF50" s="89"/>
      <c r="BG50" s="202"/>
      <c r="BH50" s="40"/>
      <c r="BI50" s="89"/>
      <c r="BJ50" s="202"/>
      <c r="BK50" s="149">
        <v>1</v>
      </c>
      <c r="BL50" s="40"/>
      <c r="BM50" s="89"/>
      <c r="BN50" s="202"/>
      <c r="BO50" s="149">
        <v>0</v>
      </c>
      <c r="BP50" s="40"/>
      <c r="BQ50" s="89"/>
      <c r="BR50" s="202"/>
      <c r="BS50" s="149">
        <v>0</v>
      </c>
      <c r="BT50" s="40"/>
      <c r="BU50" s="89"/>
      <c r="BV50" s="202"/>
      <c r="BW50" s="149">
        <v>0</v>
      </c>
      <c r="BX50" s="40"/>
      <c r="BY50" s="89"/>
      <c r="BZ50" s="193"/>
      <c r="CA50" s="149">
        <v>0</v>
      </c>
      <c r="CB50" s="40"/>
      <c r="CC50" s="89"/>
      <c r="CD50" s="193"/>
      <c r="CE50" s="149">
        <v>0</v>
      </c>
      <c r="CF50" s="40"/>
      <c r="CG50" s="89"/>
      <c r="CH50" s="193"/>
      <c r="CI50" s="149">
        <v>0</v>
      </c>
      <c r="CJ50" s="40"/>
      <c r="CK50" s="89"/>
      <c r="CL50" s="193"/>
      <c r="CM50" s="149">
        <v>0</v>
      </c>
      <c r="CN50" s="40"/>
      <c r="CO50" s="89"/>
      <c r="CP50" s="193"/>
      <c r="CQ50" s="149">
        <v>0</v>
      </c>
      <c r="CR50" s="40"/>
      <c r="CS50" s="89"/>
      <c r="CT50" s="193"/>
      <c r="CU50" s="149">
        <v>0</v>
      </c>
      <c r="CV50" s="40"/>
      <c r="CW50" s="89"/>
      <c r="CX50" s="193"/>
      <c r="CY50" s="149">
        <v>0</v>
      </c>
      <c r="CZ50" s="40"/>
      <c r="DA50" s="89"/>
      <c r="DB50" s="193"/>
      <c r="DE50" s="287" t="e">
        <f t="shared" si="90"/>
        <v>#REF!</v>
      </c>
      <c r="DF50" s="7"/>
      <c r="DG50" s="7"/>
      <c r="DH50" s="7"/>
      <c r="DI50" s="7"/>
      <c r="DJ50" s="7"/>
      <c r="DK50" s="7"/>
      <c r="DL50" s="7"/>
      <c r="DM50" s="7"/>
      <c r="DN50" s="7"/>
      <c r="DO50" s="7"/>
      <c r="DP50" s="7"/>
      <c r="DQ50" s="7"/>
    </row>
    <row r="51" spans="1:121" outlineLevel="1">
      <c r="A51" s="6">
        <f>BO1</f>
        <v>32081</v>
      </c>
      <c r="B51" s="168"/>
      <c r="C51" s="169"/>
      <c r="D51" s="11" t="s">
        <v>402</v>
      </c>
      <c r="E51" s="170">
        <v>0</v>
      </c>
      <c r="F51" s="145" t="str">
        <f>IF(OR(D51="4",E51="4"),INDEX([14]NamesElementary!$B$1:$B$65536,MATCH(A51,[14]NamesElementary!$A$1:$A$65536,0),1),INDEX([14]Names!$J$1:$J$65602,MATCH(A51,[14]Names!$F$1:$F$65602,0),1))</f>
        <v>electricity, PV, at 3kWp slanted-roof, CIS, panel, mounted</v>
      </c>
      <c r="G51" s="16" t="str">
        <f>IF(OR(D51="4",E51="4"),"-",INDEX([14]Names!$K$1:$K$65602,MATCH(A51,[14]Names!$F$1:$F$65602,0),1))</f>
        <v>CH</v>
      </c>
      <c r="H51" s="14" t="str">
        <f>IF(OR(D51="4",E51="4"),INDEX([14]NamesElementary!$D$1:$D$65536,MATCH($A51,[14]NamesElementary!$A$1:$A$65536,0),1),"-")</f>
        <v>-</v>
      </c>
      <c r="I51" s="14" t="str">
        <f>IF(OR(D51="4",E51="4"),INDEX([14]NamesElementary!$E$1:$E$65536,MATCH($A51,[14]NamesElementary!$A$1:$A$65536,0),1),"-")</f>
        <v>-</v>
      </c>
      <c r="J51" s="15">
        <f>IF(OR(D51="4",E51="4"),"-",INDEX([14]Names!$N$1:$N$65602,MATCH(A51,[14]Names!$F$1:$F$65602,0),1))</f>
        <v>0</v>
      </c>
      <c r="K51" s="16" t="str">
        <f>IF(OR(D51="4",E51="4"),INDEX([14]NamesElementary!$G$1:$G$65536,MATCH(A51,[14]NamesElementary!$A$1:$A$65536,0),1),INDEX([14]Names!$O$1:$O$65602,MATCH(A51,[14]Names!$F$1:$F$65602,0),1))</f>
        <v>kWh</v>
      </c>
      <c r="L51" s="149">
        <v>0</v>
      </c>
      <c r="M51" s="40"/>
      <c r="N51" s="89"/>
      <c r="O51" s="202"/>
      <c r="P51" s="149">
        <f t="shared" si="91"/>
        <v>0</v>
      </c>
      <c r="Q51" s="40"/>
      <c r="R51" s="89"/>
      <c r="S51" s="202"/>
      <c r="T51" s="149">
        <v>0</v>
      </c>
      <c r="U51" s="40"/>
      <c r="V51" s="89"/>
      <c r="W51" s="202"/>
      <c r="X51" s="149">
        <v>0</v>
      </c>
      <c r="Y51" s="40"/>
      <c r="Z51" s="89"/>
      <c r="AA51" s="202"/>
      <c r="AB51" s="149">
        <f t="shared" si="92"/>
        <v>0</v>
      </c>
      <c r="AC51" s="40"/>
      <c r="AD51" s="89"/>
      <c r="AE51" s="202"/>
      <c r="AF51" s="149">
        <f t="shared" si="93"/>
        <v>0</v>
      </c>
      <c r="AG51" s="40"/>
      <c r="AH51" s="89"/>
      <c r="AI51" s="202"/>
      <c r="AJ51" s="149">
        <f t="shared" si="94"/>
        <v>0</v>
      </c>
      <c r="AK51" s="40"/>
      <c r="AL51" s="89"/>
      <c r="AM51" s="193"/>
      <c r="AN51" s="149">
        <f t="shared" si="95"/>
        <v>0</v>
      </c>
      <c r="AO51" s="40"/>
      <c r="AP51" s="89"/>
      <c r="AQ51" s="202"/>
      <c r="AR51" s="149">
        <f t="shared" si="96"/>
        <v>0</v>
      </c>
      <c r="AS51" s="40"/>
      <c r="AT51" s="89"/>
      <c r="AU51" s="193"/>
      <c r="AV51" s="149">
        <f t="shared" si="97"/>
        <v>0</v>
      </c>
      <c r="AW51" s="40"/>
      <c r="AX51" s="89"/>
      <c r="AY51" s="202"/>
      <c r="AZ51" s="149">
        <f>AV50</f>
        <v>0</v>
      </c>
      <c r="BA51" s="40"/>
      <c r="BB51" s="89"/>
      <c r="BC51" s="202"/>
      <c r="BD51" s="149">
        <f t="shared" si="99"/>
        <v>0</v>
      </c>
      <c r="BE51" s="40"/>
      <c r="BF51" s="89"/>
      <c r="BG51" s="202"/>
      <c r="BH51" s="40"/>
      <c r="BI51" s="89"/>
      <c r="BJ51" s="202"/>
      <c r="BK51" s="149">
        <v>0</v>
      </c>
      <c r="BL51" s="40"/>
      <c r="BM51" s="89"/>
      <c r="BN51" s="202"/>
      <c r="BO51" s="149">
        <v>1</v>
      </c>
      <c r="BP51" s="40"/>
      <c r="BQ51" s="89"/>
      <c r="BR51" s="202"/>
      <c r="BS51" s="149">
        <v>0</v>
      </c>
      <c r="BT51" s="40"/>
      <c r="BU51" s="89"/>
      <c r="BV51" s="202"/>
      <c r="BW51" s="149">
        <v>0</v>
      </c>
      <c r="BX51" s="40"/>
      <c r="BY51" s="89"/>
      <c r="BZ51" s="193"/>
      <c r="CA51" s="149">
        <v>0</v>
      </c>
      <c r="CB51" s="40"/>
      <c r="CC51" s="89"/>
      <c r="CD51" s="193"/>
      <c r="CE51" s="149">
        <v>0</v>
      </c>
      <c r="CF51" s="40"/>
      <c r="CG51" s="89"/>
      <c r="CH51" s="193"/>
      <c r="CI51" s="149">
        <v>0</v>
      </c>
      <c r="CJ51" s="40"/>
      <c r="CK51" s="89"/>
      <c r="CL51" s="193"/>
      <c r="CM51" s="149">
        <v>0</v>
      </c>
      <c r="CN51" s="40"/>
      <c r="CO51" s="89"/>
      <c r="CP51" s="193"/>
      <c r="CQ51" s="149">
        <v>0</v>
      </c>
      <c r="CR51" s="40"/>
      <c r="CS51" s="89"/>
      <c r="CT51" s="193"/>
      <c r="CU51" s="149">
        <v>0</v>
      </c>
      <c r="CV51" s="40"/>
      <c r="CW51" s="89"/>
      <c r="CX51" s="193"/>
      <c r="CY51" s="149">
        <v>0</v>
      </c>
      <c r="CZ51" s="40"/>
      <c r="DA51" s="89"/>
      <c r="DB51" s="193"/>
      <c r="DE51" s="287" t="e">
        <f t="shared" si="90"/>
        <v>#REF!</v>
      </c>
      <c r="DF51" s="7"/>
      <c r="DG51" s="7"/>
      <c r="DH51" s="7"/>
      <c r="DI51" s="7"/>
      <c r="DJ51" s="7"/>
      <c r="DK51" s="7"/>
      <c r="DL51" s="7"/>
      <c r="DM51" s="7"/>
      <c r="DN51" s="7"/>
      <c r="DO51" s="7"/>
      <c r="DP51" s="7"/>
      <c r="DQ51" s="7"/>
    </row>
    <row r="52" spans="1:121" outlineLevel="1">
      <c r="A52" s="6">
        <f>BS1</f>
        <v>32133</v>
      </c>
      <c r="B52" s="168"/>
      <c r="C52" s="169"/>
      <c r="D52" s="11" t="s">
        <v>402</v>
      </c>
      <c r="E52" s="170">
        <v>0</v>
      </c>
      <c r="F52" s="145" t="str">
        <f>IF(OR(D52="4",E52="4"),INDEX([14]NamesElementary!$B$1:$B$65536,MATCH(A52,[14]NamesElementary!$A$1:$A$65536,0),1),INDEX([14]Names!$J$1:$J$65602,MATCH(A52,[14]Names!$F$1:$F$65602,0),1))</f>
        <v>electricity, PV, at 3kWp slanted-roof, a-Si, lam., integrated</v>
      </c>
      <c r="G52" s="16" t="str">
        <f>IF(OR(D52="4",E52="4"),"-",INDEX([14]Names!$K$1:$K$65602,MATCH(A52,[14]Names!$F$1:$F$65602,0),1))</f>
        <v>CH</v>
      </c>
      <c r="H52" s="14" t="str">
        <f>IF(OR(D52="4",E52="4"),INDEX([14]NamesElementary!$D$1:$D$65536,MATCH($A52,[14]NamesElementary!$A$1:$A$65536,0),1),"-")</f>
        <v>-</v>
      </c>
      <c r="I52" s="14" t="str">
        <f>IF(OR(D52="4",E52="4"),INDEX([14]NamesElementary!$E$1:$E$65536,MATCH($A52,[14]NamesElementary!$A$1:$A$65536,0),1),"-")</f>
        <v>-</v>
      </c>
      <c r="J52" s="15">
        <f>IF(OR(D52="4",E52="4"),"-",INDEX([14]Names!$N$1:$N$65602,MATCH(A52,[14]Names!$F$1:$F$65602,0),1))</f>
        <v>0</v>
      </c>
      <c r="K52" s="16" t="str">
        <f>IF(OR(D52="4",E52="4"),INDEX([14]NamesElementary!$G$1:$G$65536,MATCH(A52,[14]NamesElementary!$A$1:$A$65536,0),1),INDEX([14]Names!$O$1:$O$65602,MATCH(A52,[14]Names!$F$1:$F$65602,0),1))</f>
        <v>kWh</v>
      </c>
      <c r="L52" s="149">
        <v>0</v>
      </c>
      <c r="M52" s="40"/>
      <c r="N52" s="89"/>
      <c r="O52" s="202"/>
      <c r="P52" s="149">
        <f>L54</f>
        <v>0</v>
      </c>
      <c r="Q52" s="40"/>
      <c r="R52" s="89"/>
      <c r="S52" s="202"/>
      <c r="T52" s="149">
        <v>0</v>
      </c>
      <c r="U52" s="40"/>
      <c r="V52" s="89"/>
      <c r="W52" s="202"/>
      <c r="X52" s="149">
        <v>0</v>
      </c>
      <c r="Y52" s="40"/>
      <c r="Z52" s="89"/>
      <c r="AA52" s="202"/>
      <c r="AB52" s="149">
        <f>X54</f>
        <v>0</v>
      </c>
      <c r="AC52" s="40"/>
      <c r="AD52" s="89"/>
      <c r="AE52" s="202"/>
      <c r="AF52" s="149">
        <f>AB54</f>
        <v>0</v>
      </c>
      <c r="AG52" s="40"/>
      <c r="AH52" s="89"/>
      <c r="AI52" s="202"/>
      <c r="AJ52" s="149">
        <f>AF54</f>
        <v>0</v>
      </c>
      <c r="AK52" s="40"/>
      <c r="AL52" s="89"/>
      <c r="AM52" s="193"/>
      <c r="AN52" s="149">
        <f>AJ54</f>
        <v>0</v>
      </c>
      <c r="AO52" s="40"/>
      <c r="AP52" s="89"/>
      <c r="AQ52" s="202"/>
      <c r="AR52" s="149">
        <f>AN54</f>
        <v>0</v>
      </c>
      <c r="AS52" s="40"/>
      <c r="AT52" s="89"/>
      <c r="AU52" s="193"/>
      <c r="AV52" s="149">
        <f>AR54</f>
        <v>0</v>
      </c>
      <c r="AW52" s="40"/>
      <c r="AX52" s="89"/>
      <c r="AY52" s="202"/>
      <c r="AZ52" s="149">
        <f>AV54</f>
        <v>0</v>
      </c>
      <c r="BA52" s="40"/>
      <c r="BB52" s="89"/>
      <c r="BC52" s="202"/>
      <c r="BD52" s="149">
        <f>AZ54</f>
        <v>0</v>
      </c>
      <c r="BE52" s="40"/>
      <c r="BF52" s="89"/>
      <c r="BG52" s="202"/>
      <c r="BH52" s="40"/>
      <c r="BI52" s="89"/>
      <c r="BJ52" s="202"/>
      <c r="BK52" s="149">
        <v>0</v>
      </c>
      <c r="BL52" s="40"/>
      <c r="BM52" s="89"/>
      <c r="BN52" s="202"/>
      <c r="BO52" s="149">
        <v>0</v>
      </c>
      <c r="BP52" s="40"/>
      <c r="BQ52" s="89"/>
      <c r="BR52" s="202"/>
      <c r="BS52" s="149">
        <v>1</v>
      </c>
      <c r="BT52" s="40"/>
      <c r="BU52" s="89"/>
      <c r="BV52" s="202"/>
      <c r="BW52" s="149">
        <v>0</v>
      </c>
      <c r="BX52" s="40"/>
      <c r="BY52" s="89"/>
      <c r="BZ52" s="193"/>
      <c r="CA52" s="149">
        <v>0</v>
      </c>
      <c r="CB52" s="40"/>
      <c r="CC52" s="89"/>
      <c r="CD52" s="193"/>
      <c r="CE52" s="149">
        <v>0</v>
      </c>
      <c r="CF52" s="40"/>
      <c r="CG52" s="89"/>
      <c r="CH52" s="193"/>
      <c r="CI52" s="149">
        <v>0</v>
      </c>
      <c r="CJ52" s="40"/>
      <c r="CK52" s="89"/>
      <c r="CL52" s="193"/>
      <c r="CM52" s="149">
        <v>0</v>
      </c>
      <c r="CN52" s="40"/>
      <c r="CO52" s="89"/>
      <c r="CP52" s="193"/>
      <c r="CQ52" s="149">
        <v>0</v>
      </c>
      <c r="CR52" s="40"/>
      <c r="CS52" s="89"/>
      <c r="CT52" s="193"/>
      <c r="CU52" s="149">
        <v>0</v>
      </c>
      <c r="CV52" s="40"/>
      <c r="CW52" s="89"/>
      <c r="CX52" s="193"/>
      <c r="CY52" s="149">
        <f>BO54</f>
        <v>0</v>
      </c>
      <c r="CZ52" s="40"/>
      <c r="DA52" s="89"/>
      <c r="DB52" s="193"/>
      <c r="DE52" s="287" t="e">
        <f t="shared" si="90"/>
        <v>#REF!</v>
      </c>
      <c r="DF52" s="7"/>
      <c r="DG52" s="7"/>
      <c r="DH52" s="7"/>
      <c r="DI52" s="7"/>
      <c r="DJ52" s="7"/>
      <c r="DK52" s="7"/>
      <c r="DL52" s="7"/>
      <c r="DM52" s="7"/>
      <c r="DN52" s="7"/>
      <c r="DO52" s="7"/>
      <c r="DP52" s="7"/>
      <c r="DQ52" s="7"/>
    </row>
    <row r="53" spans="1:121" outlineLevel="1">
      <c r="A53" s="6">
        <f>BW1</f>
        <v>32132</v>
      </c>
      <c r="B53" s="168"/>
      <c r="C53" s="169"/>
      <c r="D53" s="11" t="s">
        <v>402</v>
      </c>
      <c r="E53" s="170">
        <v>0</v>
      </c>
      <c r="F53" s="145" t="str">
        <f>IF(OR(D53="4",E53="4"),INDEX([14]NamesElementary!$B$1:$B$65536,MATCH(A53,[14]NamesElementary!$A$1:$A$65536,0),1),INDEX([14]Names!$J$1:$J$65602,MATCH(A53,[14]Names!$F$1:$F$65602,0),1))</f>
        <v>electricity, PV, at 3kWp slanted-roof, a-Si, panel, mounted</v>
      </c>
      <c r="G53" s="16" t="str">
        <f>IF(OR(D53="4",E53="4"),"-",INDEX([14]Names!$K$1:$K$65602,MATCH(A53,[14]Names!$F$1:$F$65602,0),1))</f>
        <v>CH</v>
      </c>
      <c r="H53" s="14" t="str">
        <f>IF(OR(D53="4",E53="4"),INDEX([14]NamesElementary!$D$1:$D$65536,MATCH($A53,[14]NamesElementary!$A$1:$A$65536,0),1),"-")</f>
        <v>-</v>
      </c>
      <c r="I53" s="14" t="str">
        <f>IF(OR(D53="4",E53="4"),INDEX([14]NamesElementary!$E$1:$E$65536,MATCH($A53,[14]NamesElementary!$A$1:$A$65536,0),1),"-")</f>
        <v>-</v>
      </c>
      <c r="J53" s="15">
        <f>IF(OR(D53="4",E53="4"),"-",INDEX([14]Names!$N$1:$N$65602,MATCH(A53,[14]Names!$F$1:$F$65602,0),1))</f>
        <v>0</v>
      </c>
      <c r="K53" s="16" t="str">
        <f>IF(OR(D53="4",E53="4"),INDEX([14]NamesElementary!$G$1:$G$65536,MATCH(A53,[14]NamesElementary!$A$1:$A$65536,0),1),INDEX([14]Names!$O$1:$O$65602,MATCH(A53,[14]Names!$F$1:$F$65602,0),1))</f>
        <v>kWh</v>
      </c>
      <c r="L53" s="149">
        <v>0</v>
      </c>
      <c r="M53" s="40"/>
      <c r="N53" s="89"/>
      <c r="O53" s="202"/>
      <c r="P53" s="149">
        <f>L52</f>
        <v>0</v>
      </c>
      <c r="Q53" s="40"/>
      <c r="R53" s="89"/>
      <c r="S53" s="202"/>
      <c r="T53" s="149">
        <v>0</v>
      </c>
      <c r="U53" s="40"/>
      <c r="V53" s="89"/>
      <c r="W53" s="202"/>
      <c r="X53" s="149">
        <v>0</v>
      </c>
      <c r="Y53" s="40"/>
      <c r="Z53" s="89"/>
      <c r="AA53" s="202"/>
      <c r="AB53" s="149">
        <f>X52</f>
        <v>0</v>
      </c>
      <c r="AC53" s="40"/>
      <c r="AD53" s="89"/>
      <c r="AE53" s="202"/>
      <c r="AF53" s="149">
        <f>AB52</f>
        <v>0</v>
      </c>
      <c r="AG53" s="40"/>
      <c r="AH53" s="89"/>
      <c r="AI53" s="202"/>
      <c r="AJ53" s="149">
        <f>AF52</f>
        <v>0</v>
      </c>
      <c r="AK53" s="40"/>
      <c r="AL53" s="89"/>
      <c r="AM53" s="193"/>
      <c r="AN53" s="149">
        <f>AJ52</f>
        <v>0</v>
      </c>
      <c r="AO53" s="40"/>
      <c r="AP53" s="89"/>
      <c r="AQ53" s="202"/>
      <c r="AR53" s="149">
        <f>AN52</f>
        <v>0</v>
      </c>
      <c r="AS53" s="40"/>
      <c r="AT53" s="89"/>
      <c r="AU53" s="193"/>
      <c r="AV53" s="149">
        <f>AR52</f>
        <v>0</v>
      </c>
      <c r="AW53" s="40"/>
      <c r="AX53" s="89"/>
      <c r="AY53" s="202"/>
      <c r="AZ53" s="149">
        <f>AV52</f>
        <v>0</v>
      </c>
      <c r="BA53" s="40"/>
      <c r="BB53" s="89"/>
      <c r="BC53" s="202"/>
      <c r="BD53" s="149">
        <f>AZ52</f>
        <v>0</v>
      </c>
      <c r="BE53" s="40"/>
      <c r="BF53" s="89"/>
      <c r="BG53" s="202"/>
      <c r="BH53" s="40"/>
      <c r="BI53" s="89"/>
      <c r="BJ53" s="202"/>
      <c r="BK53" s="149">
        <v>0</v>
      </c>
      <c r="BL53" s="40"/>
      <c r="BM53" s="89"/>
      <c r="BN53" s="202"/>
      <c r="BO53" s="149">
        <v>0</v>
      </c>
      <c r="BP53" s="40"/>
      <c r="BQ53" s="89"/>
      <c r="BR53" s="202"/>
      <c r="BS53" s="149">
        <f>BO52</f>
        <v>0</v>
      </c>
      <c r="BT53" s="40"/>
      <c r="BU53" s="89"/>
      <c r="BV53" s="202"/>
      <c r="BW53" s="149">
        <v>1</v>
      </c>
      <c r="BX53" s="40"/>
      <c r="BY53" s="89"/>
      <c r="BZ53" s="193"/>
      <c r="CA53" s="149">
        <v>0</v>
      </c>
      <c r="CB53" s="40"/>
      <c r="CC53" s="89"/>
      <c r="CD53" s="193"/>
      <c r="CE53" s="149">
        <v>0</v>
      </c>
      <c r="CF53" s="40"/>
      <c r="CG53" s="89"/>
      <c r="CH53" s="193"/>
      <c r="CI53" s="149">
        <v>0</v>
      </c>
      <c r="CJ53" s="40"/>
      <c r="CK53" s="89"/>
      <c r="CL53" s="193"/>
      <c r="CM53" s="149">
        <v>0</v>
      </c>
      <c r="CN53" s="40"/>
      <c r="CO53" s="89"/>
      <c r="CP53" s="193"/>
      <c r="CQ53" s="149">
        <v>0</v>
      </c>
      <c r="CR53" s="40"/>
      <c r="CS53" s="89"/>
      <c r="CT53" s="193"/>
      <c r="CU53" s="149">
        <v>0</v>
      </c>
      <c r="CV53" s="40"/>
      <c r="CW53" s="89"/>
      <c r="CX53" s="193"/>
      <c r="CY53" s="149">
        <f>BO52</f>
        <v>0</v>
      </c>
      <c r="CZ53" s="40"/>
      <c r="DA53" s="89"/>
      <c r="DB53" s="193"/>
      <c r="DE53" s="287" t="e">
        <f t="shared" si="90"/>
        <v>#REF!</v>
      </c>
      <c r="DF53" s="7"/>
      <c r="DG53" s="7"/>
      <c r="DH53" s="7"/>
      <c r="DI53" s="7"/>
      <c r="DJ53" s="7"/>
      <c r="DK53" s="7"/>
      <c r="DL53" s="7"/>
      <c r="DM53" s="7"/>
      <c r="DN53" s="7"/>
      <c r="DO53" s="7"/>
      <c r="DP53" s="7"/>
      <c r="DQ53" s="7"/>
    </row>
    <row r="54" spans="1:121" outlineLevel="1">
      <c r="A54" s="6">
        <f>CY1</f>
        <v>4853</v>
      </c>
      <c r="B54" s="168"/>
      <c r="C54" s="169"/>
      <c r="D54" s="11" t="s">
        <v>402</v>
      </c>
      <c r="E54" s="170">
        <v>0</v>
      </c>
      <c r="F54" s="145" t="str">
        <f>IF(OR(D54="4",E54="4"),INDEX([14]NamesElementary!$B$1:$B$65536,MATCH(A54,[14]NamesElementary!$A$1:$A$65536,0),1),INDEX([14]Names!$J$1:$J$65602,MATCH(A54,[14]Names!$F$1:$F$65602,0),1))</f>
        <v>electricity, production mix photovoltaic, at plant</v>
      </c>
      <c r="G54" s="16" t="str">
        <f>IF(OR(D54="4",E54="4"),"-",INDEX([14]Names!$K$1:$K$65602,MATCH(A54,[14]Names!$F$1:$F$65602,0),1))</f>
        <v>CH</v>
      </c>
      <c r="H54" s="14" t="str">
        <f>IF(OR(D54="4",E54="4"),INDEX([14]NamesElementary!$D$1:$D$65536,MATCH($A54,[14]NamesElementary!$A$1:$A$65536,0),1),"-")</f>
        <v>-</v>
      </c>
      <c r="I54" s="14" t="str">
        <f>IF(OR(D54="4",E54="4"),INDEX([14]NamesElementary!$E$1:$E$65536,MATCH($A54,[14]NamesElementary!$A$1:$A$65536,0),1),"-")</f>
        <v>-</v>
      </c>
      <c r="J54" s="15">
        <f>IF(OR(D54="4",E54="4"),"-",INDEX([14]Names!$N$1:$N$65602,MATCH(A54,[14]Names!$F$1:$F$65602,0),1))</f>
        <v>0</v>
      </c>
      <c r="K54" s="16" t="str">
        <f>IF(OR(D54="4",E54="4"),INDEX([14]NamesElementary!$G$1:$G$65536,MATCH(A54,[14]NamesElementary!$A$1:$A$65536,0),1),INDEX([14]Names!$O$1:$O$65602,MATCH(A54,[14]Names!$F$1:$F$65602,0),1))</f>
        <v>kWh</v>
      </c>
      <c r="L54" s="149">
        <v>0</v>
      </c>
      <c r="M54" s="40"/>
      <c r="N54" s="89"/>
      <c r="O54" s="202"/>
      <c r="P54" s="149">
        <f>L51</f>
        <v>0</v>
      </c>
      <c r="Q54" s="40"/>
      <c r="R54" s="89"/>
      <c r="S54" s="202"/>
      <c r="T54" s="149">
        <v>0</v>
      </c>
      <c r="U54" s="40"/>
      <c r="V54" s="89"/>
      <c r="W54" s="202"/>
      <c r="X54" s="149">
        <v>0</v>
      </c>
      <c r="Y54" s="40"/>
      <c r="Z54" s="89"/>
      <c r="AA54" s="202"/>
      <c r="AB54" s="149">
        <f>X51</f>
        <v>0</v>
      </c>
      <c r="AC54" s="40"/>
      <c r="AD54" s="89"/>
      <c r="AE54" s="202"/>
      <c r="AF54" s="149">
        <f>AB51</f>
        <v>0</v>
      </c>
      <c r="AG54" s="40"/>
      <c r="AH54" s="89"/>
      <c r="AI54" s="202"/>
      <c r="AJ54" s="149">
        <f>AF51</f>
        <v>0</v>
      </c>
      <c r="AK54" s="40"/>
      <c r="AL54" s="89"/>
      <c r="AM54" s="193"/>
      <c r="AN54" s="149">
        <f>AJ51</f>
        <v>0</v>
      </c>
      <c r="AO54" s="40"/>
      <c r="AP54" s="89"/>
      <c r="AQ54" s="202"/>
      <c r="AR54" s="149">
        <f>AN51</f>
        <v>0</v>
      </c>
      <c r="AS54" s="40"/>
      <c r="AT54" s="89"/>
      <c r="AU54" s="193"/>
      <c r="AV54" s="149">
        <f>AR51</f>
        <v>0</v>
      </c>
      <c r="AW54" s="40"/>
      <c r="AX54" s="89"/>
      <c r="AY54" s="202"/>
      <c r="AZ54" s="149">
        <f>AV51</f>
        <v>0</v>
      </c>
      <c r="BA54" s="40"/>
      <c r="BB54" s="89"/>
      <c r="BC54" s="202"/>
      <c r="BD54" s="149">
        <f>AZ51</f>
        <v>0</v>
      </c>
      <c r="BE54" s="40"/>
      <c r="BF54" s="89"/>
      <c r="BG54" s="202"/>
      <c r="BH54" s="40"/>
      <c r="BI54" s="89"/>
      <c r="BJ54" s="202"/>
      <c r="BK54" s="149">
        <v>0</v>
      </c>
      <c r="BL54" s="40"/>
      <c r="BM54" s="89"/>
      <c r="BN54" s="202"/>
      <c r="BO54" s="149">
        <v>0</v>
      </c>
      <c r="BP54" s="40"/>
      <c r="BQ54" s="89"/>
      <c r="BR54" s="202"/>
      <c r="BS54" s="149">
        <v>0</v>
      </c>
      <c r="BT54" s="40"/>
      <c r="BU54" s="89"/>
      <c r="BV54" s="202"/>
      <c r="BW54" s="149">
        <f>BS53</f>
        <v>0</v>
      </c>
      <c r="BX54" s="40"/>
      <c r="BY54" s="89"/>
      <c r="BZ54" s="193"/>
      <c r="CA54" s="149">
        <v>0</v>
      </c>
      <c r="CB54" s="40"/>
      <c r="CC54" s="89"/>
      <c r="CD54" s="193"/>
      <c r="CE54" s="149">
        <v>0</v>
      </c>
      <c r="CF54" s="40"/>
      <c r="CG54" s="89"/>
      <c r="CH54" s="193"/>
      <c r="CI54" s="149">
        <v>0</v>
      </c>
      <c r="CJ54" s="40"/>
      <c r="CK54" s="89"/>
      <c r="CL54" s="193"/>
      <c r="CM54" s="149">
        <v>0</v>
      </c>
      <c r="CN54" s="40"/>
      <c r="CO54" s="89"/>
      <c r="CP54" s="193"/>
      <c r="CQ54" s="149">
        <v>0</v>
      </c>
      <c r="CR54" s="40"/>
      <c r="CS54" s="89"/>
      <c r="CT54" s="193"/>
      <c r="CU54" s="149">
        <v>0</v>
      </c>
      <c r="CV54" s="40"/>
      <c r="CW54" s="89"/>
      <c r="CX54" s="193"/>
      <c r="CY54" s="149">
        <v>1</v>
      </c>
      <c r="CZ54" s="40"/>
      <c r="DA54" s="89"/>
      <c r="DB54" s="193"/>
      <c r="DE54" s="287" t="e">
        <f>SUMPRODUCT(DC15:DC30,DE15:DE30)</f>
        <v>#REF!</v>
      </c>
      <c r="DF54" s="7"/>
      <c r="DG54" s="7"/>
      <c r="DH54" s="7"/>
      <c r="DI54" s="7"/>
      <c r="DJ54" s="7"/>
      <c r="DK54" s="7"/>
      <c r="DL54" s="7"/>
      <c r="DM54" s="7"/>
      <c r="DN54" s="7"/>
      <c r="DO54" s="7"/>
      <c r="DP54" s="7"/>
      <c r="DQ54" s="7"/>
    </row>
    <row r="55" spans="1:121" ht="24" outlineLevel="1">
      <c r="A55" s="478" t="s">
        <v>814</v>
      </c>
      <c r="B55" s="168"/>
      <c r="C55" s="169"/>
      <c r="D55" s="11" t="s">
        <v>402</v>
      </c>
      <c r="E55" s="170">
        <v>0</v>
      </c>
      <c r="F55" s="145" t="str">
        <f>IF(OR(D55="4",E55="4"),INDEX([14]NamesElementary!$B$1:$B$65536,MATCH(A55,[14]NamesElementary!$A$1:$A$65536,0),1),INDEX([14]Names!$J$1:$J$65602,MATCH(A55,[14]Names!$F$1:$F$65602,0),1))</f>
        <v>electricity, PV, at 3kWp slanted-roof, multi-Si, European laminate integrated</v>
      </c>
      <c r="G55" s="16" t="str">
        <f>IF(OR(D55="4",E55="4"),"-",INDEX([14]Names!$K$1:$K$65602,MATCH(A55,[14]Names!$F$1:$F$65602,0),1))</f>
        <v>CH</v>
      </c>
      <c r="H55" s="14" t="str">
        <f>IF(OR(D55="4",E55="4"),INDEX([14]NamesElementary!$D$1:$D$65536,MATCH($A55,[14]NamesElementary!$A$1:$A$65536,0),1),"-")</f>
        <v>-</v>
      </c>
      <c r="I55" s="14" t="str">
        <f>IF(OR(D55="4",E55="4"),INDEX([14]NamesElementary!$E$1:$E$65536,MATCH($A55,[14]NamesElementary!$A$1:$A$65536,0),1),"-")</f>
        <v>-</v>
      </c>
      <c r="J55" s="15">
        <f>IF(OR(D55="4",E55="4"),"-",INDEX([14]Names!$N$1:$N$65602,MATCH(A55,[14]Names!$F$1:$F$65602,0),1))</f>
        <v>0</v>
      </c>
      <c r="K55" s="16" t="str">
        <f>IF(OR(D55="4",E55="4"),INDEX([14]NamesElementary!$G$1:$G$65536,MATCH(A55,[14]NamesElementary!$A$1:$A$65536,0),1),INDEX([14]Names!$O$1:$O$65602,MATCH(A55,[14]Names!$F$1:$F$65602,0),1))</f>
        <v>kWh</v>
      </c>
      <c r="L55" s="149">
        <v>0</v>
      </c>
      <c r="M55" s="40"/>
      <c r="N55" s="89"/>
      <c r="O55" s="202"/>
      <c r="P55" s="149">
        <f t="shared" ref="P55:P60" si="101">L54</f>
        <v>0</v>
      </c>
      <c r="Q55" s="40"/>
      <c r="R55" s="89"/>
      <c r="S55" s="202"/>
      <c r="T55" s="149">
        <v>0</v>
      </c>
      <c r="U55" s="40"/>
      <c r="V55" s="89"/>
      <c r="W55" s="202"/>
      <c r="X55" s="149">
        <v>0</v>
      </c>
      <c r="Y55" s="40"/>
      <c r="Z55" s="89"/>
      <c r="AA55" s="202"/>
      <c r="AB55" s="149">
        <f t="shared" ref="AB55:AB60" si="102">X54</f>
        <v>0</v>
      </c>
      <c r="AC55" s="40"/>
      <c r="AD55" s="89"/>
      <c r="AE55" s="202"/>
      <c r="AF55" s="149">
        <f t="shared" ref="AF55:AF60" si="103">AB54</f>
        <v>0</v>
      </c>
      <c r="AG55" s="40"/>
      <c r="AH55" s="89"/>
      <c r="AI55" s="202"/>
      <c r="AJ55" s="149">
        <f t="shared" ref="AJ55:AJ60" si="104">AF54</f>
        <v>0</v>
      </c>
      <c r="AK55" s="40"/>
      <c r="AL55" s="89"/>
      <c r="AM55" s="193"/>
      <c r="AN55" s="149">
        <f t="shared" ref="AN55:AN60" si="105">AJ54</f>
        <v>0</v>
      </c>
      <c r="AO55" s="40"/>
      <c r="AP55" s="89"/>
      <c r="AQ55" s="202"/>
      <c r="AR55" s="149">
        <f t="shared" ref="AR55:AR60" si="106">AN54</f>
        <v>0</v>
      </c>
      <c r="AS55" s="40"/>
      <c r="AT55" s="89"/>
      <c r="AU55" s="193"/>
      <c r="AV55" s="149">
        <f t="shared" ref="AV55:AV60" si="107">AR54</f>
        <v>0</v>
      </c>
      <c r="AW55" s="40"/>
      <c r="AX55" s="89"/>
      <c r="AY55" s="202"/>
      <c r="AZ55" s="149">
        <f t="shared" ref="AZ55:AZ60" si="108">AV54</f>
        <v>0</v>
      </c>
      <c r="BA55" s="40"/>
      <c r="BB55" s="89"/>
      <c r="BC55" s="202"/>
      <c r="BD55" s="149">
        <f t="shared" ref="BD55:BD60" si="109">AZ54</f>
        <v>0</v>
      </c>
      <c r="BE55" s="40"/>
      <c r="BF55" s="89"/>
      <c r="BG55" s="202"/>
      <c r="BH55" s="40"/>
      <c r="BI55" s="89"/>
      <c r="BJ55" s="202"/>
      <c r="BK55" s="149">
        <v>0</v>
      </c>
      <c r="BL55" s="40"/>
      <c r="BM55" s="89"/>
      <c r="BN55" s="202"/>
      <c r="BO55" s="149">
        <v>0</v>
      </c>
      <c r="BP55" s="40"/>
      <c r="BQ55" s="89"/>
      <c r="BR55" s="202"/>
      <c r="BS55" s="149">
        <f t="shared" ref="BS55:BS60" si="110">BO54</f>
        <v>0</v>
      </c>
      <c r="BT55" s="40"/>
      <c r="BU55" s="89"/>
      <c r="BV55" s="202"/>
      <c r="BW55" s="149">
        <v>0</v>
      </c>
      <c r="BX55" s="40"/>
      <c r="BY55" s="89"/>
      <c r="BZ55" s="193"/>
      <c r="CA55" s="149">
        <v>1</v>
      </c>
      <c r="CB55" s="40"/>
      <c r="CC55" s="89"/>
      <c r="CD55" s="193"/>
      <c r="CE55" s="149">
        <v>0</v>
      </c>
      <c r="CF55" s="40"/>
      <c r="CG55" s="89"/>
      <c r="CH55" s="193"/>
      <c r="CI55" s="149">
        <v>0</v>
      </c>
      <c r="CJ55" s="40"/>
      <c r="CK55" s="89"/>
      <c r="CL55" s="193"/>
      <c r="CM55" s="149">
        <v>0</v>
      </c>
      <c r="CN55" s="40"/>
      <c r="CO55" s="89"/>
      <c r="CP55" s="193"/>
      <c r="CQ55" s="149">
        <v>0</v>
      </c>
      <c r="CR55" s="40"/>
      <c r="CS55" s="89"/>
      <c r="CT55" s="193"/>
      <c r="CU55" s="149">
        <v>0</v>
      </c>
      <c r="CV55" s="40"/>
      <c r="CW55" s="89"/>
      <c r="CX55" s="193"/>
      <c r="CY55" s="149">
        <f t="shared" ref="CY55:CY60" si="111">BO54</f>
        <v>0</v>
      </c>
      <c r="CZ55" s="40"/>
      <c r="DA55" s="89"/>
      <c r="DB55" s="193"/>
      <c r="DE55" s="287" t="e">
        <f t="shared" ref="DE55:DE60" si="112">DE38</f>
        <v>#REF!</v>
      </c>
      <c r="DF55" s="7"/>
      <c r="DG55" s="7"/>
      <c r="DH55" s="7"/>
      <c r="DI55" s="7"/>
      <c r="DJ55" s="7"/>
      <c r="DK55" s="7"/>
      <c r="DL55" s="7"/>
      <c r="DM55" s="7"/>
      <c r="DN55" s="7"/>
      <c r="DO55" s="7"/>
      <c r="DP55" s="7"/>
      <c r="DQ55" s="7"/>
    </row>
    <row r="56" spans="1:121" ht="24" outlineLevel="1">
      <c r="A56" s="478" t="s">
        <v>815</v>
      </c>
      <c r="B56" s="168"/>
      <c r="C56" s="169"/>
      <c r="D56" s="11" t="s">
        <v>402</v>
      </c>
      <c r="E56" s="170">
        <v>0</v>
      </c>
      <c r="F56" s="145" t="str">
        <f>IF(OR(D56="4",E56="4"),INDEX([14]NamesElementary!$B$1:$B$65536,MATCH(A56,[14]NamesElementary!$A$1:$A$65536,0),1),INDEX([14]Names!$J$1:$J$65602,MATCH(A56,[14]Names!$F$1:$F$65602,0),1))</f>
        <v>electricity, PV, at 3kWp slanted-roof, multi-Si, European panel, mounted</v>
      </c>
      <c r="G56" s="16" t="str">
        <f>IF(OR(D56="4",E56="4"),"-",INDEX([14]Names!$K$1:$K$65602,MATCH(A56,[14]Names!$F$1:$F$65602,0),1))</f>
        <v>CH</v>
      </c>
      <c r="H56" s="14" t="str">
        <f>IF(OR(D56="4",E56="4"),INDEX([14]NamesElementary!$D$1:$D$65536,MATCH($A56,[14]NamesElementary!$A$1:$A$65536,0),1),"-")</f>
        <v>-</v>
      </c>
      <c r="I56" s="14" t="str">
        <f>IF(OR(D56="4",E56="4"),INDEX([14]NamesElementary!$E$1:$E$65536,MATCH($A56,[14]NamesElementary!$A$1:$A$65536,0),1),"-")</f>
        <v>-</v>
      </c>
      <c r="J56" s="15">
        <f>IF(OR(D56="4",E56="4"),"-",INDEX([14]Names!$N$1:$N$65602,MATCH(A56,[14]Names!$F$1:$F$65602,0),1))</f>
        <v>0</v>
      </c>
      <c r="K56" s="16" t="str">
        <f>IF(OR(D56="4",E56="4"),INDEX([14]NamesElementary!$G$1:$G$65536,MATCH(A56,[14]NamesElementary!$A$1:$A$65536,0),1),INDEX([14]Names!$O$1:$O$65602,MATCH(A56,[14]Names!$F$1:$F$65602,0),1))</f>
        <v>kWh</v>
      </c>
      <c r="L56" s="149">
        <v>0</v>
      </c>
      <c r="M56" s="40"/>
      <c r="N56" s="89"/>
      <c r="O56" s="202"/>
      <c r="P56" s="149">
        <f t="shared" si="101"/>
        <v>0</v>
      </c>
      <c r="Q56" s="40"/>
      <c r="R56" s="89"/>
      <c r="S56" s="202"/>
      <c r="T56" s="149">
        <v>0</v>
      </c>
      <c r="U56" s="40"/>
      <c r="V56" s="89"/>
      <c r="W56" s="202"/>
      <c r="X56" s="149">
        <v>0</v>
      </c>
      <c r="Y56" s="40"/>
      <c r="Z56" s="89"/>
      <c r="AA56" s="202"/>
      <c r="AB56" s="149">
        <f t="shared" si="102"/>
        <v>0</v>
      </c>
      <c r="AC56" s="40"/>
      <c r="AD56" s="89"/>
      <c r="AE56" s="202"/>
      <c r="AF56" s="149">
        <f t="shared" si="103"/>
        <v>0</v>
      </c>
      <c r="AG56" s="40"/>
      <c r="AH56" s="89"/>
      <c r="AI56" s="202"/>
      <c r="AJ56" s="149">
        <f t="shared" si="104"/>
        <v>0</v>
      </c>
      <c r="AK56" s="40"/>
      <c r="AL56" s="89"/>
      <c r="AM56" s="193"/>
      <c r="AN56" s="149">
        <f t="shared" si="105"/>
        <v>0</v>
      </c>
      <c r="AO56" s="40"/>
      <c r="AP56" s="89"/>
      <c r="AQ56" s="202"/>
      <c r="AR56" s="149">
        <f t="shared" si="106"/>
        <v>0</v>
      </c>
      <c r="AS56" s="40"/>
      <c r="AT56" s="89"/>
      <c r="AU56" s="193"/>
      <c r="AV56" s="149">
        <f t="shared" si="107"/>
        <v>0</v>
      </c>
      <c r="AW56" s="40"/>
      <c r="AX56" s="89"/>
      <c r="AY56" s="202"/>
      <c r="AZ56" s="149">
        <f t="shared" si="108"/>
        <v>0</v>
      </c>
      <c r="BA56" s="40"/>
      <c r="BB56" s="89"/>
      <c r="BC56" s="202"/>
      <c r="BD56" s="149">
        <f t="shared" si="109"/>
        <v>0</v>
      </c>
      <c r="BE56" s="40"/>
      <c r="BF56" s="89"/>
      <c r="BG56" s="202"/>
      <c r="BH56" s="40"/>
      <c r="BI56" s="89"/>
      <c r="BJ56" s="202"/>
      <c r="BK56" s="149">
        <v>0</v>
      </c>
      <c r="BL56" s="40"/>
      <c r="BM56" s="89"/>
      <c r="BN56" s="202"/>
      <c r="BO56" s="149">
        <v>0</v>
      </c>
      <c r="BP56" s="40"/>
      <c r="BQ56" s="89"/>
      <c r="BR56" s="202"/>
      <c r="BS56" s="149">
        <f t="shared" si="110"/>
        <v>0</v>
      </c>
      <c r="BT56" s="40"/>
      <c r="BU56" s="89"/>
      <c r="BV56" s="202"/>
      <c r="BW56" s="149">
        <v>0</v>
      </c>
      <c r="BX56" s="40"/>
      <c r="BY56" s="89"/>
      <c r="BZ56" s="193"/>
      <c r="CA56" s="149">
        <v>0</v>
      </c>
      <c r="CB56" s="40"/>
      <c r="CC56" s="89"/>
      <c r="CD56" s="193"/>
      <c r="CE56" s="149">
        <v>1</v>
      </c>
      <c r="CF56" s="40"/>
      <c r="CG56" s="89"/>
      <c r="CH56" s="193"/>
      <c r="CI56" s="149">
        <v>0</v>
      </c>
      <c r="CJ56" s="40"/>
      <c r="CK56" s="89"/>
      <c r="CL56" s="193"/>
      <c r="CM56" s="149">
        <v>0</v>
      </c>
      <c r="CN56" s="40"/>
      <c r="CO56" s="89"/>
      <c r="CP56" s="193"/>
      <c r="CQ56" s="149">
        <v>0</v>
      </c>
      <c r="CR56" s="40"/>
      <c r="CS56" s="89"/>
      <c r="CT56" s="193"/>
      <c r="CU56" s="149">
        <v>0</v>
      </c>
      <c r="CV56" s="40"/>
      <c r="CW56" s="89"/>
      <c r="CX56" s="193"/>
      <c r="CY56" s="149">
        <f t="shared" si="111"/>
        <v>0</v>
      </c>
      <c r="CZ56" s="40"/>
      <c r="DA56" s="89"/>
      <c r="DB56" s="193"/>
      <c r="DE56" s="287" t="e">
        <f t="shared" si="112"/>
        <v>#REF!</v>
      </c>
      <c r="DF56" s="7"/>
      <c r="DG56" s="7"/>
      <c r="DH56" s="7"/>
      <c r="DI56" s="7"/>
      <c r="DJ56" s="7"/>
      <c r="DK56" s="7"/>
      <c r="DL56" s="7"/>
      <c r="DM56" s="7"/>
      <c r="DN56" s="7"/>
      <c r="DO56" s="7"/>
      <c r="DP56" s="7"/>
      <c r="DQ56" s="7"/>
    </row>
    <row r="57" spans="1:121" ht="24" outlineLevel="1">
      <c r="A57" s="478" t="s">
        <v>816</v>
      </c>
      <c r="B57" s="168"/>
      <c r="C57" s="169"/>
      <c r="D57" s="11" t="s">
        <v>402</v>
      </c>
      <c r="E57" s="170">
        <v>0</v>
      </c>
      <c r="F57" s="145" t="str">
        <f>IF(OR(D57="4",E57="4"),INDEX([14]NamesElementary!$B$1:$B$65536,MATCH(A57,[14]NamesElementary!$A$1:$A$65536,0),1),INDEX([14]Names!$J$1:$J$65602,MATCH(A57,[14]Names!$F$1:$F$65602,0),1))</f>
        <v>electricity, PV, at 3kWp slanted-roof, single-Si, European laminate, integrated</v>
      </c>
      <c r="G57" s="16" t="str">
        <f>IF(OR(D57="4",E57="4"),"-",INDEX([14]Names!$K$1:$K$65602,MATCH(A57,[14]Names!$F$1:$F$65602,0),1))</f>
        <v>CH</v>
      </c>
      <c r="H57" s="14" t="str">
        <f>IF(OR(D57="4",E57="4"),INDEX([14]NamesElementary!$D$1:$D$65536,MATCH($A57,[14]NamesElementary!$A$1:$A$65536,0),1),"-")</f>
        <v>-</v>
      </c>
      <c r="I57" s="14" t="str">
        <f>IF(OR(D57="4",E57="4"),INDEX([14]NamesElementary!$E$1:$E$65536,MATCH($A57,[14]NamesElementary!$A$1:$A$65536,0),1),"-")</f>
        <v>-</v>
      </c>
      <c r="J57" s="15">
        <f>IF(OR(D57="4",E57="4"),"-",INDEX([14]Names!$N$1:$N$65602,MATCH(A57,[14]Names!$F$1:$F$65602,0),1))</f>
        <v>0</v>
      </c>
      <c r="K57" s="16" t="str">
        <f>IF(OR(D57="4",E57="4"),INDEX([14]NamesElementary!$G$1:$G$65536,MATCH(A57,[14]NamesElementary!$A$1:$A$65536,0),1),INDEX([14]Names!$O$1:$O$65602,MATCH(A57,[14]Names!$F$1:$F$65602,0),1))</f>
        <v>kWh</v>
      </c>
      <c r="L57" s="149">
        <v>0</v>
      </c>
      <c r="M57" s="40"/>
      <c r="N57" s="89"/>
      <c r="O57" s="202"/>
      <c r="P57" s="149">
        <f t="shared" si="101"/>
        <v>0</v>
      </c>
      <c r="Q57" s="40"/>
      <c r="R57" s="89"/>
      <c r="S57" s="202"/>
      <c r="T57" s="149">
        <v>0</v>
      </c>
      <c r="U57" s="40"/>
      <c r="V57" s="89"/>
      <c r="W57" s="202"/>
      <c r="X57" s="149">
        <v>0</v>
      </c>
      <c r="Y57" s="40"/>
      <c r="Z57" s="89"/>
      <c r="AA57" s="202"/>
      <c r="AB57" s="149">
        <f t="shared" si="102"/>
        <v>0</v>
      </c>
      <c r="AC57" s="40"/>
      <c r="AD57" s="89"/>
      <c r="AE57" s="202"/>
      <c r="AF57" s="149">
        <f t="shared" si="103"/>
        <v>0</v>
      </c>
      <c r="AG57" s="40"/>
      <c r="AH57" s="89"/>
      <c r="AI57" s="202"/>
      <c r="AJ57" s="149">
        <f t="shared" si="104"/>
        <v>0</v>
      </c>
      <c r="AK57" s="40"/>
      <c r="AL57" s="89"/>
      <c r="AM57" s="193"/>
      <c r="AN57" s="149">
        <f t="shared" si="105"/>
        <v>0</v>
      </c>
      <c r="AO57" s="40"/>
      <c r="AP57" s="89"/>
      <c r="AQ57" s="202"/>
      <c r="AR57" s="149">
        <f t="shared" si="106"/>
        <v>0</v>
      </c>
      <c r="AS57" s="40"/>
      <c r="AT57" s="89"/>
      <c r="AU57" s="193"/>
      <c r="AV57" s="149">
        <f t="shared" si="107"/>
        <v>0</v>
      </c>
      <c r="AW57" s="40"/>
      <c r="AX57" s="89"/>
      <c r="AY57" s="202"/>
      <c r="AZ57" s="149">
        <f t="shared" si="108"/>
        <v>0</v>
      </c>
      <c r="BA57" s="40"/>
      <c r="BB57" s="89"/>
      <c r="BC57" s="202"/>
      <c r="BD57" s="149">
        <f t="shared" si="109"/>
        <v>0</v>
      </c>
      <c r="BE57" s="40"/>
      <c r="BF57" s="89"/>
      <c r="BG57" s="202"/>
      <c r="BH57" s="40"/>
      <c r="BI57" s="89"/>
      <c r="BJ57" s="202"/>
      <c r="BK57" s="149">
        <v>0</v>
      </c>
      <c r="BL57" s="40"/>
      <c r="BM57" s="89"/>
      <c r="BN57" s="202"/>
      <c r="BO57" s="149">
        <v>0</v>
      </c>
      <c r="BP57" s="40"/>
      <c r="BQ57" s="89"/>
      <c r="BR57" s="202"/>
      <c r="BS57" s="149">
        <f t="shared" si="110"/>
        <v>0</v>
      </c>
      <c r="BT57" s="40"/>
      <c r="BU57" s="89"/>
      <c r="BV57" s="202"/>
      <c r="BW57" s="149">
        <v>0</v>
      </c>
      <c r="BX57" s="40"/>
      <c r="BY57" s="89"/>
      <c r="BZ57" s="193"/>
      <c r="CA57" s="149">
        <v>0</v>
      </c>
      <c r="CB57" s="40"/>
      <c r="CC57" s="89"/>
      <c r="CD57" s="193"/>
      <c r="CE57" s="149">
        <v>0</v>
      </c>
      <c r="CF57" s="40"/>
      <c r="CG57" s="89"/>
      <c r="CH57" s="193"/>
      <c r="CI57" s="149">
        <v>1</v>
      </c>
      <c r="CJ57" s="40"/>
      <c r="CK57" s="89"/>
      <c r="CL57" s="193"/>
      <c r="CM57" s="149">
        <v>0</v>
      </c>
      <c r="CN57" s="40"/>
      <c r="CO57" s="89"/>
      <c r="CP57" s="193"/>
      <c r="CQ57" s="149">
        <v>0</v>
      </c>
      <c r="CR57" s="40"/>
      <c r="CS57" s="89"/>
      <c r="CT57" s="193"/>
      <c r="CU57" s="149">
        <v>0</v>
      </c>
      <c r="CV57" s="40"/>
      <c r="CW57" s="89"/>
      <c r="CX57" s="193"/>
      <c r="CY57" s="149">
        <f t="shared" si="111"/>
        <v>0</v>
      </c>
      <c r="CZ57" s="40"/>
      <c r="DA57" s="89"/>
      <c r="DB57" s="193"/>
      <c r="DE57" s="287" t="e">
        <f t="shared" si="112"/>
        <v>#REF!</v>
      </c>
      <c r="DF57" s="7"/>
      <c r="DG57" s="7"/>
      <c r="DH57" s="7"/>
      <c r="DI57" s="7"/>
      <c r="DJ57" s="7"/>
      <c r="DK57" s="7"/>
      <c r="DL57" s="7"/>
      <c r="DM57" s="7"/>
      <c r="DN57" s="7"/>
      <c r="DO57" s="7"/>
      <c r="DP57" s="7"/>
      <c r="DQ57" s="7"/>
    </row>
    <row r="58" spans="1:121" ht="24" outlineLevel="1">
      <c r="A58" s="478" t="s">
        <v>817</v>
      </c>
      <c r="B58" s="168"/>
      <c r="C58" s="169"/>
      <c r="D58" s="11" t="s">
        <v>402</v>
      </c>
      <c r="E58" s="170">
        <v>0</v>
      </c>
      <c r="F58" s="145" t="str">
        <f>IF(OR(D58="4",E58="4"),INDEX([14]NamesElementary!$B$1:$B$65536,MATCH(A58,[14]NamesElementary!$A$1:$A$65536,0),1),INDEX([14]Names!$J$1:$J$65602,MATCH(A58,[14]Names!$F$1:$F$65602,0),1))</f>
        <v>electricity, PV, at 3kWp slanted-roof, single-Si, European panel, mounted</v>
      </c>
      <c r="G58" s="16" t="str">
        <f>IF(OR(D58="4",E58="4"),"-",INDEX([14]Names!$K$1:$K$65602,MATCH(A58,[14]Names!$F$1:$F$65602,0),1))</f>
        <v>CH</v>
      </c>
      <c r="H58" s="14" t="str">
        <f>IF(OR(D58="4",E58="4"),INDEX([14]NamesElementary!$D$1:$D$65536,MATCH($A58,[14]NamesElementary!$A$1:$A$65536,0),1),"-")</f>
        <v>-</v>
      </c>
      <c r="I58" s="14" t="str">
        <f>IF(OR(D58="4",E58="4"),INDEX([14]NamesElementary!$E$1:$E$65536,MATCH($A58,[14]NamesElementary!$A$1:$A$65536,0),1),"-")</f>
        <v>-</v>
      </c>
      <c r="J58" s="15">
        <f>IF(OR(D58="4",E58="4"),"-",INDEX([14]Names!$N$1:$N$65602,MATCH(A58,[14]Names!$F$1:$F$65602,0),1))</f>
        <v>0</v>
      </c>
      <c r="K58" s="16" t="str">
        <f>IF(OR(D58="4",E58="4"),INDEX([14]NamesElementary!$G$1:$G$65536,MATCH(A58,[14]NamesElementary!$A$1:$A$65536,0),1),INDEX([14]Names!$O$1:$O$65602,MATCH(A58,[14]Names!$F$1:$F$65602,0),1))</f>
        <v>kWh</v>
      </c>
      <c r="L58" s="149">
        <v>0</v>
      </c>
      <c r="M58" s="40"/>
      <c r="N58" s="89"/>
      <c r="O58" s="202"/>
      <c r="P58" s="149">
        <f t="shared" si="101"/>
        <v>0</v>
      </c>
      <c r="Q58" s="40"/>
      <c r="R58" s="89"/>
      <c r="S58" s="202"/>
      <c r="T58" s="149">
        <v>0</v>
      </c>
      <c r="U58" s="40"/>
      <c r="V58" s="89"/>
      <c r="W58" s="202"/>
      <c r="X58" s="149">
        <v>0</v>
      </c>
      <c r="Y58" s="40"/>
      <c r="Z58" s="89"/>
      <c r="AA58" s="202"/>
      <c r="AB58" s="149">
        <f t="shared" si="102"/>
        <v>0</v>
      </c>
      <c r="AC58" s="40"/>
      <c r="AD58" s="89"/>
      <c r="AE58" s="202"/>
      <c r="AF58" s="149">
        <f t="shared" si="103"/>
        <v>0</v>
      </c>
      <c r="AG58" s="40"/>
      <c r="AH58" s="89"/>
      <c r="AI58" s="202"/>
      <c r="AJ58" s="149">
        <f t="shared" si="104"/>
        <v>0</v>
      </c>
      <c r="AK58" s="40"/>
      <c r="AL58" s="89"/>
      <c r="AM58" s="193"/>
      <c r="AN58" s="149">
        <f t="shared" si="105"/>
        <v>0</v>
      </c>
      <c r="AO58" s="40"/>
      <c r="AP58" s="89"/>
      <c r="AQ58" s="202"/>
      <c r="AR58" s="149">
        <f t="shared" si="106"/>
        <v>0</v>
      </c>
      <c r="AS58" s="40"/>
      <c r="AT58" s="89"/>
      <c r="AU58" s="193"/>
      <c r="AV58" s="149">
        <f t="shared" si="107"/>
        <v>0</v>
      </c>
      <c r="AW58" s="40"/>
      <c r="AX58" s="89"/>
      <c r="AY58" s="202"/>
      <c r="AZ58" s="149">
        <f t="shared" si="108"/>
        <v>0</v>
      </c>
      <c r="BA58" s="40"/>
      <c r="BB58" s="89"/>
      <c r="BC58" s="202"/>
      <c r="BD58" s="149">
        <f t="shared" si="109"/>
        <v>0</v>
      </c>
      <c r="BE58" s="40"/>
      <c r="BF58" s="89"/>
      <c r="BG58" s="202"/>
      <c r="BH58" s="40"/>
      <c r="BI58" s="89"/>
      <c r="BJ58" s="202"/>
      <c r="BK58" s="149">
        <v>0</v>
      </c>
      <c r="BL58" s="40"/>
      <c r="BM58" s="89"/>
      <c r="BN58" s="202"/>
      <c r="BO58" s="149">
        <v>0</v>
      </c>
      <c r="BP58" s="40"/>
      <c r="BQ58" s="89"/>
      <c r="BR58" s="202"/>
      <c r="BS58" s="149">
        <f t="shared" si="110"/>
        <v>0</v>
      </c>
      <c r="BT58" s="40"/>
      <c r="BU58" s="89"/>
      <c r="BV58" s="202"/>
      <c r="BW58" s="149">
        <v>0</v>
      </c>
      <c r="BX58" s="40"/>
      <c r="BY58" s="89"/>
      <c r="BZ58" s="193"/>
      <c r="CA58" s="149">
        <v>0</v>
      </c>
      <c r="CB58" s="40"/>
      <c r="CC58" s="89"/>
      <c r="CD58" s="193"/>
      <c r="CE58" s="149">
        <v>0</v>
      </c>
      <c r="CF58" s="40"/>
      <c r="CG58" s="89"/>
      <c r="CH58" s="193"/>
      <c r="CI58" s="149">
        <v>0</v>
      </c>
      <c r="CJ58" s="40"/>
      <c r="CK58" s="89"/>
      <c r="CL58" s="193"/>
      <c r="CM58" s="149">
        <v>1</v>
      </c>
      <c r="CN58" s="40"/>
      <c r="CO58" s="89"/>
      <c r="CP58" s="193"/>
      <c r="CQ58" s="149">
        <v>0</v>
      </c>
      <c r="CR58" s="40"/>
      <c r="CS58" s="89"/>
      <c r="CT58" s="193"/>
      <c r="CU58" s="149">
        <v>0</v>
      </c>
      <c r="CV58" s="40"/>
      <c r="CW58" s="89"/>
      <c r="CX58" s="193"/>
      <c r="CY58" s="149">
        <f t="shared" si="111"/>
        <v>0</v>
      </c>
      <c r="CZ58" s="40"/>
      <c r="DA58" s="89"/>
      <c r="DB58" s="193"/>
      <c r="DE58" s="287" t="e">
        <f t="shared" si="112"/>
        <v>#REF!</v>
      </c>
      <c r="DF58" s="7"/>
      <c r="DG58" s="7"/>
      <c r="DH58" s="7"/>
      <c r="DI58" s="7"/>
      <c r="DJ58" s="7"/>
      <c r="DK58" s="7"/>
      <c r="DL58" s="7"/>
      <c r="DM58" s="7"/>
      <c r="DN58" s="7"/>
      <c r="DO58" s="7"/>
      <c r="DP58" s="7"/>
      <c r="DQ58" s="7"/>
    </row>
    <row r="59" spans="1:121" ht="24" outlineLevel="1">
      <c r="A59" s="478" t="s">
        <v>818</v>
      </c>
      <c r="B59" s="168"/>
      <c r="C59" s="169"/>
      <c r="D59" s="11" t="s">
        <v>402</v>
      </c>
      <c r="E59" s="170">
        <v>0</v>
      </c>
      <c r="F59" s="145" t="str">
        <f>IF(OR(D59="4",E59="4"),INDEX([14]NamesElementary!$B$1:$B$65536,MATCH(A59,[14]NamesElementary!$A$1:$A$65536,0),1),INDEX([14]Names!$J$1:$J$65602,MATCH(A59,[14]Names!$F$1:$F$65602,0),1))</f>
        <v>electricity, PV, at 3kWp slanted-roof, CdTe, German laminate, integrated</v>
      </c>
      <c r="G59" s="16" t="str">
        <f>IF(OR(D59="4",E59="4"),"-",INDEX([14]Names!$K$1:$K$65602,MATCH(A59,[14]Names!$F$1:$F$65602,0),1))</f>
        <v>CH</v>
      </c>
      <c r="H59" s="14" t="str">
        <f>IF(OR(D59="4",E59="4"),INDEX([14]NamesElementary!$D$1:$D$65536,MATCH($A59,[14]NamesElementary!$A$1:$A$65536,0),1),"-")</f>
        <v>-</v>
      </c>
      <c r="I59" s="14" t="str">
        <f>IF(OR(D59="4",E59="4"),INDEX([14]NamesElementary!$E$1:$E$65536,MATCH($A59,[14]NamesElementary!$A$1:$A$65536,0),1),"-")</f>
        <v>-</v>
      </c>
      <c r="J59" s="15">
        <f>IF(OR(D59="4",E59="4"),"-",INDEX([14]Names!$N$1:$N$65602,MATCH(A59,[14]Names!$F$1:$F$65602,0),1))</f>
        <v>0</v>
      </c>
      <c r="K59" s="16" t="str">
        <f>IF(OR(D59="4",E59="4"),INDEX([14]NamesElementary!$G$1:$G$65536,MATCH(A59,[14]NamesElementary!$A$1:$A$65536,0),1),INDEX([14]Names!$O$1:$O$65602,MATCH(A59,[14]Names!$F$1:$F$65602,0),1))</f>
        <v>kWh</v>
      </c>
      <c r="L59" s="149">
        <v>0</v>
      </c>
      <c r="M59" s="40"/>
      <c r="N59" s="89"/>
      <c r="O59" s="202"/>
      <c r="P59" s="149">
        <f t="shared" si="101"/>
        <v>0</v>
      </c>
      <c r="Q59" s="40"/>
      <c r="R59" s="89"/>
      <c r="S59" s="202"/>
      <c r="T59" s="149">
        <v>0</v>
      </c>
      <c r="U59" s="40"/>
      <c r="V59" s="89"/>
      <c r="W59" s="202"/>
      <c r="X59" s="149">
        <v>0</v>
      </c>
      <c r="Y59" s="40"/>
      <c r="Z59" s="89"/>
      <c r="AA59" s="202"/>
      <c r="AB59" s="149">
        <f t="shared" si="102"/>
        <v>0</v>
      </c>
      <c r="AC59" s="40"/>
      <c r="AD59" s="89"/>
      <c r="AE59" s="202"/>
      <c r="AF59" s="149">
        <f t="shared" si="103"/>
        <v>0</v>
      </c>
      <c r="AG59" s="40"/>
      <c r="AH59" s="89"/>
      <c r="AI59" s="202"/>
      <c r="AJ59" s="149">
        <f t="shared" si="104"/>
        <v>0</v>
      </c>
      <c r="AK59" s="40"/>
      <c r="AL59" s="89"/>
      <c r="AM59" s="193"/>
      <c r="AN59" s="149">
        <f t="shared" si="105"/>
        <v>0</v>
      </c>
      <c r="AO59" s="40"/>
      <c r="AP59" s="89"/>
      <c r="AQ59" s="202"/>
      <c r="AR59" s="149">
        <f t="shared" si="106"/>
        <v>0</v>
      </c>
      <c r="AS59" s="40"/>
      <c r="AT59" s="89"/>
      <c r="AU59" s="193"/>
      <c r="AV59" s="149">
        <f t="shared" si="107"/>
        <v>0</v>
      </c>
      <c r="AW59" s="40"/>
      <c r="AX59" s="89"/>
      <c r="AY59" s="202"/>
      <c r="AZ59" s="149">
        <f t="shared" si="108"/>
        <v>0</v>
      </c>
      <c r="BA59" s="40"/>
      <c r="BB59" s="89"/>
      <c r="BC59" s="202"/>
      <c r="BD59" s="149">
        <f t="shared" si="109"/>
        <v>0</v>
      </c>
      <c r="BE59" s="40"/>
      <c r="BF59" s="89"/>
      <c r="BG59" s="202"/>
      <c r="BH59" s="40"/>
      <c r="BI59" s="89"/>
      <c r="BJ59" s="202"/>
      <c r="BK59" s="149">
        <v>0</v>
      </c>
      <c r="BL59" s="40"/>
      <c r="BM59" s="89"/>
      <c r="BN59" s="202"/>
      <c r="BO59" s="149">
        <v>0</v>
      </c>
      <c r="BP59" s="40"/>
      <c r="BQ59" s="89"/>
      <c r="BR59" s="202"/>
      <c r="BS59" s="149">
        <f t="shared" si="110"/>
        <v>0</v>
      </c>
      <c r="BT59" s="40"/>
      <c r="BU59" s="89"/>
      <c r="BV59" s="202"/>
      <c r="BW59" s="149">
        <v>0</v>
      </c>
      <c r="BX59" s="40"/>
      <c r="BY59" s="89"/>
      <c r="BZ59" s="193"/>
      <c r="CA59" s="149">
        <v>0</v>
      </c>
      <c r="CB59" s="40"/>
      <c r="CC59" s="89"/>
      <c r="CD59" s="193"/>
      <c r="CE59" s="149">
        <v>0</v>
      </c>
      <c r="CF59" s="40"/>
      <c r="CG59" s="89"/>
      <c r="CH59" s="193"/>
      <c r="CI59" s="149">
        <v>0</v>
      </c>
      <c r="CJ59" s="40"/>
      <c r="CK59" s="89"/>
      <c r="CL59" s="193"/>
      <c r="CM59" s="149">
        <v>0</v>
      </c>
      <c r="CN59" s="40"/>
      <c r="CO59" s="89"/>
      <c r="CP59" s="193"/>
      <c r="CQ59" s="149">
        <v>1</v>
      </c>
      <c r="CR59" s="40"/>
      <c r="CS59" s="89"/>
      <c r="CT59" s="193"/>
      <c r="CU59" s="149">
        <v>0</v>
      </c>
      <c r="CV59" s="40"/>
      <c r="CW59" s="89"/>
      <c r="CX59" s="193"/>
      <c r="CY59" s="149">
        <f t="shared" si="111"/>
        <v>0</v>
      </c>
      <c r="CZ59" s="40"/>
      <c r="DA59" s="89"/>
      <c r="DB59" s="193"/>
      <c r="DE59" s="287" t="e">
        <f t="shared" si="112"/>
        <v>#REF!</v>
      </c>
      <c r="DF59" s="7"/>
      <c r="DG59" s="7"/>
      <c r="DH59" s="7"/>
      <c r="DI59" s="7"/>
      <c r="DJ59" s="7"/>
      <c r="DK59" s="7"/>
      <c r="DL59" s="7"/>
      <c r="DM59" s="7"/>
      <c r="DN59" s="7"/>
      <c r="DO59" s="7"/>
      <c r="DP59" s="7"/>
      <c r="DQ59" s="7"/>
    </row>
    <row r="60" spans="1:121" ht="24" outlineLevel="1">
      <c r="A60" s="478" t="s">
        <v>820</v>
      </c>
      <c r="B60" s="168"/>
      <c r="C60" s="169"/>
      <c r="D60" s="11" t="s">
        <v>402</v>
      </c>
      <c r="E60" s="170">
        <v>0</v>
      </c>
      <c r="F60" s="145" t="str">
        <f>IF(OR(D60="4",E60="4"),INDEX([14]NamesElementary!$B$1:$B$65536,MATCH(A60,[14]NamesElementary!$A$1:$A$65536,0),1),INDEX([14]Names!$J$1:$J$65602,MATCH(A60,[14]Names!$F$1:$F$65602,0),1))</f>
        <v>electricity, PV, at 3kWp slanted-roof, multi-Si, Chinese panel, mounted</v>
      </c>
      <c r="G60" s="16" t="str">
        <f>IF(OR(D60="4",E60="4"),"-",INDEX([14]Names!$K$1:$K$65602,MATCH(A60,[14]Names!$F$1:$F$65602,0),1))</f>
        <v>CH</v>
      </c>
      <c r="H60" s="14" t="str">
        <f>IF(OR(D60="4",E60="4"),INDEX([14]NamesElementary!$D$1:$D$65536,MATCH($A60,[14]NamesElementary!$A$1:$A$65536,0),1),"-")</f>
        <v>-</v>
      </c>
      <c r="I60" s="14" t="str">
        <f>IF(OR(D60="4",E60="4"),INDEX([14]NamesElementary!$E$1:$E$65536,MATCH($A60,[14]NamesElementary!$A$1:$A$65536,0),1),"-")</f>
        <v>-</v>
      </c>
      <c r="J60" s="15">
        <f>IF(OR(D60="4",E60="4"),"-",INDEX([14]Names!$N$1:$N$65602,MATCH(A60,[14]Names!$F$1:$F$65602,0),1))</f>
        <v>0</v>
      </c>
      <c r="K60" s="16" t="str">
        <f>IF(OR(D60="4",E60="4"),INDEX([14]NamesElementary!$G$1:$G$65536,MATCH(A60,[14]NamesElementary!$A$1:$A$65536,0),1),INDEX([14]Names!$O$1:$O$65602,MATCH(A60,[14]Names!$F$1:$F$65602,0),1))</f>
        <v>kWh</v>
      </c>
      <c r="L60" s="149">
        <v>0</v>
      </c>
      <c r="M60" s="40"/>
      <c r="N60" s="89"/>
      <c r="O60" s="202"/>
      <c r="P60" s="149">
        <f t="shared" si="101"/>
        <v>0</v>
      </c>
      <c r="Q60" s="40"/>
      <c r="R60" s="89"/>
      <c r="S60" s="202"/>
      <c r="T60" s="149">
        <v>0</v>
      </c>
      <c r="U60" s="40"/>
      <c r="V60" s="89"/>
      <c r="W60" s="202"/>
      <c r="X60" s="149">
        <v>0</v>
      </c>
      <c r="Y60" s="40"/>
      <c r="Z60" s="89"/>
      <c r="AA60" s="202"/>
      <c r="AB60" s="149">
        <f t="shared" si="102"/>
        <v>0</v>
      </c>
      <c r="AC60" s="40"/>
      <c r="AD60" s="89"/>
      <c r="AE60" s="202"/>
      <c r="AF60" s="149">
        <f t="shared" si="103"/>
        <v>0</v>
      </c>
      <c r="AG60" s="40"/>
      <c r="AH60" s="89"/>
      <c r="AI60" s="202"/>
      <c r="AJ60" s="149">
        <f t="shared" si="104"/>
        <v>0</v>
      </c>
      <c r="AK60" s="40"/>
      <c r="AL60" s="89"/>
      <c r="AM60" s="193"/>
      <c r="AN60" s="149">
        <f t="shared" si="105"/>
        <v>0</v>
      </c>
      <c r="AO60" s="40"/>
      <c r="AP60" s="89"/>
      <c r="AQ60" s="202"/>
      <c r="AR60" s="149">
        <f t="shared" si="106"/>
        <v>0</v>
      </c>
      <c r="AS60" s="40"/>
      <c r="AT60" s="89"/>
      <c r="AU60" s="193"/>
      <c r="AV60" s="149">
        <f t="shared" si="107"/>
        <v>0</v>
      </c>
      <c r="AW60" s="40"/>
      <c r="AX60" s="89"/>
      <c r="AY60" s="202"/>
      <c r="AZ60" s="149">
        <f t="shared" si="108"/>
        <v>0</v>
      </c>
      <c r="BA60" s="40"/>
      <c r="BB60" s="89"/>
      <c r="BC60" s="202"/>
      <c r="BD60" s="149">
        <f t="shared" si="109"/>
        <v>0</v>
      </c>
      <c r="BE60" s="40"/>
      <c r="BF60" s="89"/>
      <c r="BG60" s="202"/>
      <c r="BH60" s="40"/>
      <c r="BI60" s="89"/>
      <c r="BJ60" s="202"/>
      <c r="BK60" s="149">
        <v>0</v>
      </c>
      <c r="BL60" s="40"/>
      <c r="BM60" s="89"/>
      <c r="BN60" s="202"/>
      <c r="BO60" s="149">
        <v>0</v>
      </c>
      <c r="BP60" s="40"/>
      <c r="BQ60" s="89"/>
      <c r="BR60" s="202"/>
      <c r="BS60" s="149">
        <f t="shared" si="110"/>
        <v>0</v>
      </c>
      <c r="BT60" s="40"/>
      <c r="BU60" s="89"/>
      <c r="BV60" s="202"/>
      <c r="BW60" s="149">
        <v>0</v>
      </c>
      <c r="BX60" s="40"/>
      <c r="BY60" s="89"/>
      <c r="BZ60" s="193"/>
      <c r="CA60" s="149">
        <v>0</v>
      </c>
      <c r="CB60" s="40"/>
      <c r="CC60" s="89"/>
      <c r="CD60" s="193"/>
      <c r="CE60" s="149">
        <v>0</v>
      </c>
      <c r="CF60" s="40"/>
      <c r="CG60" s="89"/>
      <c r="CH60" s="193"/>
      <c r="CI60" s="149">
        <v>0</v>
      </c>
      <c r="CJ60" s="40"/>
      <c r="CK60" s="89"/>
      <c r="CL60" s="193"/>
      <c r="CM60" s="149">
        <v>0</v>
      </c>
      <c r="CN60" s="40"/>
      <c r="CO60" s="89"/>
      <c r="CP60" s="193"/>
      <c r="CQ60" s="149">
        <v>0</v>
      </c>
      <c r="CR60" s="40"/>
      <c r="CS60" s="89"/>
      <c r="CT60" s="193"/>
      <c r="CU60" s="149">
        <v>1</v>
      </c>
      <c r="CV60" s="40"/>
      <c r="CW60" s="89"/>
      <c r="CX60" s="193"/>
      <c r="CY60" s="149">
        <f t="shared" si="111"/>
        <v>0</v>
      </c>
      <c r="CZ60" s="40"/>
      <c r="DA60" s="89"/>
      <c r="DB60" s="193"/>
      <c r="DE60" s="287" t="e">
        <f t="shared" si="112"/>
        <v>#REF!</v>
      </c>
      <c r="DF60" s="7"/>
      <c r="DG60" s="7"/>
      <c r="DH60" s="7"/>
      <c r="DI60" s="7"/>
      <c r="DJ60" s="7"/>
      <c r="DK60" s="7"/>
      <c r="DL60" s="7"/>
      <c r="DM60" s="7"/>
      <c r="DN60" s="7"/>
      <c r="DO60" s="7"/>
      <c r="DP60" s="7"/>
      <c r="DQ60" s="7"/>
    </row>
    <row r="61" spans="1:121" outlineLevel="1">
      <c r="A61" s="6"/>
      <c r="B61" s="168"/>
      <c r="C61" s="169"/>
      <c r="D61" s="11"/>
      <c r="E61" s="170"/>
      <c r="F61" s="145"/>
      <c r="G61" s="16"/>
      <c r="H61" s="14"/>
      <c r="I61" s="14"/>
      <c r="J61" s="15"/>
      <c r="K61" s="16"/>
      <c r="L61" s="149"/>
      <c r="M61" s="40"/>
      <c r="N61" s="89"/>
      <c r="O61" s="202"/>
      <c r="P61" s="149"/>
      <c r="Q61" s="40"/>
      <c r="R61" s="89"/>
      <c r="S61" s="202"/>
      <c r="T61" s="149"/>
      <c r="U61" s="40"/>
      <c r="V61" s="89"/>
      <c r="W61" s="202"/>
      <c r="X61" s="149"/>
      <c r="Y61" s="40"/>
      <c r="Z61" s="89"/>
      <c r="AA61" s="202"/>
      <c r="AB61" s="149"/>
      <c r="AC61" s="40"/>
      <c r="AD61" s="89"/>
      <c r="AE61" s="202"/>
      <c r="AF61" s="149"/>
      <c r="AG61" s="40"/>
      <c r="AH61" s="89"/>
      <c r="AI61" s="202"/>
      <c r="AJ61" s="149"/>
      <c r="AK61" s="40"/>
      <c r="AL61" s="89"/>
      <c r="AM61" s="193"/>
      <c r="AN61" s="149"/>
      <c r="AO61" s="40"/>
      <c r="AP61" s="89"/>
      <c r="AQ61" s="202"/>
      <c r="AR61" s="149"/>
      <c r="AS61" s="40"/>
      <c r="AT61" s="89"/>
      <c r="AU61" s="193"/>
      <c r="AV61" s="149"/>
      <c r="AW61" s="40"/>
      <c r="AX61" s="89"/>
      <c r="AY61" s="202"/>
      <c r="AZ61" s="149"/>
      <c r="BA61" s="40"/>
      <c r="BB61" s="89"/>
      <c r="BC61" s="202"/>
      <c r="BD61" s="149"/>
      <c r="BE61" s="40"/>
      <c r="BF61" s="89"/>
      <c r="BG61" s="202"/>
      <c r="BH61" s="40"/>
      <c r="BI61" s="89"/>
      <c r="BJ61" s="202"/>
      <c r="BK61" s="149"/>
      <c r="BL61" s="40"/>
      <c r="BM61" s="89"/>
      <c r="BN61" s="202"/>
      <c r="BO61" s="149"/>
      <c r="BP61" s="40"/>
      <c r="BQ61" s="89"/>
      <c r="BR61" s="202"/>
      <c r="BS61" s="149"/>
      <c r="BT61" s="40"/>
      <c r="BU61" s="89"/>
      <c r="BV61" s="202"/>
      <c r="BW61" s="149"/>
      <c r="BX61" s="40"/>
      <c r="BY61" s="89"/>
      <c r="BZ61" s="193"/>
      <c r="CA61" s="149"/>
      <c r="CB61" s="40"/>
      <c r="CC61" s="89"/>
      <c r="CD61" s="193"/>
      <c r="CE61" s="149"/>
      <c r="CF61" s="40"/>
      <c r="CG61" s="89"/>
      <c r="CH61" s="193"/>
      <c r="CI61" s="149"/>
      <c r="CJ61" s="40"/>
      <c r="CK61" s="89"/>
      <c r="CL61" s="193"/>
      <c r="CM61" s="149"/>
      <c r="CN61" s="40"/>
      <c r="CO61" s="89"/>
      <c r="CP61" s="193"/>
      <c r="CQ61" s="149"/>
      <c r="CR61" s="40"/>
      <c r="CS61" s="89"/>
      <c r="CT61" s="193"/>
      <c r="CU61" s="149"/>
      <c r="CV61" s="40"/>
      <c r="CW61" s="89"/>
      <c r="CX61" s="193"/>
      <c r="CY61" s="149"/>
      <c r="CZ61" s="40"/>
      <c r="DA61" s="89"/>
      <c r="DB61" s="193"/>
      <c r="DE61" s="287"/>
      <c r="DF61" s="7"/>
      <c r="DG61" s="7"/>
      <c r="DH61" s="7"/>
      <c r="DI61" s="7"/>
      <c r="DJ61" s="7"/>
      <c r="DK61" s="7"/>
      <c r="DL61" s="7"/>
      <c r="DM61" s="7"/>
      <c r="DN61" s="7"/>
      <c r="DO61" s="7"/>
      <c r="DP61" s="7"/>
      <c r="DQ61" s="7"/>
    </row>
    <row r="62" spans="1:121">
      <c r="DF62" s="7"/>
      <c r="DG62" s="7"/>
      <c r="DH62" s="7"/>
      <c r="DI62" s="7"/>
      <c r="DJ62" s="7"/>
      <c r="DK62" s="7"/>
      <c r="DL62" s="7"/>
      <c r="DM62" s="7"/>
      <c r="DN62" s="7"/>
      <c r="DO62" s="7"/>
      <c r="DP62" s="7"/>
      <c r="DQ62" s="7"/>
    </row>
    <row r="63" spans="1:121">
      <c r="DF63" s="7"/>
      <c r="DG63" s="7"/>
      <c r="DH63" s="7"/>
      <c r="DI63" s="7"/>
      <c r="DJ63" s="7"/>
      <c r="DK63" s="7"/>
      <c r="DL63" s="7"/>
      <c r="DM63" s="7"/>
      <c r="DN63" s="7"/>
      <c r="DO63" s="7"/>
      <c r="DP63" s="7"/>
      <c r="DQ63" s="7"/>
    </row>
    <row r="64" spans="1:121">
      <c r="DC64" s="288" t="e">
        <f>SUM(DC10:DC54)</f>
        <v>#REF!</v>
      </c>
      <c r="DD64" s="288"/>
      <c r="DE64" s="288"/>
      <c r="DF64" s="7"/>
      <c r="DG64" s="7"/>
      <c r="DH64" s="7"/>
      <c r="DI64" s="7"/>
      <c r="DJ64" s="7"/>
      <c r="DK64" s="7"/>
      <c r="DL64" s="7"/>
      <c r="DM64" s="7"/>
      <c r="DN64" s="7"/>
      <c r="DO64" s="7"/>
      <c r="DP64" s="7"/>
      <c r="DQ64" s="7"/>
    </row>
    <row r="65" spans="2:121">
      <c r="F65" s="8" t="s">
        <v>454</v>
      </c>
      <c r="K65" s="291" t="s">
        <v>455</v>
      </c>
      <c r="L65" s="7">
        <v>1117</v>
      </c>
      <c r="BO65" s="7" t="e">
        <f>1/(SUM(CY15:CY28)*3*lifetime)</f>
        <v>#REF!</v>
      </c>
      <c r="BS65" s="7" t="e">
        <f>$BO65</f>
        <v>#REF!</v>
      </c>
      <c r="BW65" s="7" t="e">
        <f>$BO65</f>
        <v>#REF!</v>
      </c>
      <c r="BZ65" s="294" t="e">
        <f>SUM(CY15:CY28)</f>
        <v>#REF!</v>
      </c>
      <c r="CA65" s="7" t="e">
        <f>$BO65</f>
        <v>#REF!</v>
      </c>
      <c r="CD65" s="294" t="e">
        <f>SUM(DC15:DC28)</f>
        <v>#REF!</v>
      </c>
      <c r="CE65" s="7" t="e">
        <f>$BO65</f>
        <v>#REF!</v>
      </c>
      <c r="CH65" s="294">
        <f>SUM(DG15:DG28)</f>
        <v>42</v>
      </c>
      <c r="CI65" s="7" t="e">
        <f>$BO65</f>
        <v>#REF!</v>
      </c>
      <c r="CL65" s="294">
        <f>SUM(DK15:DK28)</f>
        <v>14</v>
      </c>
      <c r="CM65" s="7" t="e">
        <f>$BO65</f>
        <v>#REF!</v>
      </c>
      <c r="CP65" s="294">
        <f>SUM(DO15:DO28)</f>
        <v>15.61052858550315</v>
      </c>
      <c r="CQ65" s="7" t="e">
        <f>$BO65</f>
        <v>#REF!</v>
      </c>
      <c r="CT65" s="294">
        <f>SUM(DS15:DS28)</f>
        <v>15.399999999999997</v>
      </c>
      <c r="CU65" s="7" t="e">
        <f>$BO65</f>
        <v>#REF!</v>
      </c>
      <c r="CX65" s="294">
        <f>SUM(DW15:DW28)</f>
        <v>14</v>
      </c>
      <c r="CY65" s="7">
        <v>1117</v>
      </c>
      <c r="DB65" s="294" t="e">
        <f>SUM(DC15:DC28)</f>
        <v>#REF!</v>
      </c>
      <c r="DF65" s="7"/>
      <c r="DG65" s="7"/>
      <c r="DH65" s="7"/>
      <c r="DI65" s="7"/>
      <c r="DJ65" s="7"/>
      <c r="DK65" s="7"/>
      <c r="DL65" s="7"/>
      <c r="DM65" s="7"/>
      <c r="DN65" s="7"/>
      <c r="DO65" s="7"/>
      <c r="DP65" s="7"/>
      <c r="DQ65" s="7"/>
    </row>
    <row r="66" spans="2:121">
      <c r="B66" s="7"/>
      <c r="C66" s="7"/>
      <c r="F66" s="8" t="s">
        <v>457</v>
      </c>
      <c r="K66" s="291" t="s">
        <v>456</v>
      </c>
      <c r="L66" s="7">
        <v>922</v>
      </c>
      <c r="CY66" s="7">
        <v>922</v>
      </c>
      <c r="CZ66" s="7"/>
      <c r="DA66" s="7"/>
      <c r="DB66" s="7"/>
      <c r="DC66" s="7"/>
      <c r="DD66" s="7"/>
      <c r="DE66" s="7"/>
      <c r="DF66" s="7"/>
      <c r="DG66" s="7"/>
      <c r="DH66" s="7"/>
      <c r="DI66" s="7"/>
      <c r="DJ66" s="7"/>
      <c r="DK66" s="7"/>
      <c r="DL66" s="7"/>
      <c r="DM66" s="7"/>
      <c r="DN66" s="7"/>
      <c r="DO66" s="7"/>
      <c r="DP66" s="7"/>
      <c r="DQ66" s="7"/>
    </row>
    <row r="67" spans="2:121">
      <c r="B67" s="7"/>
      <c r="C67" s="7"/>
      <c r="F67" s="8" t="s">
        <v>458</v>
      </c>
      <c r="K67" s="291" t="s">
        <v>456</v>
      </c>
      <c r="L67" s="7">
        <v>620</v>
      </c>
      <c r="CY67" s="7">
        <v>620</v>
      </c>
      <c r="CZ67" s="7"/>
      <c r="DA67" s="7"/>
      <c r="DB67" s="7"/>
      <c r="DC67" s="7"/>
      <c r="DD67" s="7"/>
      <c r="DE67" s="7"/>
      <c r="DF67" s="7"/>
      <c r="DG67" s="7"/>
      <c r="DH67" s="7"/>
      <c r="DI67" s="7"/>
      <c r="DJ67" s="7"/>
      <c r="DK67" s="7"/>
      <c r="DL67" s="7"/>
      <c r="DM67" s="7"/>
      <c r="DN67" s="7"/>
      <c r="DO67" s="7"/>
      <c r="DP67" s="7"/>
      <c r="DQ67" s="7"/>
    </row>
    <row r="69" spans="2:121">
      <c r="B69" s="7"/>
      <c r="C69" s="7"/>
      <c r="L69" s="290" t="e">
        <f>3.6/L7</f>
        <v>#REF!</v>
      </c>
      <c r="M69" s="292"/>
      <c r="N69" s="292"/>
      <c r="O69" s="292"/>
      <c r="P69" s="290" t="e">
        <f>3.6/P7</f>
        <v>#REF!</v>
      </c>
      <c r="Q69" s="292"/>
      <c r="R69" s="292"/>
      <c r="S69" s="292"/>
      <c r="T69" s="290" t="e">
        <f>3.6/T7</f>
        <v>#REF!</v>
      </c>
      <c r="U69" s="292"/>
      <c r="V69" s="292"/>
      <c r="W69" s="292"/>
      <c r="X69" s="290" t="e">
        <f>3.6/X7</f>
        <v>#REF!</v>
      </c>
      <c r="Y69" s="292"/>
      <c r="Z69" s="292"/>
      <c r="AA69" s="292"/>
      <c r="AB69" s="290" t="e">
        <f>3.6/AB7</f>
        <v>#REF!</v>
      </c>
      <c r="AC69" s="290">
        <f>3.6/AC7</f>
        <v>3.6</v>
      </c>
      <c r="AD69" s="292"/>
      <c r="AE69" s="292"/>
      <c r="AF69" s="290" t="e">
        <f>3.6/AF7</f>
        <v>#REF!</v>
      </c>
      <c r="AG69" s="292"/>
      <c r="AH69" s="292"/>
      <c r="AI69" s="292"/>
      <c r="AJ69" s="290" t="e">
        <f>3.6/AJ7</f>
        <v>#REF!</v>
      </c>
      <c r="AK69" s="292"/>
      <c r="AL69" s="292"/>
      <c r="AM69" s="325"/>
      <c r="AN69" s="290" t="e">
        <f>3.6/AN7</f>
        <v>#REF!</v>
      </c>
      <c r="AO69" s="292"/>
      <c r="AP69" s="292"/>
      <c r="AQ69" s="292"/>
      <c r="AR69" s="290" t="e">
        <f>3.6/AR7</f>
        <v>#REF!</v>
      </c>
      <c r="AS69" s="292"/>
      <c r="AT69" s="292"/>
      <c r="AU69" s="325"/>
      <c r="AV69" s="290" t="e">
        <f>3.6/AV7</f>
        <v>#REF!</v>
      </c>
      <c r="AW69" s="292"/>
      <c r="AX69" s="290">
        <f>3.6/AX7</f>
        <v>3.3007100830343576</v>
      </c>
      <c r="AY69" s="292"/>
      <c r="AZ69" s="290" t="e">
        <f>3.6/AZ7</f>
        <v>#REF!</v>
      </c>
      <c r="BA69" s="292"/>
      <c r="BB69" s="292"/>
      <c r="BC69" s="292"/>
      <c r="BD69" s="290" t="e">
        <f>3.6/BD7</f>
        <v>#REF!</v>
      </c>
      <c r="BE69" s="292"/>
      <c r="BF69" s="292"/>
      <c r="BG69" s="292"/>
      <c r="BH69" s="292"/>
      <c r="BI69" s="292"/>
      <c r="BJ69" s="292"/>
      <c r="BK69" s="290" t="e">
        <f>3.6/BK7</f>
        <v>#REF!</v>
      </c>
      <c r="BL69" s="292"/>
      <c r="BM69" s="292"/>
      <c r="BN69" s="292"/>
      <c r="BO69" s="290" t="e">
        <f>3.6/BO7</f>
        <v>#REF!</v>
      </c>
      <c r="BP69" s="292"/>
      <c r="BQ69" s="292"/>
      <c r="BR69" s="292"/>
      <c r="BS69" s="290" t="e">
        <f>3.6/BS7</f>
        <v>#REF!</v>
      </c>
      <c r="BT69" s="292"/>
      <c r="BU69" s="292"/>
      <c r="BV69" s="292"/>
      <c r="BW69" s="290" t="e">
        <f>3.6/BW7</f>
        <v>#REF!</v>
      </c>
      <c r="BX69" s="292"/>
      <c r="BY69" s="292"/>
      <c r="CA69" s="290" t="e">
        <f>3.6/CA7</f>
        <v>#REF!</v>
      </c>
      <c r="CB69" s="292"/>
      <c r="CC69" s="292"/>
      <c r="CE69" s="290" t="e">
        <f>3.6/CE7</f>
        <v>#REF!</v>
      </c>
      <c r="CF69" s="292"/>
      <c r="CG69" s="292"/>
      <c r="CI69" s="290" t="e">
        <f>3.6/CI7</f>
        <v>#REF!</v>
      </c>
      <c r="CJ69" s="292"/>
      <c r="CK69" s="292"/>
      <c r="CM69" s="290" t="e">
        <f>3.6/CM7</f>
        <v>#REF!</v>
      </c>
      <c r="CN69" s="292"/>
      <c r="CO69" s="292"/>
      <c r="CQ69" s="290" t="e">
        <f>3.6/CQ7</f>
        <v>#REF!</v>
      </c>
      <c r="CR69" s="292"/>
      <c r="CS69" s="292"/>
      <c r="CU69" s="290" t="e">
        <f>3.6/CU7</f>
        <v>#REF!</v>
      </c>
      <c r="CV69" s="292"/>
      <c r="CW69" s="292"/>
      <c r="CY69" s="290" t="e">
        <f>3.6/CY7</f>
        <v>#REF!</v>
      </c>
      <c r="CZ69" s="7"/>
      <c r="DA69" s="7"/>
      <c r="DB69" s="7"/>
      <c r="DC69" s="7"/>
      <c r="DD69" s="7"/>
      <c r="DE69" s="7"/>
      <c r="DF69" s="7"/>
      <c r="DG69" s="7"/>
      <c r="DH69" s="7"/>
      <c r="DI69" s="7"/>
      <c r="DJ69" s="7"/>
      <c r="DK69" s="7"/>
      <c r="DL69" s="7"/>
      <c r="DM69" s="7"/>
      <c r="DN69" s="7"/>
      <c r="DO69" s="7"/>
      <c r="DP69" s="7"/>
      <c r="DQ69" s="7"/>
    </row>
    <row r="71" spans="2:121">
      <c r="B71" s="7"/>
      <c r="C71" s="7"/>
      <c r="F71" s="404" t="s">
        <v>207</v>
      </c>
      <c r="G71" s="405"/>
      <c r="H71" s="405"/>
      <c r="I71" s="405"/>
      <c r="J71" s="405"/>
      <c r="K71" s="405" t="s">
        <v>528</v>
      </c>
      <c r="L71" s="405">
        <v>30</v>
      </c>
      <c r="CZ71" s="7"/>
      <c r="DA71" s="7"/>
      <c r="DB71" s="7"/>
      <c r="DC71" s="7"/>
      <c r="DD71" s="7"/>
      <c r="DE71" s="7"/>
      <c r="DF71" s="7"/>
      <c r="DG71" s="7"/>
      <c r="DH71" s="7"/>
      <c r="DI71" s="7"/>
      <c r="DJ71" s="7"/>
      <c r="DK71" s="7"/>
      <c r="DL71" s="7"/>
      <c r="DM71" s="7"/>
      <c r="DN71" s="7"/>
      <c r="DO71" s="7"/>
      <c r="DP71" s="7"/>
      <c r="DQ71" s="7"/>
    </row>
    <row r="72" spans="2:121">
      <c r="B72" s="7"/>
      <c r="C72" s="7"/>
      <c r="F72" s="8" t="s">
        <v>463</v>
      </c>
      <c r="K72" s="7" t="s">
        <v>528</v>
      </c>
      <c r="L72" s="7">
        <v>20</v>
      </c>
      <c r="CZ72" s="7"/>
      <c r="DA72" s="7"/>
      <c r="DB72" s="7"/>
      <c r="DC72" s="7"/>
      <c r="DD72" s="7"/>
      <c r="DE72" s="7"/>
      <c r="DF72" s="7"/>
      <c r="DG72" s="7"/>
      <c r="DH72" s="7"/>
      <c r="DI72" s="7"/>
      <c r="DJ72" s="7"/>
      <c r="DK72" s="7"/>
      <c r="DL72" s="7"/>
      <c r="DM72" s="7"/>
      <c r="DN72" s="7"/>
      <c r="DO72" s="7"/>
      <c r="DP72" s="7"/>
      <c r="DQ72" s="7"/>
    </row>
    <row r="73" spans="2:121">
      <c r="B73" s="7"/>
      <c r="C73" s="7"/>
      <c r="F73" s="8" t="s">
        <v>451</v>
      </c>
      <c r="K73" s="7" t="s">
        <v>528</v>
      </c>
      <c r="L73" s="7">
        <v>20</v>
      </c>
      <c r="CZ73" s="7"/>
      <c r="DA73" s="7"/>
      <c r="DB73" s="7"/>
      <c r="DC73" s="7"/>
      <c r="DD73" s="7"/>
      <c r="DE73" s="7"/>
      <c r="DF73" s="7"/>
      <c r="DG73" s="7"/>
      <c r="DH73" s="7"/>
      <c r="DI73" s="7"/>
      <c r="DJ73" s="7"/>
      <c r="DK73" s="7"/>
      <c r="DL73" s="7"/>
      <c r="DM73" s="7"/>
      <c r="DN73" s="7"/>
      <c r="DO73" s="7"/>
      <c r="DP73" s="7"/>
      <c r="DQ73" s="7"/>
    </row>
    <row r="74" spans="2:121">
      <c r="B74" s="7"/>
      <c r="C74" s="7"/>
      <c r="F74" s="8" t="s">
        <v>173</v>
      </c>
      <c r="K74" s="7" t="s">
        <v>528</v>
      </c>
      <c r="L74" s="7">
        <v>30</v>
      </c>
      <c r="CZ74" s="7"/>
      <c r="DA74" s="7"/>
      <c r="DB74" s="7"/>
      <c r="DC74" s="7"/>
      <c r="DD74" s="7"/>
      <c r="DE74" s="7"/>
      <c r="DF74" s="7"/>
      <c r="DG74" s="7"/>
      <c r="DH74" s="7"/>
      <c r="DI74" s="7"/>
      <c r="DJ74" s="7"/>
      <c r="DK74" s="7"/>
      <c r="DL74" s="7"/>
      <c r="DM74" s="7"/>
      <c r="DN74" s="7"/>
      <c r="DO74" s="7"/>
      <c r="DP74" s="7"/>
      <c r="DQ74" s="7"/>
    </row>
    <row r="75" spans="2:121">
      <c r="B75" s="7"/>
      <c r="C75" s="7"/>
      <c r="F75" s="8" t="s">
        <v>452</v>
      </c>
      <c r="K75" s="7" t="s">
        <v>528</v>
      </c>
      <c r="L75" s="7">
        <v>30</v>
      </c>
      <c r="CZ75" s="7"/>
      <c r="DA75" s="7"/>
      <c r="DB75" s="7"/>
      <c r="DC75" s="7"/>
      <c r="DD75" s="7"/>
      <c r="DE75" s="7"/>
      <c r="DF75" s="7"/>
      <c r="DG75" s="7"/>
      <c r="DH75" s="7"/>
      <c r="DI75" s="7"/>
      <c r="DJ75" s="7"/>
      <c r="DK75" s="7"/>
      <c r="DL75" s="7"/>
      <c r="DM75" s="7"/>
      <c r="DN75" s="7"/>
      <c r="DO75" s="7"/>
      <c r="DP75" s="7"/>
      <c r="DQ75" s="7"/>
    </row>
    <row r="76" spans="2:121">
      <c r="B76" s="7"/>
      <c r="C76" s="7"/>
      <c r="F76" s="8" t="s">
        <v>174</v>
      </c>
      <c r="K76" s="7" t="s">
        <v>528</v>
      </c>
      <c r="L76" s="7">
        <v>25</v>
      </c>
      <c r="CZ76" s="7"/>
      <c r="DA76" s="7"/>
      <c r="DB76" s="7"/>
      <c r="DC76" s="7"/>
      <c r="DD76" s="7"/>
      <c r="DE76" s="7"/>
      <c r="DF76" s="7"/>
      <c r="DG76" s="7"/>
      <c r="DH76" s="7"/>
      <c r="DI76" s="7"/>
      <c r="DJ76" s="7"/>
      <c r="DK76" s="7"/>
      <c r="DL76" s="7"/>
      <c r="DM76" s="7"/>
      <c r="DN76" s="7"/>
      <c r="DO76" s="7"/>
      <c r="DP76" s="7"/>
      <c r="DQ76" s="7"/>
    </row>
    <row r="77" spans="2:121">
      <c r="B77" s="7"/>
      <c r="C77" s="7"/>
      <c r="F77" s="8" t="s">
        <v>477</v>
      </c>
      <c r="K77" s="7" t="s">
        <v>528</v>
      </c>
      <c r="L77" s="7">
        <v>30</v>
      </c>
      <c r="CZ77" s="7"/>
      <c r="DA77" s="7"/>
      <c r="DB77" s="7"/>
      <c r="DC77" s="7"/>
      <c r="DD77" s="7"/>
      <c r="DE77" s="7"/>
      <c r="DF77" s="7"/>
      <c r="DG77" s="7"/>
      <c r="DH77" s="7"/>
      <c r="DI77" s="7"/>
      <c r="DJ77" s="7"/>
      <c r="DK77" s="7"/>
      <c r="DL77" s="7"/>
      <c r="DM77" s="7"/>
      <c r="DN77" s="7"/>
      <c r="DO77" s="7"/>
      <c r="DP77" s="7"/>
      <c r="DQ77" s="7"/>
    </row>
  </sheetData>
  <phoneticPr fontId="0" type="noConversion"/>
  <conditionalFormatting sqref="DG43:DL43 DG37:DL38">
    <cfRule type="cellIs" dxfId="142" priority="4" stopIfTrue="1" operator="notBetween">
      <formula>1</formula>
      <formula>5</formula>
    </cfRule>
  </conditionalFormatting>
  <conditionalFormatting sqref="DS43:DX43 DS7:DX30 DS37:DX38">
    <cfRule type="cellIs" dxfId="141" priority="5" stopIfTrue="1" operator="equal">
      <formula>0</formula>
    </cfRule>
  </conditionalFormatting>
  <conditionalFormatting sqref="B37">
    <cfRule type="cellIs" dxfId="140" priority="6" stopIfTrue="1" operator="notEqual">
      <formula>""</formula>
    </cfRule>
  </conditionalFormatting>
  <conditionalFormatting sqref="DS31:DX34">
    <cfRule type="cellIs" dxfId="139" priority="3" stopIfTrue="1" operator="equal">
      <formula>0</formula>
    </cfRule>
  </conditionalFormatting>
  <conditionalFormatting sqref="DS35:DX35">
    <cfRule type="cellIs" dxfId="138" priority="2" stopIfTrue="1" operator="equal">
      <formula>0</formula>
    </cfRule>
  </conditionalFormatting>
  <conditionalFormatting sqref="DS36:DX36">
    <cfRule type="cellIs" dxfId="137" priority="1" stopIfTrue="1" operator="equal">
      <formula>0</formula>
    </cfRule>
  </conditionalFormatting>
  <dataValidations disablePrompts="1" count="1">
    <dataValidation allowBlank="1" showInputMessage="1" showErrorMessage="1" promptTitle="Do not change" prompt="This field is automatically updated from the names-list" sqref="DM7:DM37"/>
  </dataValidations>
  <pageMargins left="0.78740157499999996" right="0.78740157499999996" top="0.984251969" bottom="0.984251969" header="0.4921259845" footer="0.4921259845"/>
  <pageSetup paperSize="9" scale="23"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pageSetUpPr fitToPage="1"/>
  </sheetPr>
  <dimension ref="A1:CZ59"/>
  <sheetViews>
    <sheetView zoomScale="75" workbookViewId="0">
      <pane xSplit="12" ySplit="6" topLeftCell="M7" activePane="bottomRight" state="frozen"/>
      <selection activeCell="L25" sqref="L25"/>
      <selection pane="topRight" activeCell="L25" sqref="L25"/>
      <selection pane="bottomLeft" activeCell="L25" sqref="L25"/>
      <selection pane="bottomRight" activeCell="AV16" sqref="AV16"/>
    </sheetView>
  </sheetViews>
  <sheetFormatPr defaultColWidth="11.42578125" defaultRowHeight="12" outlineLevelRow="1" outlineLevelCol="4"/>
  <cols>
    <col min="1" max="1" width="8.42578125" style="7" hidden="1" customWidth="1" outlineLevel="1"/>
    <col min="2" max="2" width="12.7109375" style="158" bestFit="1" customWidth="1" collapsed="1"/>
    <col min="3" max="3" width="4.7109375" style="159" hidden="1" customWidth="1" outlineLevel="1"/>
    <col min="4" max="4" width="3.140625" style="7" hidden="1" customWidth="1" outlineLevel="1"/>
    <col min="5" max="5" width="2.7109375" style="7" hidden="1" customWidth="1" outlineLevel="1"/>
    <col min="6" max="6" width="35.140625" style="8" customWidth="1" collapsed="1"/>
    <col min="7" max="7" width="5" style="7" customWidth="1"/>
    <col min="8" max="8" width="5.7109375" style="7" hidden="1" customWidth="1" outlineLevel="1"/>
    <col min="9" max="9" width="19.42578125" style="7" hidden="1" customWidth="1" outlineLevel="1"/>
    <col min="10" max="10" width="2.42578125" style="7" hidden="1" customWidth="1" outlineLevel="1" collapsed="1"/>
    <col min="11" max="11" width="4.5703125" style="7" customWidth="1" collapsed="1"/>
    <col min="12" max="12" width="8.7109375" style="7" hidden="1" customWidth="1" outlineLevel="1"/>
    <col min="13" max="13" width="2.140625" style="140" hidden="1" customWidth="1" outlineLevel="2"/>
    <col min="14" max="14" width="4.28515625" style="140" hidden="1" customWidth="1" outlineLevel="2"/>
    <col min="15" max="15" width="31.140625" style="140" hidden="1" customWidth="1" outlineLevel="2"/>
    <col min="16" max="16" width="10.28515625" style="7" hidden="1" customWidth="1" outlineLevel="1" collapsed="1"/>
    <col min="17" max="17" width="2.140625" style="140" hidden="1" customWidth="1" outlineLevel="2"/>
    <col min="18" max="18" width="4.28515625" style="140" hidden="1" customWidth="1" outlineLevel="2"/>
    <col min="19" max="19" width="31.140625" style="140" hidden="1" customWidth="1" outlineLevel="2"/>
    <col min="20" max="20" width="10.28515625" style="7" hidden="1" customWidth="1" outlineLevel="1" collapsed="1"/>
    <col min="21" max="21" width="2.140625" style="140" hidden="1" customWidth="1" outlineLevel="2"/>
    <col min="22" max="22" width="4.28515625" style="140" hidden="1" customWidth="1" outlineLevel="2"/>
    <col min="23" max="23" width="31.140625" style="140" hidden="1" customWidth="1" outlineLevel="2"/>
    <col min="24" max="24" width="10.28515625" style="7" hidden="1" customWidth="1" outlineLevel="1" collapsed="1"/>
    <col min="25" max="25" width="2.140625" style="140" hidden="1" customWidth="1" outlineLevel="2"/>
    <col min="26" max="26" width="4.28515625" style="140" hidden="1" customWidth="1" outlineLevel="2"/>
    <col min="27" max="27" width="31.140625" style="140" hidden="1" customWidth="1" outlineLevel="2"/>
    <col min="28" max="28" width="10.28515625" style="7" hidden="1" customWidth="1" outlineLevel="1" collapsed="1"/>
    <col min="29" max="29" width="2.140625" style="140" hidden="1" customWidth="1" outlineLevel="2"/>
    <col min="30" max="30" width="4.28515625" style="140" hidden="1" customWidth="1" outlineLevel="2"/>
    <col min="31" max="31" width="31.140625" style="140" hidden="1" customWidth="1" outlineLevel="2"/>
    <col min="32" max="32" width="10.28515625" style="7" hidden="1" customWidth="1" outlineLevel="1" collapsed="1"/>
    <col min="33" max="33" width="2.140625" style="140" hidden="1" customWidth="1" outlineLevel="2"/>
    <col min="34" max="34" width="4.28515625" style="140" hidden="1" customWidth="1" outlineLevel="2"/>
    <col min="35" max="35" width="31.140625" style="140" hidden="1" customWidth="1" outlineLevel="2"/>
    <col min="36" max="36" width="10.28515625" style="7" hidden="1" customWidth="1" outlineLevel="1" collapsed="1"/>
    <col min="37" max="37" width="2.140625" style="140" hidden="1" customWidth="1" outlineLevel="2"/>
    <col min="38" max="38" width="4.28515625" style="140" hidden="1" customWidth="1" outlineLevel="2"/>
    <col min="39" max="39" width="30.7109375" style="33" hidden="1" customWidth="1" outlineLevel="2"/>
    <col min="40" max="40" width="10.28515625" style="7" hidden="1" customWidth="1" outlineLevel="1" collapsed="1"/>
    <col min="41" max="41" width="2.140625" style="140" hidden="1" customWidth="1" outlineLevel="2"/>
    <col min="42" max="42" width="4.28515625" style="140" hidden="1" customWidth="1" outlineLevel="2"/>
    <col min="43" max="43" width="31.140625" style="140" hidden="1" customWidth="1" outlineLevel="2"/>
    <col min="44" max="44" width="10.28515625" style="7" hidden="1" customWidth="1" outlineLevel="1" collapsed="1"/>
    <col min="45" max="45" width="2.140625" style="140" hidden="1" customWidth="1" outlineLevel="4"/>
    <col min="46" max="46" width="4.28515625" style="140" hidden="1" customWidth="1" outlineLevel="3" collapsed="1"/>
    <col min="47" max="47" width="30.28515625" style="33" hidden="1" customWidth="1" outlineLevel="3"/>
    <col min="48" max="48" width="10.28515625" style="7" bestFit="1" customWidth="1" collapsed="1"/>
    <col min="49" max="49" width="2.140625" style="140" customWidth="1" outlineLevel="1"/>
    <col min="50" max="50" width="4.28515625" style="140" customWidth="1" outlineLevel="1"/>
    <col min="51" max="51" width="31.140625" style="140" customWidth="1" outlineLevel="1"/>
    <col min="52" max="52" width="10.28515625" style="7" bestFit="1" customWidth="1"/>
    <col min="53" max="53" width="2.140625" style="140" hidden="1" customWidth="1" outlineLevel="1"/>
    <col min="54" max="54" width="4.28515625" style="140" hidden="1" customWidth="1" outlineLevel="1"/>
    <col min="55" max="55" width="31.140625" style="140" hidden="1" customWidth="1" outlineLevel="1"/>
    <col min="56" max="56" width="10.28515625" style="7" bestFit="1" customWidth="1" collapsed="1"/>
    <col min="57" max="57" width="2.140625" style="140" hidden="1" customWidth="1" outlineLevel="1"/>
    <col min="58" max="58" width="4.28515625" style="140" hidden="1" customWidth="1" outlineLevel="1"/>
    <col min="59" max="59" width="31.140625" style="140" hidden="1" customWidth="1" outlineLevel="1"/>
    <col min="60" max="60" width="2.140625" style="140" hidden="1" customWidth="1" outlineLevel="1"/>
    <col min="61" max="61" width="4.28515625" style="140" hidden="1" customWidth="1" outlineLevel="1"/>
    <col min="62" max="62" width="31.140625" style="140" hidden="1" customWidth="1" outlineLevel="1"/>
    <col min="63" max="63" width="10.28515625" style="7" bestFit="1" customWidth="1" collapsed="1"/>
    <col min="64" max="64" width="2.140625" style="140" hidden="1" customWidth="1" outlineLevel="1"/>
    <col min="65" max="65" width="4.28515625" style="140" hidden="1" customWidth="1" outlineLevel="1"/>
    <col min="66" max="66" width="31.140625" style="140" hidden="1" customWidth="1" outlineLevel="1"/>
    <col min="67" max="67" width="10.28515625" style="7" bestFit="1" customWidth="1" collapsed="1"/>
    <col min="68" max="68" width="2.140625" style="140" hidden="1" customWidth="1" outlineLevel="1"/>
    <col min="69" max="69" width="4.28515625" style="140" hidden="1" customWidth="1" outlineLevel="1"/>
    <col min="70" max="70" width="31.140625" style="140" hidden="1" customWidth="1" outlineLevel="1"/>
    <col min="71" max="71" width="10.28515625" style="7" bestFit="1" customWidth="1" collapsed="1"/>
    <col min="72" max="72" width="2.140625" style="140" hidden="1" customWidth="1" outlineLevel="1"/>
    <col min="73" max="73" width="4.28515625" style="140" hidden="1" customWidth="1" outlineLevel="1"/>
    <col min="74" max="74" width="31.140625" style="140" hidden="1" customWidth="1" outlineLevel="1"/>
    <col min="75" max="75" width="10.28515625" style="7" bestFit="1" customWidth="1" collapsed="1"/>
    <col min="76" max="76" width="2.140625" style="140" hidden="1" customWidth="1" outlineLevel="1"/>
    <col min="77" max="77" width="4.28515625" style="140" hidden="1" customWidth="1" outlineLevel="1"/>
    <col min="78" max="78" width="27.28515625" style="33" hidden="1" customWidth="1" outlineLevel="1" collapsed="1"/>
    <col min="79" max="79" width="8.5703125" style="7" customWidth="1" collapsed="1"/>
    <col min="80" max="80" width="2.140625" style="32" customWidth="1"/>
    <col min="81" max="81" width="4.28515625" style="32" customWidth="1"/>
    <col min="82" max="82" width="27.28515625" style="33" customWidth="1"/>
    <col min="83" max="85" width="5.7109375" style="198" customWidth="1"/>
    <col min="86" max="86" width="23.140625" style="79" customWidth="1"/>
    <col min="87" max="87" width="4" style="47" bestFit="1" customWidth="1"/>
    <col min="88" max="88" width="6.28515625" style="39" bestFit="1" customWidth="1"/>
    <col min="89" max="89" width="5.85546875" style="39" bestFit="1" customWidth="1"/>
    <col min="90" max="90" width="4.7109375" style="39" bestFit="1" customWidth="1"/>
    <col min="91" max="91" width="5.28515625" style="39" bestFit="1" customWidth="1"/>
    <col min="92" max="92" width="5.85546875" style="39" bestFit="1" customWidth="1"/>
    <col min="93" max="94" width="6.85546875" style="39" bestFit="1" customWidth="1"/>
    <col min="95" max="95" width="8.28515625" style="39" bestFit="1" customWidth="1"/>
    <col min="96" max="96" width="9.140625" style="39" bestFit="1" customWidth="1"/>
    <col min="97" max="97" width="12.140625" style="39" customWidth="1"/>
    <col min="98" max="98" width="11.42578125" style="7"/>
    <col min="99" max="101" width="5.42578125" style="7" customWidth="1"/>
    <col min="102" max="102" width="5.85546875" style="7" customWidth="1"/>
    <col min="103" max="103" width="5.42578125" style="7" customWidth="1"/>
    <col min="104" max="104" width="5.28515625" style="7" customWidth="1"/>
    <col min="105" max="16384" width="11.42578125" style="7"/>
  </cols>
  <sheetData>
    <row r="1" spans="1:104">
      <c r="A1" s="36"/>
      <c r="B1" s="34"/>
      <c r="C1" s="35"/>
      <c r="D1" s="36"/>
      <c r="E1" s="36"/>
      <c r="F1" s="37" t="s">
        <v>510</v>
      </c>
      <c r="G1" s="36"/>
      <c r="H1" s="36"/>
      <c r="I1" s="36"/>
      <c r="J1" s="36"/>
      <c r="K1" s="36"/>
      <c r="L1" s="189">
        <v>1459</v>
      </c>
      <c r="M1" s="22"/>
      <c r="N1" s="22"/>
      <c r="O1" s="22"/>
      <c r="P1" s="189">
        <v>1460</v>
      </c>
      <c r="Q1" s="22"/>
      <c r="R1" s="22"/>
      <c r="S1" s="22"/>
      <c r="T1" s="189">
        <v>1461</v>
      </c>
      <c r="U1" s="22"/>
      <c r="V1" s="22"/>
      <c r="W1" s="22"/>
      <c r="X1" s="189">
        <v>1462</v>
      </c>
      <c r="Y1" s="22"/>
      <c r="Z1" s="22"/>
      <c r="AA1" s="22"/>
      <c r="AB1" s="189">
        <v>1463</v>
      </c>
      <c r="AC1" s="22"/>
      <c r="AD1" s="22"/>
      <c r="AE1" s="22"/>
      <c r="AF1" s="189">
        <v>1464</v>
      </c>
      <c r="AG1" s="22"/>
      <c r="AH1" s="22"/>
      <c r="AI1" s="22"/>
      <c r="AJ1" s="189">
        <v>1465</v>
      </c>
      <c r="AK1" s="22"/>
      <c r="AL1" s="22"/>
      <c r="AM1" s="324"/>
      <c r="AN1" s="189">
        <v>1466</v>
      </c>
      <c r="AO1" s="22"/>
      <c r="AP1" s="22"/>
      <c r="AQ1" s="22"/>
      <c r="AR1" s="189">
        <v>1467</v>
      </c>
      <c r="AS1" s="22"/>
      <c r="AT1" s="22"/>
      <c r="AU1" s="324"/>
      <c r="AV1" s="189">
        <v>1468</v>
      </c>
      <c r="AW1" s="22"/>
      <c r="AX1" s="22"/>
      <c r="AY1" s="22"/>
      <c r="AZ1" s="226">
        <v>32067</v>
      </c>
      <c r="BA1" s="22"/>
      <c r="BB1" s="22"/>
      <c r="BC1" s="22"/>
      <c r="BD1" s="120">
        <v>32125</v>
      </c>
      <c r="BE1" s="22"/>
      <c r="BF1" s="22"/>
      <c r="BG1" s="22"/>
      <c r="BH1" s="22"/>
      <c r="BI1" s="22"/>
      <c r="BJ1" s="22"/>
      <c r="BK1" s="417">
        <v>32077</v>
      </c>
      <c r="BL1" s="22"/>
      <c r="BM1" s="22"/>
      <c r="BN1" s="22"/>
      <c r="BO1" s="120">
        <v>32081</v>
      </c>
      <c r="BP1" s="22"/>
      <c r="BQ1" s="22"/>
      <c r="BR1" s="22"/>
      <c r="BS1" s="120">
        <v>32133</v>
      </c>
      <c r="BT1" s="22"/>
      <c r="BU1" s="22"/>
      <c r="BV1" s="22"/>
      <c r="BW1" s="120">
        <v>32132</v>
      </c>
      <c r="BX1" s="22"/>
      <c r="BY1" s="22"/>
      <c r="BZ1" s="22"/>
      <c r="CA1" s="3">
        <v>4853</v>
      </c>
      <c r="CB1" s="22"/>
      <c r="CC1" s="22"/>
      <c r="CD1" s="22"/>
      <c r="CE1" s="195"/>
      <c r="CF1" s="195"/>
      <c r="CG1" s="195"/>
      <c r="CI1" s="80"/>
      <c r="CJ1" s="81"/>
      <c r="CK1" s="81"/>
      <c r="CL1" s="81"/>
      <c r="CM1" s="81"/>
      <c r="CN1" s="81"/>
    </row>
    <row r="2" spans="1:104" ht="36">
      <c r="A2" s="36"/>
      <c r="B2" s="147"/>
      <c r="C2" s="35" t="s">
        <v>511</v>
      </c>
      <c r="D2" s="147">
        <v>3503</v>
      </c>
      <c r="E2" s="147">
        <v>3504</v>
      </c>
      <c r="F2" s="147">
        <v>3702</v>
      </c>
      <c r="G2" s="147">
        <v>3703</v>
      </c>
      <c r="H2" s="147">
        <v>3506</v>
      </c>
      <c r="I2" s="147">
        <v>3507</v>
      </c>
      <c r="J2" s="147">
        <v>3508</v>
      </c>
      <c r="K2" s="147">
        <v>3706</v>
      </c>
      <c r="L2" s="147">
        <v>3707</v>
      </c>
      <c r="M2" s="133">
        <f t="shared" ref="M2:M26" si="0">$CB2</f>
        <v>3708</v>
      </c>
      <c r="N2" s="133">
        <f t="shared" ref="N2:N26" si="1">$CC2</f>
        <v>3709</v>
      </c>
      <c r="O2" s="134">
        <f t="shared" ref="O2:O26" si="2">$BZ2</f>
        <v>3792</v>
      </c>
      <c r="P2" s="147">
        <v>3707</v>
      </c>
      <c r="Q2" s="133">
        <f t="shared" ref="Q2:Q26" si="3">$CB2</f>
        <v>3708</v>
      </c>
      <c r="R2" s="133">
        <f t="shared" ref="R2:R26" si="4">$CC2</f>
        <v>3709</v>
      </c>
      <c r="S2" s="134">
        <f t="shared" ref="S2:S26" si="5">$BZ2</f>
        <v>3792</v>
      </c>
      <c r="T2" s="147">
        <v>3707</v>
      </c>
      <c r="U2" s="133">
        <f t="shared" ref="U2:U26" si="6">$CB2</f>
        <v>3708</v>
      </c>
      <c r="V2" s="133">
        <f t="shared" ref="V2:V26" si="7">$CC2</f>
        <v>3709</v>
      </c>
      <c r="W2" s="134">
        <f t="shared" ref="W2:W26" si="8">$BZ2</f>
        <v>3792</v>
      </c>
      <c r="X2" s="147">
        <v>3707</v>
      </c>
      <c r="Y2" s="133">
        <f t="shared" ref="Y2:Y26" si="9">$CB2</f>
        <v>3708</v>
      </c>
      <c r="Z2" s="133">
        <f t="shared" ref="Z2:Z26" si="10">$CC2</f>
        <v>3709</v>
      </c>
      <c r="AA2" s="134">
        <f t="shared" ref="AA2:AA26" si="11">$BZ2</f>
        <v>3792</v>
      </c>
      <c r="AB2" s="147">
        <v>3707</v>
      </c>
      <c r="AC2" s="133">
        <f t="shared" ref="AC2:AC26" si="12">$CB2</f>
        <v>3708</v>
      </c>
      <c r="AD2" s="133">
        <f t="shared" ref="AD2:AD26" si="13">$CC2</f>
        <v>3709</v>
      </c>
      <c r="AE2" s="134">
        <f t="shared" ref="AE2:AE26" si="14">$BZ2</f>
        <v>3792</v>
      </c>
      <c r="AF2" s="147">
        <v>3707</v>
      </c>
      <c r="AG2" s="133">
        <f t="shared" ref="AG2:AG26" si="15">$CB2</f>
        <v>3708</v>
      </c>
      <c r="AH2" s="133">
        <f t="shared" ref="AH2:AH26" si="16">$CC2</f>
        <v>3709</v>
      </c>
      <c r="AI2" s="134">
        <f t="shared" ref="AI2:AI26" si="17">$BZ2</f>
        <v>3792</v>
      </c>
      <c r="AJ2" s="147">
        <v>3707</v>
      </c>
      <c r="AK2" s="133">
        <f t="shared" ref="AK2:AK26" si="18">$CB2</f>
        <v>3708</v>
      </c>
      <c r="AL2" s="133">
        <f t="shared" ref="AL2:AL26" si="19">$CC2</f>
        <v>3709</v>
      </c>
      <c r="AM2" s="24">
        <f t="shared" ref="AM2:AM26" si="20">$BZ2</f>
        <v>3792</v>
      </c>
      <c r="AN2" s="147">
        <v>3707</v>
      </c>
      <c r="AO2" s="133">
        <f t="shared" ref="AO2:AO26" si="21">$CB2</f>
        <v>3708</v>
      </c>
      <c r="AP2" s="133">
        <f t="shared" ref="AP2:AP26" si="22">$CC2</f>
        <v>3709</v>
      </c>
      <c r="AQ2" s="134">
        <f t="shared" ref="AQ2:AQ26" si="23">$BZ2</f>
        <v>3792</v>
      </c>
      <c r="AR2" s="147">
        <v>3707</v>
      </c>
      <c r="AS2" s="133">
        <f t="shared" ref="AS2:AS26" si="24">$CB2</f>
        <v>3708</v>
      </c>
      <c r="AT2" s="133">
        <f t="shared" ref="AT2:AT26" si="25">$CC2</f>
        <v>3709</v>
      </c>
      <c r="AU2" s="24">
        <f t="shared" ref="AU2:AU26" si="26">$BZ2</f>
        <v>3792</v>
      </c>
      <c r="AV2" s="147">
        <v>3707</v>
      </c>
      <c r="AW2" s="133">
        <f t="shared" ref="AW2:AW26" si="27">$CB2</f>
        <v>3708</v>
      </c>
      <c r="AX2" s="133">
        <f t="shared" ref="AX2:AX26" si="28">$CC2</f>
        <v>3709</v>
      </c>
      <c r="AY2" s="134">
        <f t="shared" ref="AY2:AY26" si="29">$BZ2</f>
        <v>3792</v>
      </c>
      <c r="AZ2" s="147">
        <v>3707</v>
      </c>
      <c r="BA2" s="133">
        <f t="shared" ref="BA2:BA26" si="30">$CB2</f>
        <v>3708</v>
      </c>
      <c r="BB2" s="133">
        <f t="shared" ref="BB2:BB26" si="31">$CC2</f>
        <v>3709</v>
      </c>
      <c r="BC2" s="134">
        <f t="shared" ref="BC2:BC26" si="32">$BZ2</f>
        <v>3792</v>
      </c>
      <c r="BD2" s="147">
        <v>3707</v>
      </c>
      <c r="BE2" s="133">
        <f t="shared" ref="BE2:BE26" si="33">$CB2</f>
        <v>3708</v>
      </c>
      <c r="BF2" s="133">
        <f t="shared" ref="BF2:BF26" si="34">$CC2</f>
        <v>3709</v>
      </c>
      <c r="BG2" s="134">
        <f t="shared" ref="BG2:BG26" si="35">$BZ2</f>
        <v>3792</v>
      </c>
      <c r="BH2" s="133">
        <f t="shared" ref="BH2:BH26" si="36">$CB2</f>
        <v>3708</v>
      </c>
      <c r="BI2" s="133">
        <f t="shared" ref="BI2:BI26" si="37">$CC2</f>
        <v>3709</v>
      </c>
      <c r="BJ2" s="134">
        <f t="shared" ref="BJ2:BJ26" si="38">$BZ2</f>
        <v>3792</v>
      </c>
      <c r="BK2" s="147">
        <v>3707</v>
      </c>
      <c r="BL2" s="133">
        <f t="shared" ref="BL2:BL26" si="39">$CB2</f>
        <v>3708</v>
      </c>
      <c r="BM2" s="133">
        <f t="shared" ref="BM2:BM26" si="40">$CC2</f>
        <v>3709</v>
      </c>
      <c r="BN2" s="134">
        <f t="shared" ref="BN2:BN26" si="41">$BZ2</f>
        <v>3792</v>
      </c>
      <c r="BO2" s="147">
        <v>3707</v>
      </c>
      <c r="BP2" s="133">
        <f t="shared" ref="BP2:BP26" si="42">$CB2</f>
        <v>3708</v>
      </c>
      <c r="BQ2" s="133">
        <f t="shared" ref="BQ2:BQ26" si="43">$CC2</f>
        <v>3709</v>
      </c>
      <c r="BR2" s="134">
        <f t="shared" ref="BR2:BR26" si="44">$BZ2</f>
        <v>3792</v>
      </c>
      <c r="BS2" s="147">
        <v>3707</v>
      </c>
      <c r="BT2" s="133">
        <f t="shared" ref="BT2:BT26" si="45">$CB2</f>
        <v>3708</v>
      </c>
      <c r="BU2" s="133">
        <f t="shared" ref="BU2:BU26" si="46">$CC2</f>
        <v>3709</v>
      </c>
      <c r="BV2" s="134">
        <f t="shared" ref="BV2:BV26" si="47">$BZ2</f>
        <v>3792</v>
      </c>
      <c r="BW2" s="147">
        <v>3707</v>
      </c>
      <c r="BX2" s="133">
        <f t="shared" ref="BX2:BX26" si="48">$CB2</f>
        <v>3708</v>
      </c>
      <c r="BY2" s="133">
        <f t="shared" ref="BY2:BY26" si="49">$CC2</f>
        <v>3709</v>
      </c>
      <c r="BZ2" s="24">
        <v>3792</v>
      </c>
      <c r="CA2" s="147">
        <v>3707</v>
      </c>
      <c r="CB2" s="23">
        <v>3708</v>
      </c>
      <c r="CC2" s="23">
        <v>3709</v>
      </c>
      <c r="CD2" s="24">
        <v>3792</v>
      </c>
      <c r="CE2" s="119"/>
      <c r="CF2" s="119"/>
      <c r="CG2" s="119"/>
      <c r="CH2" s="112" t="s">
        <v>264</v>
      </c>
      <c r="CI2" s="10" t="s">
        <v>249</v>
      </c>
      <c r="CJ2" s="10" t="s">
        <v>250</v>
      </c>
      <c r="CK2" s="10" t="s">
        <v>251</v>
      </c>
      <c r="CL2" s="10" t="s">
        <v>252</v>
      </c>
      <c r="CM2" s="10" t="s">
        <v>253</v>
      </c>
      <c r="CN2" s="10" t="s">
        <v>254</v>
      </c>
      <c r="CO2" s="82" t="s">
        <v>255</v>
      </c>
      <c r="CP2" s="82" t="s">
        <v>256</v>
      </c>
      <c r="CQ2" s="11" t="s">
        <v>257</v>
      </c>
      <c r="CR2" s="12" t="s">
        <v>390</v>
      </c>
      <c r="CS2" s="43" t="s">
        <v>263</v>
      </c>
      <c r="CU2" s="40" t="s">
        <v>249</v>
      </c>
      <c r="CV2" s="40" t="s">
        <v>250</v>
      </c>
      <c r="CW2" s="40" t="s">
        <v>251</v>
      </c>
      <c r="CX2" s="40" t="s">
        <v>252</v>
      </c>
      <c r="CY2" s="40" t="s">
        <v>253</v>
      </c>
      <c r="CZ2" s="40" t="s">
        <v>254</v>
      </c>
    </row>
    <row r="3" spans="1:104" ht="101.25">
      <c r="A3" s="36" t="s">
        <v>398</v>
      </c>
      <c r="B3" s="166"/>
      <c r="C3" s="35">
        <v>401</v>
      </c>
      <c r="D3" s="167" t="s">
        <v>514</v>
      </c>
      <c r="E3" s="167" t="s">
        <v>515</v>
      </c>
      <c r="F3" s="43" t="s">
        <v>516</v>
      </c>
      <c r="G3" s="41" t="s">
        <v>517</v>
      </c>
      <c r="H3" s="41" t="s">
        <v>518</v>
      </c>
      <c r="I3" s="41" t="s">
        <v>519</v>
      </c>
      <c r="J3" s="41" t="s">
        <v>520</v>
      </c>
      <c r="K3" s="41" t="s">
        <v>394</v>
      </c>
      <c r="L3" s="322" t="str">
        <f>INDEX([14]Names!$J$1:$J$65602,MATCH(L$1,[14]Names!$F$1:$F$65602,0),1)</f>
        <v>electricity, PV, at 3kWp facade, single-Si, laminated, integrated</v>
      </c>
      <c r="M3" s="135" t="str">
        <f t="shared" si="0"/>
        <v>UncertaintyType</v>
      </c>
      <c r="N3" s="135" t="str">
        <f t="shared" si="1"/>
        <v>StandardDeviation95%</v>
      </c>
      <c r="O3" s="323" t="str">
        <f t="shared" si="2"/>
        <v>GeneralComment</v>
      </c>
      <c r="P3" s="322" t="str">
        <f>INDEX([14]Names!$J$1:$J$65602,MATCH(P$1,[14]Names!$F$1:$F$65602,0),1)</f>
        <v>electricity, PV, at 3kWp facade installation, single-Si, panel, mounted</v>
      </c>
      <c r="Q3" s="135" t="str">
        <f t="shared" si="3"/>
        <v>UncertaintyType</v>
      </c>
      <c r="R3" s="135" t="str">
        <f t="shared" si="4"/>
        <v>StandardDeviation95%</v>
      </c>
      <c r="S3" s="323" t="str">
        <f t="shared" si="5"/>
        <v>GeneralComment</v>
      </c>
      <c r="T3" s="322" t="str">
        <f>INDEX([14]Names!$J$1:$J$65602,MATCH(T$1,[14]Names!$F$1:$F$65602,0),1)</f>
        <v>electricity, PV, at 3kWp facade, multi-Si, laminated, integrated</v>
      </c>
      <c r="U3" s="135" t="str">
        <f t="shared" si="6"/>
        <v>UncertaintyType</v>
      </c>
      <c r="V3" s="135" t="str">
        <f t="shared" si="7"/>
        <v>StandardDeviation95%</v>
      </c>
      <c r="W3" s="323" t="str">
        <f t="shared" si="8"/>
        <v>GeneralComment</v>
      </c>
      <c r="X3" s="322" t="str">
        <f>INDEX([14]Names!$J$1:$J$65602,MATCH(X$1,[14]Names!$F$1:$F$65602,0),1)</f>
        <v>electricity, PV, at 3kWp facade installation, multi-Si, panel, mounted</v>
      </c>
      <c r="Y3" s="135" t="str">
        <f t="shared" si="9"/>
        <v>UncertaintyType</v>
      </c>
      <c r="Z3" s="135" t="str">
        <f t="shared" si="10"/>
        <v>StandardDeviation95%</v>
      </c>
      <c r="AA3" s="323" t="str">
        <f t="shared" si="11"/>
        <v>GeneralComment</v>
      </c>
      <c r="AB3" s="322" t="str">
        <f>INDEX([14]Names!$J$1:$J$65602,MATCH(AB$1,[14]Names!$F$1:$F$65602,0),1)</f>
        <v>electricity, PV, at 3kWp flat roof installation, single-Si</v>
      </c>
      <c r="AC3" s="135" t="str">
        <f t="shared" si="12"/>
        <v>UncertaintyType</v>
      </c>
      <c r="AD3" s="135" t="str">
        <f t="shared" si="13"/>
        <v>StandardDeviation95%</v>
      </c>
      <c r="AE3" s="323" t="str">
        <f t="shared" si="14"/>
        <v>GeneralComment</v>
      </c>
      <c r="AF3" s="322" t="str">
        <f>INDEX([14]Names!$J$1:$J$65602,MATCH(AF$1,[14]Names!$F$1:$F$65602,0),1)</f>
        <v>electricity, PV, at 3kWp flat roof installation, multi-Si</v>
      </c>
      <c r="AG3" s="135" t="str">
        <f t="shared" si="15"/>
        <v>UncertaintyType</v>
      </c>
      <c r="AH3" s="135" t="str">
        <f t="shared" si="16"/>
        <v>StandardDeviation95%</v>
      </c>
      <c r="AI3" s="323" t="str">
        <f t="shared" si="17"/>
        <v>GeneralComment</v>
      </c>
      <c r="AJ3" s="322" t="str">
        <f>INDEX([14]Names!$J$1:$J$65602,MATCH(AJ$1,[14]Names!$F$1:$F$65602,0),1)</f>
        <v>electricity, PV, at 3kWp slanted-roof, single-Si, laminated, integrated</v>
      </c>
      <c r="AK3" s="135" t="str">
        <f t="shared" si="18"/>
        <v>UncertaintyType</v>
      </c>
      <c r="AL3" s="135" t="str">
        <f t="shared" si="19"/>
        <v>StandardDeviation95%</v>
      </c>
      <c r="AM3" s="356" t="str">
        <f t="shared" si="20"/>
        <v>GeneralComment</v>
      </c>
      <c r="AN3" s="322" t="str">
        <f>INDEX([14]Names!$J$1:$J$65602,MATCH(AN$1,[14]Names!$F$1:$F$65602,0),1)</f>
        <v>electricity, PV, at 3kWp slanted-roof, single-Si, panel, mounted</v>
      </c>
      <c r="AO3" s="135" t="str">
        <f t="shared" si="21"/>
        <v>UncertaintyType</v>
      </c>
      <c r="AP3" s="135" t="str">
        <f t="shared" si="22"/>
        <v>StandardDeviation95%</v>
      </c>
      <c r="AQ3" s="323" t="str">
        <f t="shared" si="23"/>
        <v>GeneralComment</v>
      </c>
      <c r="AR3" s="322" t="str">
        <f>INDEX([14]Names!$J$1:$J$65602,MATCH(AR$1,[14]Names!$F$1:$F$65602,0),1)</f>
        <v>electricity, PV, at 3kWp slanted-roof, multi-Si, laminated, integrated</v>
      </c>
      <c r="AS3" s="135" t="str">
        <f t="shared" si="24"/>
        <v>UncertaintyType</v>
      </c>
      <c r="AT3" s="135" t="str">
        <f t="shared" si="25"/>
        <v>StandardDeviation95%</v>
      </c>
      <c r="AU3" s="356" t="str">
        <f t="shared" si="26"/>
        <v>GeneralComment</v>
      </c>
      <c r="AV3" s="322" t="str">
        <f>INDEX([14]Names!$J$1:$J$65602,MATCH(AV$1,[14]Names!$F$1:$F$65602,0),1)</f>
        <v>electricity, PV, at 3kWp slanted-roof, multi-Si, panel, mounted</v>
      </c>
      <c r="AW3" s="135" t="str">
        <f t="shared" si="27"/>
        <v>UncertaintyType</v>
      </c>
      <c r="AX3" s="135" t="str">
        <f t="shared" si="28"/>
        <v>StandardDeviation95%</v>
      </c>
      <c r="AY3" s="323" t="str">
        <f t="shared" si="29"/>
        <v>GeneralComment</v>
      </c>
      <c r="AZ3" s="322" t="str">
        <f>INDEX([14]Names!$J$1:$J$65602,MATCH(AZ$1,[14]Names!$F$1:$F$65602,0),1)</f>
        <v>electricity, PV, at 3kWp slanted-roof, ribbon-Si, panel, mounted</v>
      </c>
      <c r="BA3" s="135" t="str">
        <f t="shared" si="30"/>
        <v>UncertaintyType</v>
      </c>
      <c r="BB3" s="135" t="str">
        <f t="shared" si="31"/>
        <v>StandardDeviation95%</v>
      </c>
      <c r="BC3" s="323" t="str">
        <f t="shared" si="32"/>
        <v>GeneralComment</v>
      </c>
      <c r="BD3" s="322" t="str">
        <f>INDEX([14]Names!$J$1:$J$65602,MATCH(BD$1,[14]Names!$F$1:$F$65602,0),1)</f>
        <v>electricity, PV, at 3kWp slanted-roof, ribbon-Si, lam., integrated</v>
      </c>
      <c r="BE3" s="135" t="str">
        <f t="shared" si="33"/>
        <v>UncertaintyType</v>
      </c>
      <c r="BF3" s="135" t="str">
        <f t="shared" si="34"/>
        <v>StandardDeviation95%</v>
      </c>
      <c r="BG3" s="323" t="str">
        <f t="shared" si="35"/>
        <v>GeneralComment</v>
      </c>
      <c r="BH3" s="135" t="str">
        <f t="shared" si="36"/>
        <v>UncertaintyType</v>
      </c>
      <c r="BI3" s="135" t="str">
        <f t="shared" si="37"/>
        <v>StandardDeviation95%</v>
      </c>
      <c r="BJ3" s="323" t="str">
        <f t="shared" si="38"/>
        <v>GeneralComment</v>
      </c>
      <c r="BK3" s="322" t="str">
        <f>INDEX([14]Names!$J$1:$J$65602,MATCH(BK$1,[14]Names!$F$1:$F$65602,0),1)</f>
        <v>electricity, PV, at 3kWp slanted-roof, CdTe, laminated, integrated</v>
      </c>
      <c r="BL3" s="135" t="str">
        <f t="shared" si="39"/>
        <v>UncertaintyType</v>
      </c>
      <c r="BM3" s="135" t="str">
        <f t="shared" si="40"/>
        <v>StandardDeviation95%</v>
      </c>
      <c r="BN3" s="323" t="str">
        <f t="shared" si="41"/>
        <v>GeneralComment</v>
      </c>
      <c r="BO3" s="322" t="str">
        <f>INDEX([14]Names!$J$1:$J$65602,MATCH(BO$1,[14]Names!$F$1:$F$65602,0),1)</f>
        <v>electricity, PV, at 3kWp slanted-roof, CIS, panel, mounted</v>
      </c>
      <c r="BP3" s="135" t="str">
        <f t="shared" si="42"/>
        <v>UncertaintyType</v>
      </c>
      <c r="BQ3" s="135" t="str">
        <f t="shared" si="43"/>
        <v>StandardDeviation95%</v>
      </c>
      <c r="BR3" s="323" t="str">
        <f t="shared" si="44"/>
        <v>GeneralComment</v>
      </c>
      <c r="BS3" s="322" t="str">
        <f>INDEX([14]Names!$J$1:$J$65602,MATCH(BS$1,[14]Names!$F$1:$F$65602,0),1)</f>
        <v>electricity, PV, at 3kWp slanted-roof, a-Si, lam., integrated</v>
      </c>
      <c r="BT3" s="135" t="str">
        <f t="shared" si="45"/>
        <v>UncertaintyType</v>
      </c>
      <c r="BU3" s="135" t="str">
        <f t="shared" si="46"/>
        <v>StandardDeviation95%</v>
      </c>
      <c r="BV3" s="323" t="str">
        <f t="shared" si="47"/>
        <v>GeneralComment</v>
      </c>
      <c r="BW3" s="322" t="str">
        <f>INDEX([14]Names!$J$1:$J$65602,MATCH(BW$1,[14]Names!$F$1:$F$65602,0),1)</f>
        <v>electricity, PV, at 3kWp slanted-roof, a-Si, panel, mounted</v>
      </c>
      <c r="BX3" s="135" t="str">
        <f t="shared" si="48"/>
        <v>UncertaintyType</v>
      </c>
      <c r="BY3" s="135" t="str">
        <f t="shared" si="49"/>
        <v>StandardDeviation95%</v>
      </c>
      <c r="BZ3" s="26" t="s">
        <v>548</v>
      </c>
      <c r="CA3" s="322" t="str">
        <f>INDEX([14]Names!$J$1:$J$65602,MATCH(CA$1,[14]Names!$F$1:$F$65602,0),1)</f>
        <v>electricity, production mix photovoltaic, at plant</v>
      </c>
      <c r="CB3" s="25" t="s">
        <v>265</v>
      </c>
      <c r="CC3" s="25" t="s">
        <v>266</v>
      </c>
      <c r="CD3" s="26" t="s">
        <v>548</v>
      </c>
      <c r="CE3" s="196" t="s">
        <v>453</v>
      </c>
      <c r="CF3" s="196" t="s">
        <v>711</v>
      </c>
      <c r="CG3" s="196" t="s">
        <v>459</v>
      </c>
      <c r="CH3" s="113"/>
      <c r="CI3" s="42"/>
      <c r="CJ3" s="10"/>
      <c r="CK3" s="10"/>
      <c r="CL3" s="10"/>
      <c r="CM3" s="10"/>
      <c r="CN3" s="10"/>
      <c r="CO3" s="9"/>
      <c r="CP3" s="9"/>
      <c r="CQ3" s="11" t="s">
        <v>267</v>
      </c>
      <c r="CR3" s="12" t="s">
        <v>267</v>
      </c>
      <c r="CS3" s="83"/>
    </row>
    <row r="4" spans="1:104" ht="12.75" customHeight="1">
      <c r="A4" s="36"/>
      <c r="B4" s="166"/>
      <c r="C4" s="35">
        <v>662</v>
      </c>
      <c r="D4" s="13"/>
      <c r="E4" s="13"/>
      <c r="F4" s="43" t="s">
        <v>517</v>
      </c>
      <c r="G4" s="43"/>
      <c r="H4" s="43"/>
      <c r="I4" s="43"/>
      <c r="J4" s="43"/>
      <c r="K4" s="43"/>
      <c r="L4" s="177" t="str">
        <f>INDEX([14]Names!$K$1:$K$65602,MATCH(L$1,[14]Names!$F$1:$F$65602,0),1)</f>
        <v>CH</v>
      </c>
      <c r="M4" s="200">
        <f t="shared" si="0"/>
        <v>0</v>
      </c>
      <c r="N4" s="200">
        <f t="shared" si="1"/>
        <v>0</v>
      </c>
      <c r="O4" s="201">
        <f t="shared" si="2"/>
        <v>0</v>
      </c>
      <c r="P4" s="177" t="str">
        <f>INDEX([14]Names!$K$1:$K$65602,MATCH(P$1,[14]Names!$F$1:$F$65602,0),1)</f>
        <v>CH</v>
      </c>
      <c r="Q4" s="200">
        <f t="shared" si="3"/>
        <v>0</v>
      </c>
      <c r="R4" s="200">
        <f t="shared" si="4"/>
        <v>0</v>
      </c>
      <c r="S4" s="201">
        <f t="shared" si="5"/>
        <v>0</v>
      </c>
      <c r="T4" s="177" t="str">
        <f>INDEX([14]Names!$K$1:$K$65602,MATCH(T$1,[14]Names!$F$1:$F$65602,0),1)</f>
        <v>CH</v>
      </c>
      <c r="U4" s="200">
        <f t="shared" si="6"/>
        <v>0</v>
      </c>
      <c r="V4" s="200">
        <f t="shared" si="7"/>
        <v>0</v>
      </c>
      <c r="W4" s="201">
        <f t="shared" si="8"/>
        <v>0</v>
      </c>
      <c r="X4" s="177" t="str">
        <f>INDEX([14]Names!$K$1:$K$65602,MATCH(X$1,[14]Names!$F$1:$F$65602,0),1)</f>
        <v>CH</v>
      </c>
      <c r="Y4" s="200">
        <f t="shared" si="9"/>
        <v>0</v>
      </c>
      <c r="Z4" s="200">
        <f t="shared" si="10"/>
        <v>0</v>
      </c>
      <c r="AA4" s="201">
        <f t="shared" si="11"/>
        <v>0</v>
      </c>
      <c r="AB4" s="177" t="str">
        <f>INDEX([14]Names!$K$1:$K$65602,MATCH(AB$1,[14]Names!$F$1:$F$65602,0),1)</f>
        <v>CH</v>
      </c>
      <c r="AC4" s="200">
        <f t="shared" si="12"/>
        <v>0</v>
      </c>
      <c r="AD4" s="200">
        <f t="shared" si="13"/>
        <v>0</v>
      </c>
      <c r="AE4" s="201">
        <f t="shared" si="14"/>
        <v>0</v>
      </c>
      <c r="AF4" s="177" t="str">
        <f>INDEX([14]Names!$K$1:$K$65602,MATCH(AF$1,[14]Names!$F$1:$F$65602,0),1)</f>
        <v>CH</v>
      </c>
      <c r="AG4" s="200">
        <f t="shared" si="15"/>
        <v>0</v>
      </c>
      <c r="AH4" s="200">
        <f t="shared" si="16"/>
        <v>0</v>
      </c>
      <c r="AI4" s="201">
        <f t="shared" si="17"/>
        <v>0</v>
      </c>
      <c r="AJ4" s="177" t="str">
        <f>INDEX([14]Names!$K$1:$K$65602,MATCH(AJ$1,[14]Names!$F$1:$F$65602,0),1)</f>
        <v>CH</v>
      </c>
      <c r="AK4" s="200">
        <f t="shared" si="18"/>
        <v>0</v>
      </c>
      <c r="AL4" s="200">
        <f t="shared" si="19"/>
        <v>0</v>
      </c>
      <c r="AM4" s="28">
        <f t="shared" si="20"/>
        <v>0</v>
      </c>
      <c r="AN4" s="177" t="str">
        <f>INDEX([14]Names!$K$1:$K$65602,MATCH(AN$1,[14]Names!$F$1:$F$65602,0),1)</f>
        <v>CH</v>
      </c>
      <c r="AO4" s="200">
        <f t="shared" si="21"/>
        <v>0</v>
      </c>
      <c r="AP4" s="200">
        <f t="shared" si="22"/>
        <v>0</v>
      </c>
      <c r="AQ4" s="201">
        <f t="shared" si="23"/>
        <v>0</v>
      </c>
      <c r="AR4" s="177" t="str">
        <f>INDEX([14]Names!$K$1:$K$65602,MATCH(AR$1,[14]Names!$F$1:$F$65602,0),1)</f>
        <v>CH</v>
      </c>
      <c r="AS4" s="200">
        <f t="shared" si="24"/>
        <v>0</v>
      </c>
      <c r="AT4" s="200">
        <f t="shared" si="25"/>
        <v>0</v>
      </c>
      <c r="AU4" s="28">
        <f t="shared" si="26"/>
        <v>0</v>
      </c>
      <c r="AV4" s="177" t="str">
        <f>INDEX([14]Names!$K$1:$K$65602,MATCH(AV$1,[14]Names!$F$1:$F$65602,0),1)</f>
        <v>CH</v>
      </c>
      <c r="AW4" s="200">
        <f t="shared" si="27"/>
        <v>0</v>
      </c>
      <c r="AX4" s="200">
        <f t="shared" si="28"/>
        <v>0</v>
      </c>
      <c r="AY4" s="201">
        <f t="shared" si="29"/>
        <v>0</v>
      </c>
      <c r="AZ4" s="177" t="str">
        <f>INDEX([14]Names!$K$1:$K$65602,MATCH(AZ$1,[14]Names!$F$1:$F$65602,0),1)</f>
        <v>CH</v>
      </c>
      <c r="BA4" s="200">
        <f t="shared" si="30"/>
        <v>0</v>
      </c>
      <c r="BB4" s="200">
        <f t="shared" si="31"/>
        <v>0</v>
      </c>
      <c r="BC4" s="201">
        <f t="shared" si="32"/>
        <v>0</v>
      </c>
      <c r="BD4" s="177" t="str">
        <f>INDEX([14]Names!$K$1:$K$65602,MATCH(BD$1,[14]Names!$F$1:$F$65602,0),1)</f>
        <v>CH</v>
      </c>
      <c r="BE4" s="200">
        <f t="shared" si="33"/>
        <v>0</v>
      </c>
      <c r="BF4" s="200">
        <f t="shared" si="34"/>
        <v>0</v>
      </c>
      <c r="BG4" s="201">
        <f t="shared" si="35"/>
        <v>0</v>
      </c>
      <c r="BH4" s="200">
        <f t="shared" si="36"/>
        <v>0</v>
      </c>
      <c r="BI4" s="200">
        <f t="shared" si="37"/>
        <v>0</v>
      </c>
      <c r="BJ4" s="201">
        <f t="shared" si="38"/>
        <v>0</v>
      </c>
      <c r="BK4" s="177" t="str">
        <f>INDEX([14]Names!$K$1:$K$65602,MATCH(BK$1,[14]Names!$F$1:$F$65602,0),1)</f>
        <v>CH</v>
      </c>
      <c r="BL4" s="200">
        <f t="shared" si="39"/>
        <v>0</v>
      </c>
      <c r="BM4" s="200">
        <f t="shared" si="40"/>
        <v>0</v>
      </c>
      <c r="BN4" s="201">
        <f t="shared" si="41"/>
        <v>0</v>
      </c>
      <c r="BO4" s="177" t="str">
        <f>INDEX([14]Names!$K$1:$K$65602,MATCH(BO$1,[14]Names!$F$1:$F$65602,0),1)</f>
        <v>CH</v>
      </c>
      <c r="BP4" s="200">
        <f t="shared" si="42"/>
        <v>0</v>
      </c>
      <c r="BQ4" s="200">
        <f t="shared" si="43"/>
        <v>0</v>
      </c>
      <c r="BR4" s="201">
        <f t="shared" si="44"/>
        <v>0</v>
      </c>
      <c r="BS4" s="177" t="str">
        <f>INDEX([14]Names!$K$1:$K$65602,MATCH(BS$1,[14]Names!$F$1:$F$65602,0),1)</f>
        <v>CH</v>
      </c>
      <c r="BT4" s="200">
        <f t="shared" si="45"/>
        <v>0</v>
      </c>
      <c r="BU4" s="200">
        <f t="shared" si="46"/>
        <v>0</v>
      </c>
      <c r="BV4" s="201">
        <f t="shared" si="47"/>
        <v>0</v>
      </c>
      <c r="BW4" s="177" t="str">
        <f>INDEX([14]Names!$K$1:$K$65602,MATCH(BW$1,[14]Names!$F$1:$F$65602,0),1)</f>
        <v>CH</v>
      </c>
      <c r="BX4" s="200">
        <f t="shared" si="48"/>
        <v>0</v>
      </c>
      <c r="BY4" s="200">
        <f t="shared" si="49"/>
        <v>0</v>
      </c>
      <c r="BZ4" s="28"/>
      <c r="CA4" s="177" t="str">
        <f>INDEX([14]Names!$K$1:$K$65602,MATCH(CA$1,[14]Names!$F$1:$F$65602,0),1)</f>
        <v>CH</v>
      </c>
      <c r="CB4" s="27"/>
      <c r="CC4" s="27"/>
      <c r="CD4" s="28"/>
      <c r="CE4" s="196"/>
      <c r="CF4" s="196"/>
      <c r="CG4" s="196"/>
      <c r="CH4" s="114"/>
      <c r="CI4" s="44" t="s">
        <v>269</v>
      </c>
      <c r="CQ4" s="45"/>
      <c r="CR4" s="45"/>
      <c r="CS4" s="46"/>
    </row>
    <row r="5" spans="1:104">
      <c r="A5" s="36"/>
      <c r="B5" s="166"/>
      <c r="C5" s="35">
        <v>493</v>
      </c>
      <c r="D5" s="13"/>
      <c r="E5" s="13"/>
      <c r="F5" s="43" t="s">
        <v>520</v>
      </c>
      <c r="G5" s="43"/>
      <c r="H5" s="43"/>
      <c r="I5" s="43"/>
      <c r="J5" s="43"/>
      <c r="K5" s="43"/>
      <c r="L5" s="177">
        <f>INDEX([14]Names!$N$1:$N$65602,MATCH(L$1,[14]Names!$F$1:$F$65602,0),1)</f>
        <v>0</v>
      </c>
      <c r="M5" s="200">
        <f t="shared" si="0"/>
        <v>0</v>
      </c>
      <c r="N5" s="200">
        <f t="shared" si="1"/>
        <v>0</v>
      </c>
      <c r="O5" s="201">
        <f t="shared" si="2"/>
        <v>0</v>
      </c>
      <c r="P5" s="177">
        <f>INDEX([14]Names!$N$1:$N$65602,MATCH(P$1,[14]Names!$F$1:$F$65602,0),1)</f>
        <v>0</v>
      </c>
      <c r="Q5" s="200">
        <f t="shared" si="3"/>
        <v>0</v>
      </c>
      <c r="R5" s="200">
        <f t="shared" si="4"/>
        <v>0</v>
      </c>
      <c r="S5" s="201">
        <f t="shared" si="5"/>
        <v>0</v>
      </c>
      <c r="T5" s="177">
        <f>INDEX([14]Names!$N$1:$N$65602,MATCH(T$1,[14]Names!$F$1:$F$65602,0),1)</f>
        <v>0</v>
      </c>
      <c r="U5" s="200">
        <f t="shared" si="6"/>
        <v>0</v>
      </c>
      <c r="V5" s="200">
        <f t="shared" si="7"/>
        <v>0</v>
      </c>
      <c r="W5" s="201">
        <f t="shared" si="8"/>
        <v>0</v>
      </c>
      <c r="X5" s="177">
        <f>INDEX([14]Names!$N$1:$N$65602,MATCH(X$1,[14]Names!$F$1:$F$65602,0),1)</f>
        <v>0</v>
      </c>
      <c r="Y5" s="200">
        <f t="shared" si="9"/>
        <v>0</v>
      </c>
      <c r="Z5" s="200">
        <f t="shared" si="10"/>
        <v>0</v>
      </c>
      <c r="AA5" s="201">
        <f t="shared" si="11"/>
        <v>0</v>
      </c>
      <c r="AB5" s="177">
        <f>INDEX([14]Names!$N$1:$N$65602,MATCH(AB$1,[14]Names!$F$1:$F$65602,0),1)</f>
        <v>0</v>
      </c>
      <c r="AC5" s="200">
        <f t="shared" si="12"/>
        <v>0</v>
      </c>
      <c r="AD5" s="200">
        <f t="shared" si="13"/>
        <v>0</v>
      </c>
      <c r="AE5" s="201">
        <f t="shared" si="14"/>
        <v>0</v>
      </c>
      <c r="AF5" s="177">
        <f>INDEX([14]Names!$N$1:$N$65602,MATCH(AF$1,[14]Names!$F$1:$F$65602,0),1)</f>
        <v>0</v>
      </c>
      <c r="AG5" s="200">
        <f t="shared" si="15"/>
        <v>0</v>
      </c>
      <c r="AH5" s="200">
        <f t="shared" si="16"/>
        <v>0</v>
      </c>
      <c r="AI5" s="201">
        <f t="shared" si="17"/>
        <v>0</v>
      </c>
      <c r="AJ5" s="177">
        <f>INDEX([14]Names!$N$1:$N$65602,MATCH(AJ$1,[14]Names!$F$1:$F$65602,0),1)</f>
        <v>0</v>
      </c>
      <c r="AK5" s="200">
        <f t="shared" si="18"/>
        <v>0</v>
      </c>
      <c r="AL5" s="200">
        <f t="shared" si="19"/>
        <v>0</v>
      </c>
      <c r="AM5" s="28">
        <f t="shared" si="20"/>
        <v>0</v>
      </c>
      <c r="AN5" s="177">
        <f>INDEX([14]Names!$N$1:$N$65602,MATCH(AN$1,[14]Names!$F$1:$F$65602,0),1)</f>
        <v>0</v>
      </c>
      <c r="AO5" s="200">
        <f t="shared" si="21"/>
        <v>0</v>
      </c>
      <c r="AP5" s="200">
        <f t="shared" si="22"/>
        <v>0</v>
      </c>
      <c r="AQ5" s="201">
        <f t="shared" si="23"/>
        <v>0</v>
      </c>
      <c r="AR5" s="177">
        <f>INDEX([14]Names!$N$1:$N$65602,MATCH(AR$1,[14]Names!$F$1:$F$65602,0),1)</f>
        <v>0</v>
      </c>
      <c r="AS5" s="200">
        <f t="shared" si="24"/>
        <v>0</v>
      </c>
      <c r="AT5" s="200">
        <f t="shared" si="25"/>
        <v>0</v>
      </c>
      <c r="AU5" s="28">
        <f t="shared" si="26"/>
        <v>0</v>
      </c>
      <c r="AV5" s="177">
        <f>INDEX([14]Names!$N$1:$N$65602,MATCH(AV$1,[14]Names!$F$1:$F$65602,0),1)</f>
        <v>0</v>
      </c>
      <c r="AW5" s="200">
        <f t="shared" si="27"/>
        <v>0</v>
      </c>
      <c r="AX5" s="200">
        <f t="shared" si="28"/>
        <v>0</v>
      </c>
      <c r="AY5" s="201">
        <f t="shared" si="29"/>
        <v>0</v>
      </c>
      <c r="AZ5" s="177">
        <f>INDEX([14]Names!$N$1:$N$65602,MATCH(AZ$1,[14]Names!$F$1:$F$65602,0),1)</f>
        <v>0</v>
      </c>
      <c r="BA5" s="200">
        <f t="shared" si="30"/>
        <v>0</v>
      </c>
      <c r="BB5" s="200">
        <f t="shared" si="31"/>
        <v>0</v>
      </c>
      <c r="BC5" s="201">
        <f t="shared" si="32"/>
        <v>0</v>
      </c>
      <c r="BD5" s="177">
        <f>INDEX([14]Names!$N$1:$N$65602,MATCH(BD$1,[14]Names!$F$1:$F$65602,0),1)</f>
        <v>0</v>
      </c>
      <c r="BE5" s="200">
        <f t="shared" si="33"/>
        <v>0</v>
      </c>
      <c r="BF5" s="200">
        <f t="shared" si="34"/>
        <v>0</v>
      </c>
      <c r="BG5" s="201">
        <f t="shared" si="35"/>
        <v>0</v>
      </c>
      <c r="BH5" s="200">
        <f t="shared" si="36"/>
        <v>0</v>
      </c>
      <c r="BI5" s="200">
        <f t="shared" si="37"/>
        <v>0</v>
      </c>
      <c r="BJ5" s="201">
        <f t="shared" si="38"/>
        <v>0</v>
      </c>
      <c r="BK5" s="177">
        <f>INDEX([14]Names!$N$1:$N$65602,MATCH(BK$1,[14]Names!$F$1:$F$65602,0),1)</f>
        <v>0</v>
      </c>
      <c r="BL5" s="200">
        <f t="shared" si="39"/>
        <v>0</v>
      </c>
      <c r="BM5" s="200">
        <f t="shared" si="40"/>
        <v>0</v>
      </c>
      <c r="BN5" s="201">
        <f t="shared" si="41"/>
        <v>0</v>
      </c>
      <c r="BO5" s="177">
        <f>INDEX([14]Names!$N$1:$N$65602,MATCH(BO$1,[14]Names!$F$1:$F$65602,0),1)</f>
        <v>0</v>
      </c>
      <c r="BP5" s="200">
        <f t="shared" si="42"/>
        <v>0</v>
      </c>
      <c r="BQ5" s="200">
        <f t="shared" si="43"/>
        <v>0</v>
      </c>
      <c r="BR5" s="201">
        <f t="shared" si="44"/>
        <v>0</v>
      </c>
      <c r="BS5" s="177">
        <f>INDEX([14]Names!$N$1:$N$65602,MATCH(BS$1,[14]Names!$F$1:$F$65602,0),1)</f>
        <v>0</v>
      </c>
      <c r="BT5" s="200">
        <f t="shared" si="45"/>
        <v>0</v>
      </c>
      <c r="BU5" s="200">
        <f t="shared" si="46"/>
        <v>0</v>
      </c>
      <c r="BV5" s="201">
        <f t="shared" si="47"/>
        <v>0</v>
      </c>
      <c r="BW5" s="177">
        <f>INDEX([14]Names!$N$1:$N$65602,MATCH(BW$1,[14]Names!$F$1:$F$65602,0),1)</f>
        <v>0</v>
      </c>
      <c r="BX5" s="200">
        <f t="shared" si="48"/>
        <v>0</v>
      </c>
      <c r="BY5" s="200">
        <f t="shared" si="49"/>
        <v>0</v>
      </c>
      <c r="BZ5" s="28"/>
      <c r="CA5" s="177">
        <f>INDEX([14]Names!$N$1:$N$65602,MATCH(CA$1,[14]Names!$F$1:$F$65602,0),1)</f>
        <v>0</v>
      </c>
      <c r="CB5" s="27"/>
      <c r="CC5" s="27"/>
      <c r="CD5" s="28"/>
      <c r="CE5" s="196"/>
      <c r="CF5" s="196"/>
      <c r="CG5" s="196"/>
    </row>
    <row r="6" spans="1:104">
      <c r="A6" s="36"/>
      <c r="B6" s="166"/>
      <c r="C6" s="35">
        <v>403</v>
      </c>
      <c r="D6" s="13"/>
      <c r="E6" s="13"/>
      <c r="F6" s="43" t="s">
        <v>394</v>
      </c>
      <c r="G6" s="351"/>
      <c r="H6" s="43"/>
      <c r="I6" s="43"/>
      <c r="J6" s="43"/>
      <c r="K6" s="43"/>
      <c r="L6" s="177" t="str">
        <f>INDEX([14]Names!$O$1:$O$65602,MATCH(L$1,[14]Names!$F$1:$F$65602,0),1)</f>
        <v>kWh</v>
      </c>
      <c r="M6" s="200">
        <f t="shared" si="0"/>
        <v>0</v>
      </c>
      <c r="N6" s="200">
        <f t="shared" si="1"/>
        <v>0</v>
      </c>
      <c r="O6" s="201">
        <f t="shared" si="2"/>
        <v>0</v>
      </c>
      <c r="P6" s="177" t="str">
        <f>INDEX([14]Names!$O$1:$O$65602,MATCH(P$1,[14]Names!$F$1:$F$65602,0),1)</f>
        <v>kWh</v>
      </c>
      <c r="Q6" s="200">
        <f t="shared" si="3"/>
        <v>0</v>
      </c>
      <c r="R6" s="200">
        <f t="shared" si="4"/>
        <v>0</v>
      </c>
      <c r="S6" s="201">
        <f t="shared" si="5"/>
        <v>0</v>
      </c>
      <c r="T6" s="177" t="str">
        <f>INDEX([14]Names!$O$1:$O$65602,MATCH(T$1,[14]Names!$F$1:$F$65602,0),1)</f>
        <v>kWh</v>
      </c>
      <c r="U6" s="200">
        <f t="shared" si="6"/>
        <v>0</v>
      </c>
      <c r="V6" s="200">
        <f t="shared" si="7"/>
        <v>0</v>
      </c>
      <c r="W6" s="201">
        <f t="shared" si="8"/>
        <v>0</v>
      </c>
      <c r="X6" s="177" t="str">
        <f>INDEX([14]Names!$O$1:$O$65602,MATCH(X$1,[14]Names!$F$1:$F$65602,0),1)</f>
        <v>kWh</v>
      </c>
      <c r="Y6" s="200">
        <f t="shared" si="9"/>
        <v>0</v>
      </c>
      <c r="Z6" s="200">
        <f t="shared" si="10"/>
        <v>0</v>
      </c>
      <c r="AA6" s="201">
        <f t="shared" si="11"/>
        <v>0</v>
      </c>
      <c r="AB6" s="177" t="str">
        <f>INDEX([14]Names!$O$1:$O$65602,MATCH(AB$1,[14]Names!$F$1:$F$65602,0),1)</f>
        <v>kWh</v>
      </c>
      <c r="AC6" s="200">
        <f t="shared" si="12"/>
        <v>0</v>
      </c>
      <c r="AD6" s="200">
        <f t="shared" si="13"/>
        <v>0</v>
      </c>
      <c r="AE6" s="201">
        <f t="shared" si="14"/>
        <v>0</v>
      </c>
      <c r="AF6" s="177" t="str">
        <f>INDEX([14]Names!$O$1:$O$65602,MATCH(AF$1,[14]Names!$F$1:$F$65602,0),1)</f>
        <v>kWh</v>
      </c>
      <c r="AG6" s="200">
        <f t="shared" si="15"/>
        <v>0</v>
      </c>
      <c r="AH6" s="200">
        <f t="shared" si="16"/>
        <v>0</v>
      </c>
      <c r="AI6" s="201">
        <f t="shared" si="17"/>
        <v>0</v>
      </c>
      <c r="AJ6" s="177" t="str">
        <f>INDEX([14]Names!$O$1:$O$65602,MATCH(AJ$1,[14]Names!$F$1:$F$65602,0),1)</f>
        <v>kWh</v>
      </c>
      <c r="AK6" s="200">
        <f t="shared" si="18"/>
        <v>0</v>
      </c>
      <c r="AL6" s="200">
        <f t="shared" si="19"/>
        <v>0</v>
      </c>
      <c r="AM6" s="28">
        <f t="shared" si="20"/>
        <v>0</v>
      </c>
      <c r="AN6" s="177" t="str">
        <f>INDEX([14]Names!$O$1:$O$65602,MATCH(AN$1,[14]Names!$F$1:$F$65602,0),1)</f>
        <v>kWh</v>
      </c>
      <c r="AO6" s="200">
        <f t="shared" si="21"/>
        <v>0</v>
      </c>
      <c r="AP6" s="200">
        <f t="shared" si="22"/>
        <v>0</v>
      </c>
      <c r="AQ6" s="201">
        <f t="shared" si="23"/>
        <v>0</v>
      </c>
      <c r="AR6" s="177" t="str">
        <f>INDEX([14]Names!$O$1:$O$65602,MATCH(AR$1,[14]Names!$F$1:$F$65602,0),1)</f>
        <v>kWh</v>
      </c>
      <c r="AS6" s="200">
        <f t="shared" si="24"/>
        <v>0</v>
      </c>
      <c r="AT6" s="200">
        <f t="shared" si="25"/>
        <v>0</v>
      </c>
      <c r="AU6" s="28">
        <f t="shared" si="26"/>
        <v>0</v>
      </c>
      <c r="AV6" s="177" t="str">
        <f>INDEX([14]Names!$O$1:$O$65602,MATCH(AV$1,[14]Names!$F$1:$F$65602,0),1)</f>
        <v>kWh</v>
      </c>
      <c r="AW6" s="200">
        <f t="shared" si="27"/>
        <v>0</v>
      </c>
      <c r="AX6" s="200">
        <f t="shared" si="28"/>
        <v>0</v>
      </c>
      <c r="AY6" s="201">
        <f t="shared" si="29"/>
        <v>0</v>
      </c>
      <c r="AZ6" s="177" t="str">
        <f>INDEX([14]Names!$O$1:$O$65602,MATCH(AZ$1,[14]Names!$F$1:$F$65602,0),1)</f>
        <v>kWh</v>
      </c>
      <c r="BA6" s="200">
        <f t="shared" si="30"/>
        <v>0</v>
      </c>
      <c r="BB6" s="200">
        <f t="shared" si="31"/>
        <v>0</v>
      </c>
      <c r="BC6" s="201">
        <f t="shared" si="32"/>
        <v>0</v>
      </c>
      <c r="BD6" s="177" t="str">
        <f>INDEX([14]Names!$O$1:$O$65602,MATCH(BD$1,[14]Names!$F$1:$F$65602,0),1)</f>
        <v>kWh</v>
      </c>
      <c r="BE6" s="200">
        <f t="shared" si="33"/>
        <v>0</v>
      </c>
      <c r="BF6" s="200">
        <f t="shared" si="34"/>
        <v>0</v>
      </c>
      <c r="BG6" s="201">
        <f t="shared" si="35"/>
        <v>0</v>
      </c>
      <c r="BH6" s="200">
        <f t="shared" si="36"/>
        <v>0</v>
      </c>
      <c r="BI6" s="200">
        <f t="shared" si="37"/>
        <v>0</v>
      </c>
      <c r="BJ6" s="201">
        <f t="shared" si="38"/>
        <v>0</v>
      </c>
      <c r="BK6" s="177" t="str">
        <f>INDEX([14]Names!$O$1:$O$65602,MATCH(BK$1,[14]Names!$F$1:$F$65602,0),1)</f>
        <v>kWh</v>
      </c>
      <c r="BL6" s="200">
        <f t="shared" si="39"/>
        <v>0</v>
      </c>
      <c r="BM6" s="200">
        <f t="shared" si="40"/>
        <v>0</v>
      </c>
      <c r="BN6" s="201">
        <f t="shared" si="41"/>
        <v>0</v>
      </c>
      <c r="BO6" s="177" t="str">
        <f>INDEX([14]Names!$O$1:$O$65602,MATCH(BO$1,[14]Names!$F$1:$F$65602,0),1)</f>
        <v>kWh</v>
      </c>
      <c r="BP6" s="200">
        <f t="shared" si="42"/>
        <v>0</v>
      </c>
      <c r="BQ6" s="200">
        <f t="shared" si="43"/>
        <v>0</v>
      </c>
      <c r="BR6" s="201">
        <f t="shared" si="44"/>
        <v>0</v>
      </c>
      <c r="BS6" s="177" t="str">
        <f>INDEX([14]Names!$O$1:$O$65602,MATCH(BS$1,[14]Names!$F$1:$F$65602,0),1)</f>
        <v>kWh</v>
      </c>
      <c r="BT6" s="200">
        <f t="shared" si="45"/>
        <v>0</v>
      </c>
      <c r="BU6" s="200">
        <f t="shared" si="46"/>
        <v>0</v>
      </c>
      <c r="BV6" s="201">
        <f t="shared" si="47"/>
        <v>0</v>
      </c>
      <c r="BW6" s="177" t="str">
        <f>INDEX([14]Names!$O$1:$O$65602,MATCH(BW$1,[14]Names!$F$1:$F$65602,0),1)</f>
        <v>kWh</v>
      </c>
      <c r="BX6" s="200">
        <f t="shared" si="48"/>
        <v>0</v>
      </c>
      <c r="BY6" s="200">
        <f t="shared" si="49"/>
        <v>0</v>
      </c>
      <c r="BZ6" s="28"/>
      <c r="CA6" s="177" t="str">
        <f>INDEX([14]Names!$O$1:$O$65602,MATCH(CA$1,[14]Names!$F$1:$F$65602,0),1)</f>
        <v>kWh</v>
      </c>
      <c r="CB6" s="27"/>
      <c r="CC6" s="27"/>
      <c r="CD6" s="28"/>
      <c r="CE6" s="196" t="s">
        <v>403</v>
      </c>
      <c r="CF6" s="196" t="s">
        <v>396</v>
      </c>
      <c r="CG6" s="196" t="s">
        <v>403</v>
      </c>
      <c r="CI6" s="48"/>
      <c r="CJ6" s="48"/>
      <c r="CK6" s="48"/>
      <c r="CL6" s="48"/>
      <c r="CM6" s="48"/>
      <c r="CN6" s="48"/>
      <c r="CQ6" s="49"/>
      <c r="CR6" s="49"/>
      <c r="CS6" s="85"/>
    </row>
    <row r="7" spans="1:104" ht="24">
      <c r="A7" s="156">
        <v>1289</v>
      </c>
      <c r="B7" s="168" t="s">
        <v>406</v>
      </c>
      <c r="C7" s="151" t="s">
        <v>525</v>
      </c>
      <c r="D7" s="152" t="s">
        <v>527</v>
      </c>
      <c r="E7" s="153" t="s">
        <v>402</v>
      </c>
      <c r="F7" s="144" t="str">
        <f>IF(OR(D7="4",E7="4"),INDEX([14]NamesElementary!$B$1:$B$65536,MATCH(A7,[14]NamesElementary!$A$1:$A$65536,0),1),INDEX([14]Names!$J$1:$J$65602,MATCH(A7,[14]Names!$F$1:$F$65602,0),1))</f>
        <v>Energy, solar, converted</v>
      </c>
      <c r="G7" s="125" t="str">
        <f>IF(OR(D7="4",E7="4"),"-",INDEX([14]Names!$K$1:$K$65602,MATCH(A7,[14]Names!$F$1:$F$65602,0),1))</f>
        <v>-</v>
      </c>
      <c r="H7" s="154" t="str">
        <f>IF(OR(D7="4",E7="4"),INDEX([14]NamesElementary!$D$1:$D$65536,MATCH($A7,[14]NamesElementary!$A$1:$A$65536,0),1),"-")</f>
        <v>resource</v>
      </c>
      <c r="I7" s="123" t="str">
        <f>IF(OR(D7="4",E7="4"),INDEX([14]NamesElementary!$E$1:$E$65536,MATCH($A7,[14]NamesElementary!$A$1:$A$65536,0),1),"-")</f>
        <v>in air</v>
      </c>
      <c r="J7" s="124" t="str">
        <f>IF(OR(D7="4",E7="4"),"-",INDEX([14]Names!$N$1:$N$65602,MATCH(A7,[14]Names!$F$1:$F$65602,0),1))</f>
        <v>-</v>
      </c>
      <c r="K7" s="125" t="str">
        <f>IF(OR(D7="4",E7="4"),INDEX([14]NamesElementary!$G$1:$G$65536,MATCH(A7,[14]NamesElementary!$A$1:$A$65536,0),1),INDEX([14]Names!$O$1:$O$65602,MATCH(A7,[14]Names!$F$1:$F$65602,0),1))</f>
        <v>MJ</v>
      </c>
      <c r="L7" s="155" t="e">
        <f>3.6/stromverlust</f>
        <v>#REF!</v>
      </c>
      <c r="M7" s="29">
        <f t="shared" si="0"/>
        <v>1</v>
      </c>
      <c r="N7" s="1">
        <f t="shared" si="1"/>
        <v>1.0906744032152329</v>
      </c>
      <c r="O7" s="139" t="str">
        <f t="shared" si="2"/>
        <v>(2,2,1,1,1,3); Energy loss in the system is included</v>
      </c>
      <c r="P7" s="155" t="e">
        <f>3.6/stromverlust</f>
        <v>#REF!</v>
      </c>
      <c r="Q7" s="29">
        <f t="shared" si="3"/>
        <v>1</v>
      </c>
      <c r="R7" s="1">
        <f t="shared" si="4"/>
        <v>1.0906744032152329</v>
      </c>
      <c r="S7" s="139" t="str">
        <f t="shared" si="5"/>
        <v>(2,2,1,1,1,3); Energy loss in the system is included</v>
      </c>
      <c r="T7" s="155" t="e">
        <f>3.6/stromverlust</f>
        <v>#REF!</v>
      </c>
      <c r="U7" s="29">
        <f t="shared" si="6"/>
        <v>1</v>
      </c>
      <c r="V7" s="1">
        <f t="shared" si="7"/>
        <v>1.0906744032152329</v>
      </c>
      <c r="W7" s="139" t="str">
        <f t="shared" si="8"/>
        <v>(2,2,1,1,1,3); Energy loss in the system is included</v>
      </c>
      <c r="X7" s="155" t="e">
        <f>3.6/stromverlust</f>
        <v>#REF!</v>
      </c>
      <c r="Y7" s="29">
        <f t="shared" si="9"/>
        <v>1</v>
      </c>
      <c r="Z7" s="1">
        <f t="shared" si="10"/>
        <v>1.0906744032152329</v>
      </c>
      <c r="AA7" s="139" t="str">
        <f t="shared" si="11"/>
        <v>(2,2,1,1,1,3); Energy loss in the system is included</v>
      </c>
      <c r="AB7" s="155" t="e">
        <f>3.6/stromverlust</f>
        <v>#REF!</v>
      </c>
      <c r="AC7" s="29">
        <f t="shared" si="12"/>
        <v>1</v>
      </c>
      <c r="AD7" s="1">
        <f t="shared" si="13"/>
        <v>1.0906744032152329</v>
      </c>
      <c r="AE7" s="139" t="str">
        <f t="shared" si="14"/>
        <v>(2,2,1,1,1,3); Energy loss in the system is included</v>
      </c>
      <c r="AF7" s="155" t="e">
        <f>3.6/stromverlust</f>
        <v>#REF!</v>
      </c>
      <c r="AG7" s="29">
        <f t="shared" si="15"/>
        <v>1</v>
      </c>
      <c r="AH7" s="1">
        <f t="shared" si="16"/>
        <v>1.0906744032152329</v>
      </c>
      <c r="AI7" s="139" t="str">
        <f t="shared" si="17"/>
        <v>(2,2,1,1,1,3); Energy loss in the system is included</v>
      </c>
      <c r="AJ7" s="155" t="e">
        <f>3.6/stromverlust</f>
        <v>#REF!</v>
      </c>
      <c r="AK7" s="29">
        <f t="shared" si="18"/>
        <v>1</v>
      </c>
      <c r="AL7" s="1">
        <f t="shared" si="19"/>
        <v>1.0906744032152329</v>
      </c>
      <c r="AM7" s="31" t="str">
        <f t="shared" si="20"/>
        <v>(2,2,1,1,1,3); Energy loss in the system is included</v>
      </c>
      <c r="AN7" s="155" t="e">
        <f>3.6/stromverlust</f>
        <v>#REF!</v>
      </c>
      <c r="AO7" s="29">
        <f t="shared" si="21"/>
        <v>1</v>
      </c>
      <c r="AP7" s="1">
        <f t="shared" si="22"/>
        <v>1.0906744032152329</v>
      </c>
      <c r="AQ7" s="139" t="str">
        <f t="shared" si="23"/>
        <v>(2,2,1,1,1,3); Energy loss in the system is included</v>
      </c>
      <c r="AR7" s="155" t="e">
        <f>3.6/stromverlust</f>
        <v>#REF!</v>
      </c>
      <c r="AS7" s="29">
        <f t="shared" si="24"/>
        <v>1</v>
      </c>
      <c r="AT7" s="1">
        <f t="shared" si="25"/>
        <v>1.0906744032152329</v>
      </c>
      <c r="AU7" s="31" t="str">
        <f t="shared" si="26"/>
        <v>(2,2,1,1,1,3); Energy loss in the system is included</v>
      </c>
      <c r="AV7" s="155" t="e">
        <f>3.6/stromverlust</f>
        <v>#REF!</v>
      </c>
      <c r="AW7" s="29">
        <f t="shared" si="27"/>
        <v>1</v>
      </c>
      <c r="AX7" s="1">
        <f t="shared" si="28"/>
        <v>1.0906744032152329</v>
      </c>
      <c r="AY7" s="139" t="str">
        <f t="shared" si="29"/>
        <v>(2,2,1,1,1,3); Energy loss in the system is included</v>
      </c>
      <c r="AZ7" s="155" t="e">
        <f>3.6/stromverlust</f>
        <v>#REF!</v>
      </c>
      <c r="BA7" s="29">
        <f t="shared" si="30"/>
        <v>1</v>
      </c>
      <c r="BB7" s="1">
        <f t="shared" si="31"/>
        <v>1.0906744032152329</v>
      </c>
      <c r="BC7" s="139" t="str">
        <f t="shared" si="32"/>
        <v>(2,2,1,1,1,3); Energy loss in the system is included</v>
      </c>
      <c r="BD7" s="155" t="e">
        <f>3.6/stromverlust</f>
        <v>#REF!</v>
      </c>
      <c r="BE7" s="29">
        <f t="shared" si="33"/>
        <v>1</v>
      </c>
      <c r="BF7" s="1">
        <f t="shared" si="34"/>
        <v>1.0906744032152329</v>
      </c>
      <c r="BG7" s="139" t="str">
        <f t="shared" si="35"/>
        <v>(2,2,1,1,1,3); Energy loss in the system is included</v>
      </c>
      <c r="BH7" s="29">
        <f t="shared" si="36"/>
        <v>1</v>
      </c>
      <c r="BI7" s="1">
        <f t="shared" si="37"/>
        <v>1.0906744032152329</v>
      </c>
      <c r="BJ7" s="139" t="str">
        <f t="shared" si="38"/>
        <v>(2,2,1,1,1,3); Energy loss in the system is included</v>
      </c>
      <c r="BK7" s="155" t="e">
        <f>3.6/stromverlust</f>
        <v>#REF!</v>
      </c>
      <c r="BL7" s="29">
        <f t="shared" si="39"/>
        <v>1</v>
      </c>
      <c r="BM7" s="1">
        <f t="shared" si="40"/>
        <v>1.0906744032152329</v>
      </c>
      <c r="BN7" s="139" t="str">
        <f t="shared" si="41"/>
        <v>(2,2,1,1,1,3); Energy loss in the system is included</v>
      </c>
      <c r="BO7" s="155" t="e">
        <f>3.6/stromverlust</f>
        <v>#REF!</v>
      </c>
      <c r="BP7" s="29">
        <f t="shared" si="42"/>
        <v>1</v>
      </c>
      <c r="BQ7" s="1">
        <f t="shared" si="43"/>
        <v>1.0906744032152329</v>
      </c>
      <c r="BR7" s="139" t="str">
        <f t="shared" si="44"/>
        <v>(2,2,1,1,1,3); Energy loss in the system is included</v>
      </c>
      <c r="BS7" s="155" t="e">
        <f>3.6/stromverlust</f>
        <v>#REF!</v>
      </c>
      <c r="BT7" s="29">
        <f t="shared" si="45"/>
        <v>1</v>
      </c>
      <c r="BU7" s="1">
        <f t="shared" si="46"/>
        <v>1.0906744032152329</v>
      </c>
      <c r="BV7" s="139" t="str">
        <f t="shared" si="47"/>
        <v>(2,2,1,1,1,3); Energy loss in the system is included</v>
      </c>
      <c r="BW7" s="155" t="e">
        <f>3.6/stromverlust</f>
        <v>#REF!</v>
      </c>
      <c r="BX7" s="29">
        <f t="shared" si="48"/>
        <v>1</v>
      </c>
      <c r="BY7" s="1">
        <f t="shared" si="49"/>
        <v>1.0906744032152329</v>
      </c>
      <c r="BZ7" s="31" t="str">
        <f t="shared" ref="BZ7:BZ26" si="50">CS7&amp;"; "&amp;CH7</f>
        <v>(2,2,1,1,1,3); Energy loss in the system is included</v>
      </c>
      <c r="CA7" s="155" t="e">
        <f>3.6/stromverlust</f>
        <v>#REF!</v>
      </c>
      <c r="CB7" s="29">
        <v>1</v>
      </c>
      <c r="CC7" s="1">
        <f t="shared" ref="CC7:CC23" si="51">EXP(SQRT((LN(CR7)^2)+(LN(CR$27)^2)))</f>
        <v>1.0906744032152329</v>
      </c>
      <c r="CD7" s="31" t="str">
        <f>CS7&amp;"; "&amp;CH7</f>
        <v>(2,2,1,1,1,3); Energy loss in the system is included</v>
      </c>
      <c r="CE7" s="197"/>
      <c r="CF7" s="197"/>
      <c r="CG7" s="197"/>
      <c r="CH7" s="115" t="s">
        <v>716</v>
      </c>
      <c r="CI7" s="10">
        <v>2</v>
      </c>
      <c r="CJ7" s="50">
        <v>2</v>
      </c>
      <c r="CK7" s="50">
        <v>1</v>
      </c>
      <c r="CL7" s="50">
        <v>1</v>
      </c>
      <c r="CM7" s="50">
        <v>1</v>
      </c>
      <c r="CN7" s="50">
        <v>3</v>
      </c>
      <c r="CO7" s="50">
        <f>IF(OR($D7="4",$E7="4"),INDEX([14]NamesElementary!$J$1:$J$65536,MATCH($A7,[14]NamesElementary!$A$1:$A$65536,0),1),INDEX([14]Names!$W$1:$W$65602,MATCH($A7,[14]Names!$F$1:$F$65602,0),1))</f>
        <v>11</v>
      </c>
      <c r="CP7" s="51">
        <f>INDEX([14]BasicUncertainty!$H$1:$H$65536,MATCH(CO7,[14]BasicUncertainty!$B$1:$B$65536,0),1)</f>
        <v>1.05</v>
      </c>
      <c r="CQ7" s="87">
        <f t="shared" ref="CQ7:CQ19" si="52">EXP(SQRT((LN(CU7)^2)+(LN(CV7)^2)+(LN(CW7)^2)+(LN(CX7)^2)+(LN(CY7)^2)+(LN(CZ7)^2)))</f>
        <v>1.0744244531716256</v>
      </c>
      <c r="CR7" s="88">
        <f t="shared" ref="CR7:CR19" si="53">EXP(SQRT((LN(CU7)^2)+(LN(CV7)^2)+(LN(CW7)^2)+(LN(CX7)^2)+(LN(CY7)^2)+(LN(CZ7)^2)+LN(CP7)^2))</f>
        <v>1.0906744032152329</v>
      </c>
      <c r="CS7" s="89" t="str">
        <f t="shared" ref="CS7:CS19" si="54">CONCATENATE("(",CI7,",",CJ7,",",CK7,",",CL7,",",CM7,",",CN7,")")</f>
        <v>(2,2,1,1,1,3)</v>
      </c>
      <c r="CU7" s="52">
        <f>IF(CI7=1,'[14]SDG^2 values'!$B$4,IF(CI7=2,'[14]SDG^2 values'!$C$4,IF(CI7=3,'[14]SDG^2 values'!$D$4,IF(CI7=4,'[14]SDG^2 values'!$E$4,IF(CI7=5,'[14]SDG^2 values'!$F$4,1)))))</f>
        <v>1.05</v>
      </c>
      <c r="CV7" s="52">
        <f>IF(CJ7=1,'[14]SDG^2 values'!$B$5,IF(CJ7=2,'[14]SDG^2 values'!$C$5,IF(CJ7=3,'[14]SDG^2 values'!$D$5,IF(CJ7=4,'[14]SDG^2 values'!$E$5,IF(CJ7=5,'[14]SDG^2 values'!$F$5,1)))))</f>
        <v>1.02</v>
      </c>
      <c r="CW7" s="52">
        <f>IF(CK7=1,'[14]SDG^2 values'!$B$6,IF(CK7=2,'[14]SDG^2 values'!$C$6,IF(CK7=3,'[14]SDG^2 values'!$D$6,IF(CK7=4,'[14]SDG^2 values'!$E$6,IF(CK7=5,'[14]SDG^2 values'!$F$6,1)))))</f>
        <v>1</v>
      </c>
      <c r="CX7" s="52">
        <f>IF(CL7=1,'[14]SDG^2 values'!$B$7,IF(CL7=2,'[14]SDG^2 values'!$C$7,IF(CL7=3,'[14]SDG^2 values'!$D$7,IF(CL7=4,'[14]SDG^2 values'!$E$7,IF(CL7=5,'[14]SDG^2 values'!$F$7,1)))))</f>
        <v>1</v>
      </c>
      <c r="CY7" s="52">
        <f>IF(CM7=1,'[14]SDG^2 values'!$B$8,IF(CM7=2,'[14]SDG^2 values'!$C$8,IF(CM7=3,'[14]SDG^2 values'!$D$8,IF(CM7=4,'[14]SDG^2 values'!$E$8,IF(CM7=5,'[14]SDG^2 values'!$F$8,1)))))</f>
        <v>1</v>
      </c>
      <c r="CZ7" s="52">
        <f>IF(CN7=1,'[14]SDG^2 values'!$B$9,IF(CN7=2,'[14]SDG^2 values'!$C$9,IF(CN7=3,'[14]SDG^2 values'!$D$9,IF(CN7=4,'[14]SDG^2 values'!$E$9,IF(CN7=5,'[14]SDG^2 values'!$F$9,1)))))</f>
        <v>1.05</v>
      </c>
    </row>
    <row r="8" spans="1:104" ht="24">
      <c r="A8" s="226">
        <v>678</v>
      </c>
      <c r="B8" s="168" t="s">
        <v>524</v>
      </c>
      <c r="C8" s="151"/>
      <c r="D8" s="152" t="s">
        <v>526</v>
      </c>
      <c r="E8" s="153" t="s">
        <v>402</v>
      </c>
      <c r="F8" s="144" t="str">
        <f>IF(OR(D8="4",E8="4"),INDEX([14]NamesElementary!$B$1:$B$65536,MATCH(A8,[14]NamesElementary!$A$1:$A$65536,0),1),INDEX([14]Names!$J$1:$J$65602,MATCH(A8,[14]Names!$F$1:$F$65602,0),1))</f>
        <v>tap water, at user</v>
      </c>
      <c r="G8" s="125" t="str">
        <f>IF(OR(D8="4",E8="4"),"-",INDEX([14]Names!$K$1:$K$65602,MATCH(A8,[14]Names!$F$1:$F$65602,0),1))</f>
        <v>CH</v>
      </c>
      <c r="H8" s="154" t="str">
        <f>IF(OR(D8="4",E8="4"),INDEX([14]NamesElementary!$D$1:$D$65536,MATCH($A8,[14]NamesElementary!$A$1:$A$65536,0),1),"-")</f>
        <v>-</v>
      </c>
      <c r="I8" s="123" t="str">
        <f>IF(OR(D8="4",E8="4"),INDEX([14]NamesElementary!$E$1:$E$65536,MATCH($A8,[14]NamesElementary!$A$1:$A$65536,0),1),"-")</f>
        <v>-</v>
      </c>
      <c r="J8" s="124">
        <f>IF(OR(D8="4",E8="4"),"-",INDEX([14]Names!$N$1:$N$65602,MATCH(A8,[14]Names!$F$1:$F$65602,0),1))</f>
        <v>0</v>
      </c>
      <c r="K8" s="125" t="str">
        <f>IF(OR(D8="4",E8="4"),INDEX([14]NamesElementary!$G$1:$G$65536,MATCH(A8,[14]NamesElementary!$A$1:$A$65536,0),1),INDEX([14]Names!$O$1:$O$65602,MATCH(A8,[14]Names!$F$1:$F$65602,0),1))</f>
        <v>kg</v>
      </c>
      <c r="L8" s="155" t="e">
        <f>20*SUMPRODUCT(L10:L23,$CF10:$CF23)</f>
        <v>#REF!</v>
      </c>
      <c r="M8" s="29">
        <f t="shared" si="0"/>
        <v>1</v>
      </c>
      <c r="N8" s="1">
        <f t="shared" si="1"/>
        <v>1.0906744032152329</v>
      </c>
      <c r="O8" s="139" t="str">
        <f t="shared" si="2"/>
        <v>(2,2,1,1,1,3); Estimation 20l/m2 panel</v>
      </c>
      <c r="P8" s="155" t="e">
        <f>20*SUMPRODUCT(P10:P23,$CF10:$CF23)</f>
        <v>#REF!</v>
      </c>
      <c r="Q8" s="29">
        <f t="shared" si="3"/>
        <v>1</v>
      </c>
      <c r="R8" s="1">
        <f t="shared" si="4"/>
        <v>1.0906744032152329</v>
      </c>
      <c r="S8" s="139" t="str">
        <f t="shared" si="5"/>
        <v>(2,2,1,1,1,3); Estimation 20l/m2 panel</v>
      </c>
      <c r="T8" s="155" t="e">
        <f>20*SUMPRODUCT(T10:T23,$CF10:$CF23)</f>
        <v>#REF!</v>
      </c>
      <c r="U8" s="29">
        <f t="shared" si="6"/>
        <v>1</v>
      </c>
      <c r="V8" s="1">
        <f t="shared" si="7"/>
        <v>1.0906744032152329</v>
      </c>
      <c r="W8" s="139" t="str">
        <f t="shared" si="8"/>
        <v>(2,2,1,1,1,3); Estimation 20l/m2 panel</v>
      </c>
      <c r="X8" s="155" t="e">
        <f>20*SUMPRODUCT(X10:X23,$CF10:$CF23)</f>
        <v>#REF!</v>
      </c>
      <c r="Y8" s="29">
        <f t="shared" si="9"/>
        <v>1</v>
      </c>
      <c r="Z8" s="1">
        <f t="shared" si="10"/>
        <v>1.0906744032152329</v>
      </c>
      <c r="AA8" s="139" t="str">
        <f t="shared" si="11"/>
        <v>(2,2,1,1,1,3); Estimation 20l/m2 panel</v>
      </c>
      <c r="AB8" s="155" t="e">
        <f>20*SUMPRODUCT(AB10:AB23,$CF10:$CF23)</f>
        <v>#REF!</v>
      </c>
      <c r="AC8" s="29">
        <f t="shared" si="12"/>
        <v>1</v>
      </c>
      <c r="AD8" s="1">
        <f t="shared" si="13"/>
        <v>1.0906744032152329</v>
      </c>
      <c r="AE8" s="139" t="str">
        <f t="shared" si="14"/>
        <v>(2,2,1,1,1,3); Estimation 20l/m2 panel</v>
      </c>
      <c r="AF8" s="155" t="e">
        <f>20*SUMPRODUCT(AF10:AF23,$CF10:$CF23)</f>
        <v>#REF!</v>
      </c>
      <c r="AG8" s="29">
        <f t="shared" si="15"/>
        <v>1</v>
      </c>
      <c r="AH8" s="1">
        <f t="shared" si="16"/>
        <v>1.0906744032152329</v>
      </c>
      <c r="AI8" s="139" t="str">
        <f t="shared" si="17"/>
        <v>(2,2,1,1,1,3); Estimation 20l/m2 panel</v>
      </c>
      <c r="AJ8" s="155" t="e">
        <f>20*SUMPRODUCT(AJ10:AJ23,$CF10:$CF23)</f>
        <v>#REF!</v>
      </c>
      <c r="AK8" s="29">
        <f t="shared" si="18"/>
        <v>1</v>
      </c>
      <c r="AL8" s="1">
        <f t="shared" si="19"/>
        <v>1.0906744032152329</v>
      </c>
      <c r="AM8" s="31" t="str">
        <f t="shared" si="20"/>
        <v>(2,2,1,1,1,3); Estimation 20l/m2 panel</v>
      </c>
      <c r="AN8" s="155" t="e">
        <f>20*SUMPRODUCT(AN10:AN23,$CF10:$CF23)</f>
        <v>#REF!</v>
      </c>
      <c r="AO8" s="29">
        <f t="shared" si="21"/>
        <v>1</v>
      </c>
      <c r="AP8" s="1">
        <f t="shared" si="22"/>
        <v>1.0906744032152329</v>
      </c>
      <c r="AQ8" s="139" t="str">
        <f t="shared" si="23"/>
        <v>(2,2,1,1,1,3); Estimation 20l/m2 panel</v>
      </c>
      <c r="AR8" s="155" t="e">
        <f>20*SUMPRODUCT(AR10:AR23,$CF10:$CF23)</f>
        <v>#REF!</v>
      </c>
      <c r="AS8" s="29">
        <f t="shared" si="24"/>
        <v>1</v>
      </c>
      <c r="AT8" s="1">
        <f t="shared" si="25"/>
        <v>1.0906744032152329</v>
      </c>
      <c r="AU8" s="31" t="str">
        <f t="shared" si="26"/>
        <v>(2,2,1,1,1,3); Estimation 20l/m2 panel</v>
      </c>
      <c r="AV8" s="155" t="e">
        <f>20*SUMPRODUCT(AV10:AV23,$CF10:$CF23)</f>
        <v>#REF!</v>
      </c>
      <c r="AW8" s="29">
        <f t="shared" si="27"/>
        <v>1</v>
      </c>
      <c r="AX8" s="1">
        <f t="shared" si="28"/>
        <v>1.0906744032152329</v>
      </c>
      <c r="AY8" s="139" t="str">
        <f t="shared" si="29"/>
        <v>(2,2,1,1,1,3); Estimation 20l/m2 panel</v>
      </c>
      <c r="AZ8" s="155" t="e">
        <f>20*SUMPRODUCT(AZ10:AZ23,$CF10:$CF23)</f>
        <v>#REF!</v>
      </c>
      <c r="BA8" s="29">
        <f t="shared" si="30"/>
        <v>1</v>
      </c>
      <c r="BB8" s="1">
        <f t="shared" si="31"/>
        <v>1.0906744032152329</v>
      </c>
      <c r="BC8" s="139" t="str">
        <f t="shared" si="32"/>
        <v>(2,2,1,1,1,3); Estimation 20l/m2 panel</v>
      </c>
      <c r="BD8" s="155" t="e">
        <f>20*SUMPRODUCT(BD10:BD23,$CF10:$CF23)</f>
        <v>#REF!</v>
      </c>
      <c r="BE8" s="29">
        <f t="shared" si="33"/>
        <v>1</v>
      </c>
      <c r="BF8" s="1">
        <f t="shared" si="34"/>
        <v>1.0906744032152329</v>
      </c>
      <c r="BG8" s="139" t="str">
        <f t="shared" si="35"/>
        <v>(2,2,1,1,1,3); Estimation 20l/m2 panel</v>
      </c>
      <c r="BH8" s="29">
        <f t="shared" si="36"/>
        <v>1</v>
      </c>
      <c r="BI8" s="1">
        <f t="shared" si="37"/>
        <v>1.0906744032152329</v>
      </c>
      <c r="BJ8" s="139" t="str">
        <f t="shared" si="38"/>
        <v>(2,2,1,1,1,3); Estimation 20l/m2 panel</v>
      </c>
      <c r="BK8" s="155" t="e">
        <f>20*SUMPRODUCT(BK10:BK23,$CF10:$CF23)</f>
        <v>#REF!</v>
      </c>
      <c r="BL8" s="29">
        <f t="shared" si="39"/>
        <v>1</v>
      </c>
      <c r="BM8" s="1">
        <f t="shared" si="40"/>
        <v>1.0906744032152329</v>
      </c>
      <c r="BN8" s="139" t="str">
        <f t="shared" si="41"/>
        <v>(2,2,1,1,1,3); Estimation 20l/m2 panel</v>
      </c>
      <c r="BO8" s="155" t="e">
        <f>20*SUMPRODUCT(BO10:BO23,$CF10:$CF23)</f>
        <v>#REF!</v>
      </c>
      <c r="BP8" s="29">
        <f t="shared" si="42"/>
        <v>1</v>
      </c>
      <c r="BQ8" s="1">
        <f t="shared" si="43"/>
        <v>1.0906744032152329</v>
      </c>
      <c r="BR8" s="139" t="str">
        <f t="shared" si="44"/>
        <v>(2,2,1,1,1,3); Estimation 20l/m2 panel</v>
      </c>
      <c r="BS8" s="155" t="e">
        <f>20*SUMPRODUCT(BS10:BS25,$CF10:$CF25)</f>
        <v>#REF!</v>
      </c>
      <c r="BT8" s="29">
        <f t="shared" si="45"/>
        <v>1</v>
      </c>
      <c r="BU8" s="1">
        <f t="shared" si="46"/>
        <v>1.0906744032152329</v>
      </c>
      <c r="BV8" s="139" t="str">
        <f t="shared" si="47"/>
        <v>(2,2,1,1,1,3); Estimation 20l/m2 panel</v>
      </c>
      <c r="BW8" s="155" t="e">
        <f>20*SUMPRODUCT(BW10:BW25,$CF10:$CF25)</f>
        <v>#REF!</v>
      </c>
      <c r="BX8" s="29">
        <f t="shared" si="48"/>
        <v>1</v>
      </c>
      <c r="BY8" s="1">
        <f t="shared" si="49"/>
        <v>1.0906744032152329</v>
      </c>
      <c r="BZ8" s="31" t="str">
        <f t="shared" si="50"/>
        <v>(2,2,1,1,1,3); Estimation 20l/m2 panel</v>
      </c>
      <c r="CA8" s="155" t="e">
        <f>20*SUMPRODUCT(CA10:CA23,$CF10:$CF23)</f>
        <v>#REF!</v>
      </c>
      <c r="CB8" s="29">
        <v>1</v>
      </c>
      <c r="CC8" s="1">
        <f t="shared" si="51"/>
        <v>1.0906744032152329</v>
      </c>
      <c r="CD8" s="31" t="str">
        <f>CS8&amp;"; "&amp;CH8</f>
        <v>(2,2,1,1,1,3); Estimation 20l/m2 panel</v>
      </c>
      <c r="CE8" s="199"/>
      <c r="CF8" s="199"/>
      <c r="CG8" s="199"/>
      <c r="CH8" s="115" t="s">
        <v>23</v>
      </c>
      <c r="CI8" s="10">
        <v>2</v>
      </c>
      <c r="CJ8" s="50">
        <v>2</v>
      </c>
      <c r="CK8" s="50">
        <v>1</v>
      </c>
      <c r="CL8" s="50">
        <v>1</v>
      </c>
      <c r="CM8" s="50">
        <v>1</v>
      </c>
      <c r="CN8" s="50">
        <v>3</v>
      </c>
      <c r="CO8" s="50">
        <f>IF(OR($D8="4",$E8="4"),INDEX([14]NamesElementary!$J$1:$J$65536,MATCH($A8,[14]NamesElementary!$A$1:$A$65536,0),1),INDEX([14]Names!$W$1:$W$65602,MATCH($A8,[14]Names!$F$1:$F$65602,0),1))</f>
        <v>3</v>
      </c>
      <c r="CP8" s="51">
        <f>INDEX([14]BasicUncertainty!$H$1:$H$65536,MATCH(CO8,[14]BasicUncertainty!$B$1:$B$65536,0),1)</f>
        <v>1.05</v>
      </c>
      <c r="CQ8" s="87">
        <f>EXP(SQRT((LN(CU8)^2)+(LN(CV8)^2)+(LN(CW8)^2)+(LN(CX8)^2)+(LN(CY8)^2)+(LN(CZ8)^2)))</f>
        <v>1.0744244531716256</v>
      </c>
      <c r="CR8" s="88">
        <f>EXP(SQRT((LN(CU8)^2)+(LN(CV8)^2)+(LN(CW8)^2)+(LN(CX8)^2)+(LN(CY8)^2)+(LN(CZ8)^2)+LN(CP8)^2))</f>
        <v>1.0906744032152329</v>
      </c>
      <c r="CS8" s="89" t="str">
        <f>CONCATENATE("(",CI8,",",CJ8,",",CK8,",",CL8,",",CM8,",",CN8,")")</f>
        <v>(2,2,1,1,1,3)</v>
      </c>
      <c r="CU8" s="52">
        <f>IF(CI8=1,'[14]SDG^2 values'!$B$4,IF(CI8=2,'[14]SDG^2 values'!$C$4,IF(CI8=3,'[14]SDG^2 values'!$D$4,IF(CI8=4,'[14]SDG^2 values'!$E$4,IF(CI8=5,'[14]SDG^2 values'!$F$4,1)))))</f>
        <v>1.05</v>
      </c>
      <c r="CV8" s="52">
        <f>IF(CJ8=1,'[14]SDG^2 values'!$B$5,IF(CJ8=2,'[14]SDG^2 values'!$C$5,IF(CJ8=3,'[14]SDG^2 values'!$D$5,IF(CJ8=4,'[14]SDG^2 values'!$E$5,IF(CJ8=5,'[14]SDG^2 values'!$F$5,1)))))</f>
        <v>1.02</v>
      </c>
      <c r="CW8" s="52">
        <f>IF(CK8=1,'[14]SDG^2 values'!$B$6,IF(CK8=2,'[14]SDG^2 values'!$C$6,IF(CK8=3,'[14]SDG^2 values'!$D$6,IF(CK8=4,'[14]SDG^2 values'!$E$6,IF(CK8=5,'[14]SDG^2 values'!$F$6,1)))))</f>
        <v>1</v>
      </c>
      <c r="CX8" s="52">
        <f>IF(CL8=1,'[14]SDG^2 values'!$B$7,IF(CL8=2,'[14]SDG^2 values'!$C$7,IF(CL8=3,'[14]SDG^2 values'!$D$7,IF(CL8=4,'[14]SDG^2 values'!$E$7,IF(CL8=5,'[14]SDG^2 values'!$F$7,1)))))</f>
        <v>1</v>
      </c>
      <c r="CY8" s="52">
        <f>IF(CM8=1,'[14]SDG^2 values'!$B$8,IF(CM8=2,'[14]SDG^2 values'!$C$8,IF(CM8=3,'[14]SDG^2 values'!$D$8,IF(CM8=4,'[14]SDG^2 values'!$E$8,IF(CM8=5,'[14]SDG^2 values'!$F$8,1)))))</f>
        <v>1</v>
      </c>
      <c r="CZ8" s="52">
        <f>IF(CN8=1,'[14]SDG^2 values'!$B$9,IF(CN8=2,'[14]SDG^2 values'!$C$9,IF(CN8=3,'[14]SDG^2 values'!$D$9,IF(CN8=4,'[14]SDG^2 values'!$E$9,IF(CN8=5,'[14]SDG^2 values'!$F$9,1)))))</f>
        <v>1.05</v>
      </c>
    </row>
    <row r="9" spans="1:104" ht="24">
      <c r="A9" s="2">
        <v>1750</v>
      </c>
      <c r="B9" s="168"/>
      <c r="C9" s="151"/>
      <c r="D9" s="152" t="s">
        <v>526</v>
      </c>
      <c r="E9" s="153" t="s">
        <v>402</v>
      </c>
      <c r="F9" s="144" t="str">
        <f>IF(OR(D9="4",E9="4"),INDEX([14]NamesElementary!$B$1:$B$65536,MATCH(A9,[14]NamesElementary!$A$1:$A$65536,0),1),INDEX([14]Names!$J$1:$J$65602,MATCH(A9,[14]Names!$F$1:$F$65602,0),1))</f>
        <v>treatment, sewage, from residence, to wastewater treatment, class 2</v>
      </c>
      <c r="G9" s="125" t="str">
        <f>IF(OR(D9="4",E9="4"),"-",INDEX([14]Names!$K$1:$K$65602,MATCH(A9,[14]Names!$F$1:$F$65602,0),1))</f>
        <v>CH</v>
      </c>
      <c r="H9" s="154" t="str">
        <f>IF(OR(D9="4",E9="4"),INDEX([14]NamesElementary!$D$1:$D$65536,MATCH($A9,[14]NamesElementary!$A$1:$A$65536,0),1),"-")</f>
        <v>-</v>
      </c>
      <c r="I9" s="123" t="str">
        <f>IF(OR(D9="4",E9="4"),INDEX([14]NamesElementary!$E$1:$E$65536,MATCH($A9,[14]NamesElementary!$A$1:$A$65536,0),1),"-")</f>
        <v>-</v>
      </c>
      <c r="J9" s="124">
        <f>IF(OR(D9="4",E9="4"),"-",INDEX([14]Names!$N$1:$N$65602,MATCH(A9,[14]Names!$F$1:$F$65602,0),1))</f>
        <v>0</v>
      </c>
      <c r="K9" s="125" t="str">
        <f>IF(OR(D9="4",E9="4"),INDEX([14]NamesElementary!$G$1:$G$65536,MATCH(A9,[14]NamesElementary!$A$1:$A$65536,0),1),INDEX([14]Names!$O$1:$O$65602,MATCH(A9,[14]Names!$F$1:$F$65602,0),1))</f>
        <v>m3</v>
      </c>
      <c r="L9" s="155" t="e">
        <f>L8/1000</f>
        <v>#REF!</v>
      </c>
      <c r="M9" s="29">
        <f t="shared" si="0"/>
        <v>1</v>
      </c>
      <c r="N9" s="1">
        <f t="shared" si="1"/>
        <v>1.0906744032152329</v>
      </c>
      <c r="O9" s="139" t="str">
        <f t="shared" si="2"/>
        <v>(2,2,1,1,1,3); Estimation 20l/m2 panel</v>
      </c>
      <c r="P9" s="155" t="e">
        <f>P8/1000</f>
        <v>#REF!</v>
      </c>
      <c r="Q9" s="29">
        <f t="shared" si="3"/>
        <v>1</v>
      </c>
      <c r="R9" s="1">
        <f t="shared" si="4"/>
        <v>1.0906744032152329</v>
      </c>
      <c r="S9" s="139" t="str">
        <f t="shared" si="5"/>
        <v>(2,2,1,1,1,3); Estimation 20l/m2 panel</v>
      </c>
      <c r="T9" s="155" t="e">
        <f>T8/1000</f>
        <v>#REF!</v>
      </c>
      <c r="U9" s="29">
        <f t="shared" si="6"/>
        <v>1</v>
      </c>
      <c r="V9" s="1">
        <f t="shared" si="7"/>
        <v>1.0906744032152329</v>
      </c>
      <c r="W9" s="139" t="str">
        <f t="shared" si="8"/>
        <v>(2,2,1,1,1,3); Estimation 20l/m2 panel</v>
      </c>
      <c r="X9" s="155" t="e">
        <f>X8/1000</f>
        <v>#REF!</v>
      </c>
      <c r="Y9" s="29">
        <f t="shared" si="9"/>
        <v>1</v>
      </c>
      <c r="Z9" s="1">
        <f t="shared" si="10"/>
        <v>1.0906744032152329</v>
      </c>
      <c r="AA9" s="139" t="str">
        <f t="shared" si="11"/>
        <v>(2,2,1,1,1,3); Estimation 20l/m2 panel</v>
      </c>
      <c r="AB9" s="155" t="e">
        <f>AB8/1000</f>
        <v>#REF!</v>
      </c>
      <c r="AC9" s="29">
        <f t="shared" si="12"/>
        <v>1</v>
      </c>
      <c r="AD9" s="1">
        <f t="shared" si="13"/>
        <v>1.0906744032152329</v>
      </c>
      <c r="AE9" s="139" t="str">
        <f t="shared" si="14"/>
        <v>(2,2,1,1,1,3); Estimation 20l/m2 panel</v>
      </c>
      <c r="AF9" s="155" t="e">
        <f>AF8/1000</f>
        <v>#REF!</v>
      </c>
      <c r="AG9" s="29">
        <f t="shared" si="15"/>
        <v>1</v>
      </c>
      <c r="AH9" s="1">
        <f t="shared" si="16"/>
        <v>1.0906744032152329</v>
      </c>
      <c r="AI9" s="139" t="str">
        <f t="shared" si="17"/>
        <v>(2,2,1,1,1,3); Estimation 20l/m2 panel</v>
      </c>
      <c r="AJ9" s="155" t="e">
        <f>AJ8/1000</f>
        <v>#REF!</v>
      </c>
      <c r="AK9" s="29">
        <f t="shared" si="18"/>
        <v>1</v>
      </c>
      <c r="AL9" s="1">
        <f t="shared" si="19"/>
        <v>1.0906744032152329</v>
      </c>
      <c r="AM9" s="31" t="str">
        <f t="shared" si="20"/>
        <v>(2,2,1,1,1,3); Estimation 20l/m2 panel</v>
      </c>
      <c r="AN9" s="155" t="e">
        <f>AN8/1000</f>
        <v>#REF!</v>
      </c>
      <c r="AO9" s="29">
        <f t="shared" si="21"/>
        <v>1</v>
      </c>
      <c r="AP9" s="1">
        <f t="shared" si="22"/>
        <v>1.0906744032152329</v>
      </c>
      <c r="AQ9" s="139" t="str">
        <f t="shared" si="23"/>
        <v>(2,2,1,1,1,3); Estimation 20l/m2 panel</v>
      </c>
      <c r="AR9" s="155" t="e">
        <f>AR8/1000</f>
        <v>#REF!</v>
      </c>
      <c r="AS9" s="29">
        <f t="shared" si="24"/>
        <v>1</v>
      </c>
      <c r="AT9" s="1">
        <f t="shared" si="25"/>
        <v>1.0906744032152329</v>
      </c>
      <c r="AU9" s="31" t="str">
        <f t="shared" si="26"/>
        <v>(2,2,1,1,1,3); Estimation 20l/m2 panel</v>
      </c>
      <c r="AV9" s="155" t="e">
        <f>AV8/1000</f>
        <v>#REF!</v>
      </c>
      <c r="AW9" s="29">
        <f t="shared" si="27"/>
        <v>1</v>
      </c>
      <c r="AX9" s="1">
        <f t="shared" si="28"/>
        <v>1.0906744032152329</v>
      </c>
      <c r="AY9" s="139" t="str">
        <f t="shared" si="29"/>
        <v>(2,2,1,1,1,3); Estimation 20l/m2 panel</v>
      </c>
      <c r="AZ9" s="155" t="e">
        <f>AZ8/1000</f>
        <v>#REF!</v>
      </c>
      <c r="BA9" s="29">
        <f t="shared" si="30"/>
        <v>1</v>
      </c>
      <c r="BB9" s="1">
        <f t="shared" si="31"/>
        <v>1.0906744032152329</v>
      </c>
      <c r="BC9" s="139" t="str">
        <f t="shared" si="32"/>
        <v>(2,2,1,1,1,3); Estimation 20l/m2 panel</v>
      </c>
      <c r="BD9" s="155" t="e">
        <f>BD8/1000</f>
        <v>#REF!</v>
      </c>
      <c r="BE9" s="29">
        <f t="shared" si="33"/>
        <v>1</v>
      </c>
      <c r="BF9" s="1">
        <f t="shared" si="34"/>
        <v>1.0906744032152329</v>
      </c>
      <c r="BG9" s="139" t="str">
        <f t="shared" si="35"/>
        <v>(2,2,1,1,1,3); Estimation 20l/m2 panel</v>
      </c>
      <c r="BH9" s="29">
        <f t="shared" si="36"/>
        <v>1</v>
      </c>
      <c r="BI9" s="1">
        <f t="shared" si="37"/>
        <v>1.0906744032152329</v>
      </c>
      <c r="BJ9" s="139" t="str">
        <f t="shared" si="38"/>
        <v>(2,2,1,1,1,3); Estimation 20l/m2 panel</v>
      </c>
      <c r="BK9" s="155" t="e">
        <f>BK8/1000</f>
        <v>#REF!</v>
      </c>
      <c r="BL9" s="29">
        <f t="shared" si="39"/>
        <v>1</v>
      </c>
      <c r="BM9" s="1">
        <f t="shared" si="40"/>
        <v>1.0906744032152329</v>
      </c>
      <c r="BN9" s="139" t="str">
        <f t="shared" si="41"/>
        <v>(2,2,1,1,1,3); Estimation 20l/m2 panel</v>
      </c>
      <c r="BO9" s="155" t="e">
        <f>BO8/1000</f>
        <v>#REF!</v>
      </c>
      <c r="BP9" s="29">
        <f t="shared" si="42"/>
        <v>1</v>
      </c>
      <c r="BQ9" s="1">
        <f t="shared" si="43"/>
        <v>1.0906744032152329</v>
      </c>
      <c r="BR9" s="139" t="str">
        <f t="shared" si="44"/>
        <v>(2,2,1,1,1,3); Estimation 20l/m2 panel</v>
      </c>
      <c r="BS9" s="354" t="e">
        <f>BS8/1000</f>
        <v>#REF!</v>
      </c>
      <c r="BT9" s="29">
        <f t="shared" si="45"/>
        <v>1</v>
      </c>
      <c r="BU9" s="1">
        <f t="shared" si="46"/>
        <v>1.0906744032152329</v>
      </c>
      <c r="BV9" s="139" t="str">
        <f t="shared" si="47"/>
        <v>(2,2,1,1,1,3); Estimation 20l/m2 panel</v>
      </c>
      <c r="BW9" s="354" t="e">
        <f>BW8/1000</f>
        <v>#REF!</v>
      </c>
      <c r="BX9" s="29">
        <f t="shared" si="48"/>
        <v>1</v>
      </c>
      <c r="BY9" s="1">
        <f t="shared" si="49"/>
        <v>1.0906744032152329</v>
      </c>
      <c r="BZ9" s="31" t="str">
        <f t="shared" si="50"/>
        <v>(2,2,1,1,1,3); Estimation 20l/m2 panel</v>
      </c>
      <c r="CA9" s="155" t="e">
        <f>CA8/1000</f>
        <v>#REF!</v>
      </c>
      <c r="CB9" s="29">
        <v>1</v>
      </c>
      <c r="CC9" s="1">
        <f t="shared" si="51"/>
        <v>1.0906744032152329</v>
      </c>
      <c r="CD9" s="31" t="str">
        <f>CS9&amp;"; "&amp;CH9</f>
        <v>(2,2,1,1,1,3); Estimation 20l/m2 panel</v>
      </c>
      <c r="CE9" s="199"/>
      <c r="CF9" s="199"/>
      <c r="CG9" s="199"/>
      <c r="CH9" s="115" t="s">
        <v>23</v>
      </c>
      <c r="CI9" s="10">
        <v>2</v>
      </c>
      <c r="CJ9" s="50">
        <v>2</v>
      </c>
      <c r="CK9" s="50">
        <v>1</v>
      </c>
      <c r="CL9" s="50">
        <v>1</v>
      </c>
      <c r="CM9" s="50">
        <v>1</v>
      </c>
      <c r="CN9" s="50">
        <v>3</v>
      </c>
      <c r="CO9" s="50">
        <f>IF(OR($D9="4",$E9="4"),INDEX([14]NamesElementary!$J$1:$J$65536,MATCH($A9,[14]NamesElementary!$A$1:$A$65536,0),1),INDEX([14]Names!$W$1:$W$65602,MATCH($A9,[14]Names!$F$1:$F$65602,0),1))</f>
        <v>6</v>
      </c>
      <c r="CP9" s="51">
        <f>INDEX([14]BasicUncertainty!$H$1:$H$65536,MATCH(CO9,[14]BasicUncertainty!$B$1:$B$65536,0),1)</f>
        <v>1.05</v>
      </c>
      <c r="CQ9" s="87">
        <f>EXP(SQRT((LN(CU9)^2)+(LN(CV9)^2)+(LN(CW9)^2)+(LN(CX9)^2)+(LN(CY9)^2)+(LN(CZ9)^2)))</f>
        <v>1.0744244531716256</v>
      </c>
      <c r="CR9" s="88">
        <f>EXP(SQRT((LN(CU9)^2)+(LN(CV9)^2)+(LN(CW9)^2)+(LN(CX9)^2)+(LN(CY9)^2)+(LN(CZ9)^2)+LN(CP9)^2))</f>
        <v>1.0906744032152329</v>
      </c>
      <c r="CS9" s="89" t="str">
        <f>CONCATENATE("(",CI9,",",CJ9,",",CK9,",",CL9,",",CM9,",",CN9,")")</f>
        <v>(2,2,1,1,1,3)</v>
      </c>
      <c r="CU9" s="52">
        <f>IF(CI9=1,'[14]SDG^2 values'!$B$4,IF(CI9=2,'[14]SDG^2 values'!$C$4,IF(CI9=3,'[14]SDG^2 values'!$D$4,IF(CI9=4,'[14]SDG^2 values'!$E$4,IF(CI9=5,'[14]SDG^2 values'!$F$4,1)))))</f>
        <v>1.05</v>
      </c>
      <c r="CV9" s="52">
        <f>IF(CJ9=1,'[14]SDG^2 values'!$B$5,IF(CJ9=2,'[14]SDG^2 values'!$C$5,IF(CJ9=3,'[14]SDG^2 values'!$D$5,IF(CJ9=4,'[14]SDG^2 values'!$E$5,IF(CJ9=5,'[14]SDG^2 values'!$F$5,1)))))</f>
        <v>1.02</v>
      </c>
      <c r="CW9" s="52">
        <f>IF(CK9=1,'[14]SDG^2 values'!$B$6,IF(CK9=2,'[14]SDG^2 values'!$C$6,IF(CK9=3,'[14]SDG^2 values'!$D$6,IF(CK9=4,'[14]SDG^2 values'!$E$6,IF(CK9=5,'[14]SDG^2 values'!$F$6,1)))))</f>
        <v>1</v>
      </c>
      <c r="CX9" s="52">
        <f>IF(CL9=1,'[14]SDG^2 values'!$B$7,IF(CL9=2,'[14]SDG^2 values'!$C$7,IF(CL9=3,'[14]SDG^2 values'!$D$7,IF(CL9=4,'[14]SDG^2 values'!$E$7,IF(CL9=5,'[14]SDG^2 values'!$F$7,1)))))</f>
        <v>1</v>
      </c>
      <c r="CY9" s="52">
        <f>IF(CM9=1,'[14]SDG^2 values'!$B$8,IF(CM9=2,'[14]SDG^2 values'!$C$8,IF(CM9=3,'[14]SDG^2 values'!$D$8,IF(CM9=4,'[14]SDG^2 values'!$E$8,IF(CM9=5,'[14]SDG^2 values'!$F$8,1)))))</f>
        <v>1</v>
      </c>
      <c r="CZ9" s="52">
        <f>IF(CN9=1,'[14]SDG^2 values'!$B$9,IF(CN9=2,'[14]SDG^2 values'!$C$9,IF(CN9=3,'[14]SDG^2 values'!$D$9,IF(CN9=4,'[14]SDG^2 values'!$E$9,IF(CN9=5,'[14]SDG^2 values'!$F$9,1)))))</f>
        <v>1.05</v>
      </c>
    </row>
    <row r="10" spans="1:104" ht="48">
      <c r="A10" s="156">
        <v>1310</v>
      </c>
      <c r="B10" s="168"/>
      <c r="C10" s="151"/>
      <c r="D10" s="152" t="s">
        <v>526</v>
      </c>
      <c r="E10" s="153" t="s">
        <v>402</v>
      </c>
      <c r="F10" s="144" t="str">
        <f>IF(OR(D10="4",E10="4"),INDEX([14]NamesElementary!$B$1:$B$65536,MATCH(A10,[14]NamesElementary!$A$1:$A$65536,0),1),INDEX([14]Names!$J$1:$J$65602,MATCH(A10,[14]Names!$F$1:$F$65602,0),1))</f>
        <v>3kWp facade installation, single-Si, laminated, integrated, at building</v>
      </c>
      <c r="G10" s="125" t="str">
        <f>IF(OR(D10="4",E10="4"),"-",INDEX([14]Names!$K$1:$K$65602,MATCH(A10,[14]Names!$F$1:$F$65602,0),1))</f>
        <v>CH</v>
      </c>
      <c r="H10" s="154" t="str">
        <f>IF(OR(D10="4",E10="4"),INDEX([14]NamesElementary!$D$1:$D$65536,MATCH($A10,[14]NamesElementary!$A$1:$A$65536,0),1),"-")</f>
        <v>-</v>
      </c>
      <c r="I10" s="123" t="str">
        <f>IF(OR(D10="4",E10="4"),INDEX([14]NamesElementary!$E$1:$E$65536,MATCH($A10,[14]NamesElementary!$A$1:$A$65536,0),1),"-")</f>
        <v>-</v>
      </c>
      <c r="J10" s="124">
        <f>IF(OR(D10="4",E10="4"),"-",INDEX([14]Names!$N$1:$N$65602,MATCH(A10,[14]Names!$F$1:$F$65602,0),1))</f>
        <v>1</v>
      </c>
      <c r="K10" s="125" t="str">
        <f>IF(OR(D10="4",E10="4"),INDEX([14]NamesElementary!$G$1:$G$65536,MATCH(A10,[14]NamesElementary!$A$1:$A$65536,0),1),INDEX([14]Names!$O$1:$O$65602,MATCH(A10,[14]Names!$F$1:$F$65602,0),1))</f>
        <v>unit</v>
      </c>
      <c r="L10" s="155" t="e">
        <f>1/(Fassade*3*lifetime)</f>
        <v>#REF!</v>
      </c>
      <c r="M10" s="29">
        <f t="shared" si="0"/>
        <v>1</v>
      </c>
      <c r="N10" s="1">
        <f t="shared" si="1"/>
        <v>1.2365959919080913</v>
      </c>
      <c r="O10" s="139" t="str">
        <f t="shared" si="2"/>
        <v>(3,2,1,1,1,3); yield at good installation, average is lower while optimum would be higher, basic uncertainty = 1.2</v>
      </c>
      <c r="P10" s="155">
        <v>0</v>
      </c>
      <c r="Q10" s="29">
        <f t="shared" si="3"/>
        <v>1</v>
      </c>
      <c r="R10" s="1">
        <f t="shared" si="4"/>
        <v>1.2365959919080913</v>
      </c>
      <c r="S10" s="139" t="str">
        <f t="shared" si="5"/>
        <v>(3,2,1,1,1,3); yield at good installation, average is lower while optimum would be higher, basic uncertainty = 1.2</v>
      </c>
      <c r="T10" s="155">
        <v>0</v>
      </c>
      <c r="U10" s="29">
        <f t="shared" si="6"/>
        <v>1</v>
      </c>
      <c r="V10" s="1">
        <f t="shared" si="7"/>
        <v>1.2365959919080913</v>
      </c>
      <c r="W10" s="139" t="str">
        <f t="shared" si="8"/>
        <v>(3,2,1,1,1,3); yield at good installation, average is lower while optimum would be higher, basic uncertainty = 1.2</v>
      </c>
      <c r="X10" s="155">
        <v>0</v>
      </c>
      <c r="Y10" s="29">
        <f t="shared" si="9"/>
        <v>1</v>
      </c>
      <c r="Z10" s="1">
        <f t="shared" si="10"/>
        <v>1.2365959919080913</v>
      </c>
      <c r="AA10" s="139" t="str">
        <f t="shared" si="11"/>
        <v>(3,2,1,1,1,3); yield at good installation, average is lower while optimum would be higher, basic uncertainty = 1.2</v>
      </c>
      <c r="AB10" s="155">
        <v>0</v>
      </c>
      <c r="AC10" s="29">
        <f t="shared" si="12"/>
        <v>1</v>
      </c>
      <c r="AD10" s="1">
        <f t="shared" si="13"/>
        <v>1.2365959919080913</v>
      </c>
      <c r="AE10" s="139" t="str">
        <f t="shared" si="14"/>
        <v>(3,2,1,1,1,3); yield at good installation, average is lower while optimum would be higher, basic uncertainty = 1.2</v>
      </c>
      <c r="AF10" s="155">
        <v>0</v>
      </c>
      <c r="AG10" s="29">
        <f t="shared" si="15"/>
        <v>1</v>
      </c>
      <c r="AH10" s="1">
        <f t="shared" si="16"/>
        <v>1.2365959919080913</v>
      </c>
      <c r="AI10" s="139" t="str">
        <f t="shared" si="17"/>
        <v>(3,2,1,1,1,3); yield at good installation, average is lower while optimum would be higher, basic uncertainty = 1.2</v>
      </c>
      <c r="AJ10" s="155">
        <v>0</v>
      </c>
      <c r="AK10" s="29">
        <f t="shared" si="18"/>
        <v>1</v>
      </c>
      <c r="AL10" s="1">
        <f t="shared" si="19"/>
        <v>1.2365959919080913</v>
      </c>
      <c r="AM10" s="31" t="str">
        <f t="shared" si="20"/>
        <v>(3,2,1,1,1,3); yield at good installation, average is lower while optimum would be higher, basic uncertainty = 1.2</v>
      </c>
      <c r="AN10" s="155">
        <v>0</v>
      </c>
      <c r="AO10" s="29">
        <f t="shared" si="21"/>
        <v>1</v>
      </c>
      <c r="AP10" s="1">
        <f t="shared" si="22"/>
        <v>1.2365959919080913</v>
      </c>
      <c r="AQ10" s="139" t="str">
        <f t="shared" si="23"/>
        <v>(3,2,1,1,1,3); yield at good installation, average is lower while optimum would be higher, basic uncertainty = 1.2</v>
      </c>
      <c r="AR10" s="155">
        <v>0</v>
      </c>
      <c r="AS10" s="29">
        <f t="shared" si="24"/>
        <v>1</v>
      </c>
      <c r="AT10" s="1">
        <f t="shared" si="25"/>
        <v>1.2365959919080913</v>
      </c>
      <c r="AU10" s="31" t="str">
        <f t="shared" si="26"/>
        <v>(3,2,1,1,1,3); yield at good installation, average is lower while optimum would be higher, basic uncertainty = 1.2</v>
      </c>
      <c r="AV10" s="155">
        <v>0</v>
      </c>
      <c r="AW10" s="29">
        <f t="shared" si="27"/>
        <v>1</v>
      </c>
      <c r="AX10" s="1">
        <f t="shared" si="28"/>
        <v>1.2365959919080913</v>
      </c>
      <c r="AY10" s="139" t="str">
        <f t="shared" si="29"/>
        <v>(3,2,1,1,1,3); yield at good installation, average is lower while optimum would be higher, basic uncertainty = 1.2</v>
      </c>
      <c r="AZ10" s="155">
        <v>0</v>
      </c>
      <c r="BA10" s="29">
        <f t="shared" si="30"/>
        <v>1</v>
      </c>
      <c r="BB10" s="1">
        <f t="shared" si="31"/>
        <v>1.2365959919080913</v>
      </c>
      <c r="BC10" s="139" t="str">
        <f t="shared" si="32"/>
        <v>(3,2,1,1,1,3); yield at good installation, average is lower while optimum would be higher, basic uncertainty = 1.2</v>
      </c>
      <c r="BD10" s="155">
        <v>0</v>
      </c>
      <c r="BE10" s="29">
        <f t="shared" si="33"/>
        <v>1</v>
      </c>
      <c r="BF10" s="1">
        <f t="shared" si="34"/>
        <v>1.2365959919080913</v>
      </c>
      <c r="BG10" s="139" t="str">
        <f t="shared" si="35"/>
        <v>(3,2,1,1,1,3); yield at good installation, average is lower while optimum would be higher, basic uncertainty = 1.2</v>
      </c>
      <c r="BH10" s="29">
        <f t="shared" si="36"/>
        <v>1</v>
      </c>
      <c r="BI10" s="1">
        <f t="shared" si="37"/>
        <v>1.2365959919080913</v>
      </c>
      <c r="BJ10" s="139" t="str">
        <f t="shared" si="38"/>
        <v>(3,2,1,1,1,3); yield at good installation, average is lower while optimum would be higher, basic uncertainty = 1.2</v>
      </c>
      <c r="BK10" s="155">
        <v>0</v>
      </c>
      <c r="BL10" s="29">
        <f t="shared" si="39"/>
        <v>1</v>
      </c>
      <c r="BM10" s="1">
        <f t="shared" si="40"/>
        <v>1.2365959919080913</v>
      </c>
      <c r="BN10" s="139" t="str">
        <f t="shared" si="41"/>
        <v>(3,2,1,1,1,3); yield at good installation, average is lower while optimum would be higher, basic uncertainty = 1.2</v>
      </c>
      <c r="BO10" s="155">
        <v>0</v>
      </c>
      <c r="BP10" s="29">
        <f t="shared" si="42"/>
        <v>1</v>
      </c>
      <c r="BQ10" s="1">
        <f t="shared" si="43"/>
        <v>1.2365959919080913</v>
      </c>
      <c r="BR10" s="139" t="str">
        <f t="shared" si="44"/>
        <v>(3,2,1,1,1,3); yield at good installation, average is lower while optimum would be higher, basic uncertainty = 1.2</v>
      </c>
      <c r="BS10" s="155">
        <v>0</v>
      </c>
      <c r="BT10" s="29">
        <f t="shared" si="45"/>
        <v>1</v>
      </c>
      <c r="BU10" s="1">
        <f t="shared" si="46"/>
        <v>1.2365959919080913</v>
      </c>
      <c r="BV10" s="139" t="str">
        <f t="shared" si="47"/>
        <v>(3,2,1,1,1,3); yield at good installation, average is lower while optimum would be higher, basic uncertainty = 1.2</v>
      </c>
      <c r="BW10" s="155">
        <v>0</v>
      </c>
      <c r="BX10" s="29">
        <f t="shared" si="48"/>
        <v>1</v>
      </c>
      <c r="BY10" s="1">
        <f t="shared" si="49"/>
        <v>1.2365959919080913</v>
      </c>
      <c r="BZ10" s="31" t="str">
        <f t="shared" si="50"/>
        <v>(3,2,1,1,1,3); yield at good installation, average is lower while optimum would be higher, basic uncertainty = 1.2</v>
      </c>
      <c r="CA10" s="155" t="e">
        <f>1/(#REF!*3*lifetime)*CE10</f>
        <v>#REF!</v>
      </c>
      <c r="CB10" s="29">
        <v>1</v>
      </c>
      <c r="CC10" s="1">
        <f t="shared" si="51"/>
        <v>1.2365959919080913</v>
      </c>
      <c r="CD10" s="31" t="str">
        <f>CS10&amp;"; average yield, estimation for share of technologies. Basic uncertainty = "&amp;CP10</f>
        <v>(3,2,1,1,1,3); average yield, estimation for share of technologies. Basic uncertainty = 1.2</v>
      </c>
      <c r="CE10" s="287" t="e">
        <f>#REF!</f>
        <v>#REF!</v>
      </c>
      <c r="CF10" s="289" t="e">
        <f>#REF!</f>
        <v>#REF!</v>
      </c>
      <c r="CG10" s="287" t="e">
        <f>#REF!</f>
        <v>#REF!</v>
      </c>
      <c r="CH10" s="115" t="s">
        <v>488</v>
      </c>
      <c r="CI10" s="10">
        <v>3</v>
      </c>
      <c r="CJ10" s="50">
        <v>2</v>
      </c>
      <c r="CK10" s="50">
        <v>1</v>
      </c>
      <c r="CL10" s="50">
        <v>1</v>
      </c>
      <c r="CM10" s="50">
        <v>1</v>
      </c>
      <c r="CN10" s="50">
        <v>3</v>
      </c>
      <c r="CO10" s="50">
        <f>IF(OR($D10="4",$E10="4"),INDEX([14]NamesElementary!$J$1:$J$65536,MATCH($A10,[14]NamesElementary!$A$1:$A$65536,0),1),INDEX([14]Names!$W$1:$W$65602,MATCH($A10,[14]Names!$F$1:$F$65602,0),1))</f>
        <v>9</v>
      </c>
      <c r="CP10" s="312">
        <f>1.2</f>
        <v>1.2</v>
      </c>
      <c r="CQ10" s="87">
        <f t="shared" si="52"/>
        <v>1.1150377561073679</v>
      </c>
      <c r="CR10" s="88">
        <f t="shared" si="53"/>
        <v>1.2365959919080913</v>
      </c>
      <c r="CS10" s="89" t="str">
        <f t="shared" si="54"/>
        <v>(3,2,1,1,1,3)</v>
      </c>
      <c r="CU10" s="52">
        <f>IF(CI10=1,'[14]SDG^2 values'!$B$4,IF(CI10=2,'[14]SDG^2 values'!$C$4,IF(CI10=3,'[14]SDG^2 values'!$D$4,IF(CI10=4,'[14]SDG^2 values'!$E$4,IF(CI10=5,'[14]SDG^2 values'!$F$4,1)))))</f>
        <v>1.1000000000000001</v>
      </c>
      <c r="CV10" s="52">
        <f>IF(CJ10=1,'[14]SDG^2 values'!$B$5,IF(CJ10=2,'[14]SDG^2 values'!$C$5,IF(CJ10=3,'[14]SDG^2 values'!$D$5,IF(CJ10=4,'[14]SDG^2 values'!$E$5,IF(CJ10=5,'[14]SDG^2 values'!$F$5,1)))))</f>
        <v>1.02</v>
      </c>
      <c r="CW10" s="52">
        <f>IF(CK10=1,'[14]SDG^2 values'!$B$6,IF(CK10=2,'[14]SDG^2 values'!$C$6,IF(CK10=3,'[14]SDG^2 values'!$D$6,IF(CK10=4,'[14]SDG^2 values'!$E$6,IF(CK10=5,'[14]SDG^2 values'!$F$6,1)))))</f>
        <v>1</v>
      </c>
      <c r="CX10" s="52">
        <f>IF(CL10=1,'[14]SDG^2 values'!$B$7,IF(CL10=2,'[14]SDG^2 values'!$C$7,IF(CL10=3,'[14]SDG^2 values'!$D$7,IF(CL10=4,'[14]SDG^2 values'!$E$7,IF(CL10=5,'[14]SDG^2 values'!$F$7,1)))))</f>
        <v>1</v>
      </c>
      <c r="CY10" s="52">
        <f>IF(CM10=1,'[14]SDG^2 values'!$B$8,IF(CM10=2,'[14]SDG^2 values'!$C$8,IF(CM10=3,'[14]SDG^2 values'!$D$8,IF(CM10=4,'[14]SDG^2 values'!$E$8,IF(CM10=5,'[14]SDG^2 values'!$F$8,1)))))</f>
        <v>1</v>
      </c>
      <c r="CZ10" s="52">
        <f>IF(CN10=1,'[14]SDG^2 values'!$B$9,IF(CN10=2,'[14]SDG^2 values'!$C$9,IF(CN10=3,'[14]SDG^2 values'!$D$9,IF(CN10=4,'[14]SDG^2 values'!$E$9,IF(CN10=5,'[14]SDG^2 values'!$F$9,1)))))</f>
        <v>1.05</v>
      </c>
    </row>
    <row r="11" spans="1:104" ht="48">
      <c r="A11" s="156">
        <v>1312</v>
      </c>
      <c r="B11" s="168" t="s">
        <v>525</v>
      </c>
      <c r="C11" s="151"/>
      <c r="D11" s="152" t="s">
        <v>526</v>
      </c>
      <c r="E11" s="153" t="s">
        <v>402</v>
      </c>
      <c r="F11" s="144" t="str">
        <f>IF(OR(D11="4",E11="4"),INDEX([14]NamesElementary!$B$1:$B$65536,MATCH(A11,[14]NamesElementary!$A$1:$A$65536,0),1),INDEX([14]Names!$J$1:$J$65602,MATCH(A11,[14]Names!$F$1:$F$65602,0),1))</f>
        <v>3kWp facade installation, single-Si, panel, mounted, at building</v>
      </c>
      <c r="G11" s="125" t="str">
        <f>IF(OR(D11="4",E11="4"),"-",INDEX([14]Names!$K$1:$K$65602,MATCH(A11,[14]Names!$F$1:$F$65602,0),1))</f>
        <v>CH</v>
      </c>
      <c r="H11" s="154" t="str">
        <f>IF(OR(D11="4",E11="4"),INDEX([14]NamesElementary!$D$1:$D$65536,MATCH($A11,[14]NamesElementary!$A$1:$A$65536,0),1),"-")</f>
        <v>-</v>
      </c>
      <c r="I11" s="123" t="str">
        <f>IF(OR(D11="4",E11="4"),INDEX([14]NamesElementary!$E$1:$E$65536,MATCH($A11,[14]NamesElementary!$A$1:$A$65536,0),1),"-")</f>
        <v>-</v>
      </c>
      <c r="J11" s="124">
        <f>IF(OR(D11="4",E11="4"),"-",INDEX([14]Names!$N$1:$N$65602,MATCH(A11,[14]Names!$F$1:$F$65602,0),1))</f>
        <v>1</v>
      </c>
      <c r="K11" s="125" t="str">
        <f>IF(OR(D11="4",E11="4"),INDEX([14]NamesElementary!$G$1:$G$65536,MATCH(A11,[14]NamesElementary!$A$1:$A$65536,0),1),INDEX([14]Names!$O$1:$O$65602,MATCH(A11,[14]Names!$F$1:$F$65602,0),1))</f>
        <v>unit</v>
      </c>
      <c r="L11" s="155">
        <v>0</v>
      </c>
      <c r="M11" s="29">
        <f t="shared" si="0"/>
        <v>1</v>
      </c>
      <c r="N11" s="1">
        <f t="shared" si="1"/>
        <v>1.2365959919080913</v>
      </c>
      <c r="O11" s="139" t="str">
        <f t="shared" si="2"/>
        <v>(3,2,1,1,1,3); yield at good installation, average is lower while optimum would be higher, basic uncertainty = 1.2</v>
      </c>
      <c r="P11" s="155" t="e">
        <f>1/(Fassade*3*lifetime)</f>
        <v>#REF!</v>
      </c>
      <c r="Q11" s="29">
        <f t="shared" si="3"/>
        <v>1</v>
      </c>
      <c r="R11" s="1">
        <f t="shared" si="4"/>
        <v>1.2365959919080913</v>
      </c>
      <c r="S11" s="139" t="str">
        <f t="shared" si="5"/>
        <v>(3,2,1,1,1,3); yield at good installation, average is lower while optimum would be higher, basic uncertainty = 1.2</v>
      </c>
      <c r="T11" s="155">
        <v>0</v>
      </c>
      <c r="U11" s="29">
        <f t="shared" si="6"/>
        <v>1</v>
      </c>
      <c r="V11" s="1">
        <f t="shared" si="7"/>
        <v>1.2365959919080913</v>
      </c>
      <c r="W11" s="139" t="str">
        <f t="shared" si="8"/>
        <v>(3,2,1,1,1,3); yield at good installation, average is lower while optimum would be higher, basic uncertainty = 1.2</v>
      </c>
      <c r="X11" s="155">
        <v>0</v>
      </c>
      <c r="Y11" s="29">
        <f t="shared" si="9"/>
        <v>1</v>
      </c>
      <c r="Z11" s="1">
        <f t="shared" si="10"/>
        <v>1.2365959919080913</v>
      </c>
      <c r="AA11" s="139" t="str">
        <f t="shared" si="11"/>
        <v>(3,2,1,1,1,3); yield at good installation, average is lower while optimum would be higher, basic uncertainty = 1.2</v>
      </c>
      <c r="AB11" s="155">
        <v>0</v>
      </c>
      <c r="AC11" s="29">
        <f t="shared" si="12"/>
        <v>1</v>
      </c>
      <c r="AD11" s="1">
        <f t="shared" si="13"/>
        <v>1.2365959919080913</v>
      </c>
      <c r="AE11" s="139" t="str">
        <f t="shared" si="14"/>
        <v>(3,2,1,1,1,3); yield at good installation, average is lower while optimum would be higher, basic uncertainty = 1.2</v>
      </c>
      <c r="AF11" s="155">
        <v>0</v>
      </c>
      <c r="AG11" s="29">
        <f t="shared" si="15"/>
        <v>1</v>
      </c>
      <c r="AH11" s="1">
        <f t="shared" si="16"/>
        <v>1.2365959919080913</v>
      </c>
      <c r="AI11" s="139" t="str">
        <f t="shared" si="17"/>
        <v>(3,2,1,1,1,3); yield at good installation, average is lower while optimum would be higher, basic uncertainty = 1.2</v>
      </c>
      <c r="AJ11" s="155">
        <v>0</v>
      </c>
      <c r="AK11" s="29">
        <f t="shared" si="18"/>
        <v>1</v>
      </c>
      <c r="AL11" s="1">
        <f t="shared" si="19"/>
        <v>1.2365959919080913</v>
      </c>
      <c r="AM11" s="31" t="str">
        <f t="shared" si="20"/>
        <v>(3,2,1,1,1,3); yield at good installation, average is lower while optimum would be higher, basic uncertainty = 1.2</v>
      </c>
      <c r="AN11" s="155">
        <v>0</v>
      </c>
      <c r="AO11" s="29">
        <f t="shared" si="21"/>
        <v>1</v>
      </c>
      <c r="AP11" s="1">
        <f t="shared" si="22"/>
        <v>1.2365959919080913</v>
      </c>
      <c r="AQ11" s="139" t="str">
        <f t="shared" si="23"/>
        <v>(3,2,1,1,1,3); yield at good installation, average is lower while optimum would be higher, basic uncertainty = 1.2</v>
      </c>
      <c r="AR11" s="155">
        <v>0</v>
      </c>
      <c r="AS11" s="29">
        <f t="shared" si="24"/>
        <v>1</v>
      </c>
      <c r="AT11" s="1">
        <f t="shared" si="25"/>
        <v>1.2365959919080913</v>
      </c>
      <c r="AU11" s="31" t="str">
        <f t="shared" si="26"/>
        <v>(3,2,1,1,1,3); yield at good installation, average is lower while optimum would be higher, basic uncertainty = 1.2</v>
      </c>
      <c r="AV11" s="155">
        <v>0</v>
      </c>
      <c r="AW11" s="29">
        <f t="shared" si="27"/>
        <v>1</v>
      </c>
      <c r="AX11" s="1">
        <f t="shared" si="28"/>
        <v>1.2365959919080913</v>
      </c>
      <c r="AY11" s="139" t="str">
        <f t="shared" si="29"/>
        <v>(3,2,1,1,1,3); yield at good installation, average is lower while optimum would be higher, basic uncertainty = 1.2</v>
      </c>
      <c r="AZ11" s="155">
        <v>0</v>
      </c>
      <c r="BA11" s="29">
        <f t="shared" si="30"/>
        <v>1</v>
      </c>
      <c r="BB11" s="1">
        <f t="shared" si="31"/>
        <v>1.2365959919080913</v>
      </c>
      <c r="BC11" s="139" t="str">
        <f t="shared" si="32"/>
        <v>(3,2,1,1,1,3); yield at good installation, average is lower while optimum would be higher, basic uncertainty = 1.2</v>
      </c>
      <c r="BD11" s="155">
        <v>0</v>
      </c>
      <c r="BE11" s="29">
        <f t="shared" si="33"/>
        <v>1</v>
      </c>
      <c r="BF11" s="1">
        <f t="shared" si="34"/>
        <v>1.2365959919080913</v>
      </c>
      <c r="BG11" s="139" t="str">
        <f t="shared" si="35"/>
        <v>(3,2,1,1,1,3); yield at good installation, average is lower while optimum would be higher, basic uncertainty = 1.2</v>
      </c>
      <c r="BH11" s="29">
        <f t="shared" si="36"/>
        <v>1</v>
      </c>
      <c r="BI11" s="1">
        <f t="shared" si="37"/>
        <v>1.2365959919080913</v>
      </c>
      <c r="BJ11" s="139" t="str">
        <f t="shared" si="38"/>
        <v>(3,2,1,1,1,3); yield at good installation, average is lower while optimum would be higher, basic uncertainty = 1.2</v>
      </c>
      <c r="BK11" s="155">
        <v>0</v>
      </c>
      <c r="BL11" s="29">
        <f t="shared" si="39"/>
        <v>1</v>
      </c>
      <c r="BM11" s="1">
        <f t="shared" si="40"/>
        <v>1.2365959919080913</v>
      </c>
      <c r="BN11" s="139" t="str">
        <f t="shared" si="41"/>
        <v>(3,2,1,1,1,3); yield at good installation, average is lower while optimum would be higher, basic uncertainty = 1.2</v>
      </c>
      <c r="BO11" s="155">
        <v>0</v>
      </c>
      <c r="BP11" s="29">
        <f t="shared" si="42"/>
        <v>1</v>
      </c>
      <c r="BQ11" s="1">
        <f t="shared" si="43"/>
        <v>1.2365959919080913</v>
      </c>
      <c r="BR11" s="139" t="str">
        <f t="shared" si="44"/>
        <v>(3,2,1,1,1,3); yield at good installation, average is lower while optimum would be higher, basic uncertainty = 1.2</v>
      </c>
      <c r="BS11" s="155">
        <v>0</v>
      </c>
      <c r="BT11" s="29">
        <f t="shared" si="45"/>
        <v>1</v>
      </c>
      <c r="BU11" s="1">
        <f t="shared" si="46"/>
        <v>1.2365959919080913</v>
      </c>
      <c r="BV11" s="139" t="str">
        <f t="shared" si="47"/>
        <v>(3,2,1,1,1,3); yield at good installation, average is lower while optimum would be higher, basic uncertainty = 1.2</v>
      </c>
      <c r="BW11" s="155">
        <v>0</v>
      </c>
      <c r="BX11" s="29">
        <f t="shared" si="48"/>
        <v>1</v>
      </c>
      <c r="BY11" s="1">
        <f t="shared" si="49"/>
        <v>1.2365959919080913</v>
      </c>
      <c r="BZ11" s="31" t="str">
        <f t="shared" si="50"/>
        <v>(3,2,1,1,1,3); yield at good installation, average is lower while optimum would be higher, basic uncertainty = 1.2</v>
      </c>
      <c r="CA11" s="155" t="e">
        <f>1/(#REF!*3*lifetime)*CE11</f>
        <v>#REF!</v>
      </c>
      <c r="CB11" s="29">
        <v>1</v>
      </c>
      <c r="CC11" s="1">
        <f t="shared" si="51"/>
        <v>1.2365959919080913</v>
      </c>
      <c r="CD11" s="31" t="str">
        <f t="shared" ref="CD11:CD25" si="55">CS11&amp;"; average yield, estimation for share of technologies. Basic uncertainty = "&amp;CP11</f>
        <v>(3,2,1,1,1,3); average yield, estimation for share of technologies. Basic uncertainty = 1.2</v>
      </c>
      <c r="CE11" s="287" t="e">
        <f>#REF!</f>
        <v>#REF!</v>
      </c>
      <c r="CF11" s="289" t="e">
        <f>#REF!</f>
        <v>#REF!</v>
      </c>
      <c r="CG11" s="287" t="e">
        <f>#REF!</f>
        <v>#REF!</v>
      </c>
      <c r="CH11" s="115" t="str">
        <f>CH10</f>
        <v>yield at good installation, average is lower while optimum would be higher, basic uncertainty = 1.2</v>
      </c>
      <c r="CI11" s="10">
        <f>CI10</f>
        <v>3</v>
      </c>
      <c r="CJ11" s="50">
        <v>2</v>
      </c>
      <c r="CK11" s="50">
        <v>1</v>
      </c>
      <c r="CL11" s="50">
        <v>1</v>
      </c>
      <c r="CM11" s="50">
        <v>1</v>
      </c>
      <c r="CN11" s="50">
        <v>3</v>
      </c>
      <c r="CO11" s="50">
        <f>IF(OR($D11="4",$E11="4"),INDEX([14]NamesElementary!$J$1:$J$65536,MATCH($A11,[14]NamesElementary!$A$1:$A$65536,0),1),INDEX([14]Names!$W$1:$W$65602,MATCH($A11,[14]Names!$F$1:$F$65602,0),1))</f>
        <v>9</v>
      </c>
      <c r="CP11" s="312">
        <f>CP10</f>
        <v>1.2</v>
      </c>
      <c r="CQ11" s="87">
        <f t="shared" si="52"/>
        <v>1.1150377561073679</v>
      </c>
      <c r="CR11" s="88">
        <f t="shared" si="53"/>
        <v>1.2365959919080913</v>
      </c>
      <c r="CS11" s="89" t="str">
        <f t="shared" si="54"/>
        <v>(3,2,1,1,1,3)</v>
      </c>
      <c r="CU11" s="52">
        <f>IF(CI11=1,'[14]SDG^2 values'!$B$4,IF(CI11=2,'[14]SDG^2 values'!$C$4,IF(CI11=3,'[14]SDG^2 values'!$D$4,IF(CI11=4,'[14]SDG^2 values'!$E$4,IF(CI11=5,'[14]SDG^2 values'!$F$4,1)))))</f>
        <v>1.1000000000000001</v>
      </c>
      <c r="CV11" s="52">
        <f>IF(CJ11=1,'[14]SDG^2 values'!$B$5,IF(CJ11=2,'[14]SDG^2 values'!$C$5,IF(CJ11=3,'[14]SDG^2 values'!$D$5,IF(CJ11=4,'[14]SDG^2 values'!$E$5,IF(CJ11=5,'[14]SDG^2 values'!$F$5,1)))))</f>
        <v>1.02</v>
      </c>
      <c r="CW11" s="52">
        <f>IF(CK11=1,'[14]SDG^2 values'!$B$6,IF(CK11=2,'[14]SDG^2 values'!$C$6,IF(CK11=3,'[14]SDG^2 values'!$D$6,IF(CK11=4,'[14]SDG^2 values'!$E$6,IF(CK11=5,'[14]SDG^2 values'!$F$6,1)))))</f>
        <v>1</v>
      </c>
      <c r="CX11" s="52">
        <f>IF(CL11=1,'[14]SDG^2 values'!$B$7,IF(CL11=2,'[14]SDG^2 values'!$C$7,IF(CL11=3,'[14]SDG^2 values'!$D$7,IF(CL11=4,'[14]SDG^2 values'!$E$7,IF(CL11=5,'[14]SDG^2 values'!$F$7,1)))))</f>
        <v>1</v>
      </c>
      <c r="CY11" s="52">
        <f>IF(CM11=1,'[14]SDG^2 values'!$B$8,IF(CM11=2,'[14]SDG^2 values'!$C$8,IF(CM11=3,'[14]SDG^2 values'!$D$8,IF(CM11=4,'[14]SDG^2 values'!$E$8,IF(CM11=5,'[14]SDG^2 values'!$F$8,1)))))</f>
        <v>1</v>
      </c>
      <c r="CZ11" s="52">
        <f>IF(CN11=1,'[14]SDG^2 values'!$B$9,IF(CN11=2,'[14]SDG^2 values'!$C$9,IF(CN11=3,'[14]SDG^2 values'!$D$9,IF(CN11=4,'[14]SDG^2 values'!$E$9,IF(CN11=5,'[14]SDG^2 values'!$F$9,1)))))</f>
        <v>1.05</v>
      </c>
    </row>
    <row r="12" spans="1:104" ht="48">
      <c r="A12" s="156">
        <v>1314</v>
      </c>
      <c r="B12" s="168" t="s">
        <v>525</v>
      </c>
      <c r="C12" s="151"/>
      <c r="D12" s="152" t="s">
        <v>526</v>
      </c>
      <c r="E12" s="153" t="s">
        <v>402</v>
      </c>
      <c r="F12" s="144" t="str">
        <f>IF(OR(D12="4",E12="4"),INDEX([14]NamesElementary!$B$1:$B$65536,MATCH(A12,[14]NamesElementary!$A$1:$A$65536,0),1),INDEX([14]Names!$J$1:$J$65602,MATCH(A12,[14]Names!$F$1:$F$65602,0),1))</f>
        <v>3kWp facade installation, multi-Si, laminated, integrated, at building</v>
      </c>
      <c r="G12" s="125" t="str">
        <f>IF(OR(D12="4",E12="4"),"-",INDEX([14]Names!$K$1:$K$65602,MATCH(A12,[14]Names!$F$1:$F$65602,0),1))</f>
        <v>CH</v>
      </c>
      <c r="H12" s="154" t="str">
        <f>IF(OR(D12="4",E12="4"),INDEX([14]NamesElementary!$D$1:$D$65536,MATCH($A12,[14]NamesElementary!$A$1:$A$65536,0),1),"-")</f>
        <v>-</v>
      </c>
      <c r="I12" s="123" t="str">
        <f>IF(OR(D12="4",E12="4"),INDEX([14]NamesElementary!$E$1:$E$65536,MATCH($A12,[14]NamesElementary!$A$1:$A$65536,0),1),"-")</f>
        <v>-</v>
      </c>
      <c r="J12" s="124">
        <f>IF(OR(D12="4",E12="4"),"-",INDEX([14]Names!$N$1:$N$65602,MATCH(A12,[14]Names!$F$1:$F$65602,0),1))</f>
        <v>1</v>
      </c>
      <c r="K12" s="125" t="str">
        <f>IF(OR(D12="4",E12="4"),INDEX([14]NamesElementary!$G$1:$G$65536,MATCH(A12,[14]NamesElementary!$A$1:$A$65536,0),1),INDEX([14]Names!$O$1:$O$65602,MATCH(A12,[14]Names!$F$1:$F$65602,0),1))</f>
        <v>unit</v>
      </c>
      <c r="L12" s="155">
        <v>0</v>
      </c>
      <c r="M12" s="29">
        <f t="shared" si="0"/>
        <v>1</v>
      </c>
      <c r="N12" s="1">
        <f t="shared" si="1"/>
        <v>1.2365959919080913</v>
      </c>
      <c r="O12" s="139" t="str">
        <f t="shared" si="2"/>
        <v>(3,2,1,1,1,3); yield at good installation, average is lower while optimum would be higher, basic uncertainty = 1.2</v>
      </c>
      <c r="P12" s="155">
        <v>0</v>
      </c>
      <c r="Q12" s="29">
        <f t="shared" si="3"/>
        <v>1</v>
      </c>
      <c r="R12" s="1">
        <f t="shared" si="4"/>
        <v>1.2365959919080913</v>
      </c>
      <c r="S12" s="139" t="str">
        <f t="shared" si="5"/>
        <v>(3,2,1,1,1,3); yield at good installation, average is lower while optimum would be higher, basic uncertainty = 1.2</v>
      </c>
      <c r="T12" s="155" t="e">
        <f>1/(Fassade*3*lifetime)</f>
        <v>#REF!</v>
      </c>
      <c r="U12" s="29">
        <f t="shared" si="6"/>
        <v>1</v>
      </c>
      <c r="V12" s="1">
        <f t="shared" si="7"/>
        <v>1.2365959919080913</v>
      </c>
      <c r="W12" s="139" t="str">
        <f t="shared" si="8"/>
        <v>(3,2,1,1,1,3); yield at good installation, average is lower while optimum would be higher, basic uncertainty = 1.2</v>
      </c>
      <c r="X12" s="155">
        <v>0</v>
      </c>
      <c r="Y12" s="29">
        <f t="shared" si="9"/>
        <v>1</v>
      </c>
      <c r="Z12" s="1">
        <f t="shared" si="10"/>
        <v>1.2365959919080913</v>
      </c>
      <c r="AA12" s="139" t="str">
        <f t="shared" si="11"/>
        <v>(3,2,1,1,1,3); yield at good installation, average is lower while optimum would be higher, basic uncertainty = 1.2</v>
      </c>
      <c r="AB12" s="155">
        <v>0</v>
      </c>
      <c r="AC12" s="29">
        <f t="shared" si="12"/>
        <v>1</v>
      </c>
      <c r="AD12" s="1">
        <f t="shared" si="13"/>
        <v>1.2365959919080913</v>
      </c>
      <c r="AE12" s="139" t="str">
        <f t="shared" si="14"/>
        <v>(3,2,1,1,1,3); yield at good installation, average is lower while optimum would be higher, basic uncertainty = 1.2</v>
      </c>
      <c r="AF12" s="155">
        <v>0</v>
      </c>
      <c r="AG12" s="29">
        <f t="shared" si="15"/>
        <v>1</v>
      </c>
      <c r="AH12" s="1">
        <f t="shared" si="16"/>
        <v>1.2365959919080913</v>
      </c>
      <c r="AI12" s="139" t="str">
        <f t="shared" si="17"/>
        <v>(3,2,1,1,1,3); yield at good installation, average is lower while optimum would be higher, basic uncertainty = 1.2</v>
      </c>
      <c r="AJ12" s="155">
        <v>0</v>
      </c>
      <c r="AK12" s="29">
        <f t="shared" si="18"/>
        <v>1</v>
      </c>
      <c r="AL12" s="1">
        <f t="shared" si="19"/>
        <v>1.2365959919080913</v>
      </c>
      <c r="AM12" s="31" t="str">
        <f t="shared" si="20"/>
        <v>(3,2,1,1,1,3); yield at good installation, average is lower while optimum would be higher, basic uncertainty = 1.2</v>
      </c>
      <c r="AN12" s="155">
        <v>0</v>
      </c>
      <c r="AO12" s="29">
        <f t="shared" si="21"/>
        <v>1</v>
      </c>
      <c r="AP12" s="1">
        <f t="shared" si="22"/>
        <v>1.2365959919080913</v>
      </c>
      <c r="AQ12" s="139" t="str">
        <f t="shared" si="23"/>
        <v>(3,2,1,1,1,3); yield at good installation, average is lower while optimum would be higher, basic uncertainty = 1.2</v>
      </c>
      <c r="AR12" s="155">
        <v>0</v>
      </c>
      <c r="AS12" s="29">
        <f t="shared" si="24"/>
        <v>1</v>
      </c>
      <c r="AT12" s="1">
        <f t="shared" si="25"/>
        <v>1.2365959919080913</v>
      </c>
      <c r="AU12" s="31" t="str">
        <f t="shared" si="26"/>
        <v>(3,2,1,1,1,3); yield at good installation, average is lower while optimum would be higher, basic uncertainty = 1.2</v>
      </c>
      <c r="AV12" s="155">
        <v>0</v>
      </c>
      <c r="AW12" s="29">
        <f t="shared" si="27"/>
        <v>1</v>
      </c>
      <c r="AX12" s="1">
        <f t="shared" si="28"/>
        <v>1.2365959919080913</v>
      </c>
      <c r="AY12" s="139" t="str">
        <f t="shared" si="29"/>
        <v>(3,2,1,1,1,3); yield at good installation, average is lower while optimum would be higher, basic uncertainty = 1.2</v>
      </c>
      <c r="AZ12" s="155">
        <v>0</v>
      </c>
      <c r="BA12" s="29">
        <f t="shared" si="30"/>
        <v>1</v>
      </c>
      <c r="BB12" s="1">
        <f t="shared" si="31"/>
        <v>1.2365959919080913</v>
      </c>
      <c r="BC12" s="139" t="str">
        <f t="shared" si="32"/>
        <v>(3,2,1,1,1,3); yield at good installation, average is lower while optimum would be higher, basic uncertainty = 1.2</v>
      </c>
      <c r="BD12" s="155">
        <v>0</v>
      </c>
      <c r="BE12" s="29">
        <f t="shared" si="33"/>
        <v>1</v>
      </c>
      <c r="BF12" s="1">
        <f t="shared" si="34"/>
        <v>1.2365959919080913</v>
      </c>
      <c r="BG12" s="139" t="str">
        <f t="shared" si="35"/>
        <v>(3,2,1,1,1,3); yield at good installation, average is lower while optimum would be higher, basic uncertainty = 1.2</v>
      </c>
      <c r="BH12" s="29">
        <f t="shared" si="36"/>
        <v>1</v>
      </c>
      <c r="BI12" s="1">
        <f t="shared" si="37"/>
        <v>1.2365959919080913</v>
      </c>
      <c r="BJ12" s="139" t="str">
        <f t="shared" si="38"/>
        <v>(3,2,1,1,1,3); yield at good installation, average is lower while optimum would be higher, basic uncertainty = 1.2</v>
      </c>
      <c r="BK12" s="155">
        <v>0</v>
      </c>
      <c r="BL12" s="29">
        <f t="shared" si="39"/>
        <v>1</v>
      </c>
      <c r="BM12" s="1">
        <f t="shared" si="40"/>
        <v>1.2365959919080913</v>
      </c>
      <c r="BN12" s="139" t="str">
        <f t="shared" si="41"/>
        <v>(3,2,1,1,1,3); yield at good installation, average is lower while optimum would be higher, basic uncertainty = 1.2</v>
      </c>
      <c r="BO12" s="155">
        <v>0</v>
      </c>
      <c r="BP12" s="29">
        <f t="shared" si="42"/>
        <v>1</v>
      </c>
      <c r="BQ12" s="1">
        <f t="shared" si="43"/>
        <v>1.2365959919080913</v>
      </c>
      <c r="BR12" s="139" t="str">
        <f t="shared" si="44"/>
        <v>(3,2,1,1,1,3); yield at good installation, average is lower while optimum would be higher, basic uncertainty = 1.2</v>
      </c>
      <c r="BS12" s="155">
        <v>0</v>
      </c>
      <c r="BT12" s="29">
        <f t="shared" si="45"/>
        <v>1</v>
      </c>
      <c r="BU12" s="1">
        <f t="shared" si="46"/>
        <v>1.2365959919080913</v>
      </c>
      <c r="BV12" s="139" t="str">
        <f t="shared" si="47"/>
        <v>(3,2,1,1,1,3); yield at good installation, average is lower while optimum would be higher, basic uncertainty = 1.2</v>
      </c>
      <c r="BW12" s="155">
        <v>0</v>
      </c>
      <c r="BX12" s="29">
        <f t="shared" si="48"/>
        <v>1</v>
      </c>
      <c r="BY12" s="1">
        <f t="shared" si="49"/>
        <v>1.2365959919080913</v>
      </c>
      <c r="BZ12" s="31" t="str">
        <f t="shared" si="50"/>
        <v>(3,2,1,1,1,3); yield at good installation, average is lower while optimum would be higher, basic uncertainty = 1.2</v>
      </c>
      <c r="CA12" s="155" t="e">
        <f>1/(#REF!*3*lifetime)*CE12</f>
        <v>#REF!</v>
      </c>
      <c r="CB12" s="29">
        <v>1</v>
      </c>
      <c r="CC12" s="1">
        <f t="shared" si="51"/>
        <v>1.2365959919080913</v>
      </c>
      <c r="CD12" s="31" t="str">
        <f t="shared" si="55"/>
        <v>(3,2,1,1,1,3); average yield, estimation for share of technologies. Basic uncertainty = 1.2</v>
      </c>
      <c r="CE12" s="287" t="e">
        <f>#REF!</f>
        <v>#REF!</v>
      </c>
      <c r="CF12" s="289" t="e">
        <f>#REF!</f>
        <v>#REF!</v>
      </c>
      <c r="CG12" s="287" t="e">
        <f>#REF!</f>
        <v>#REF!</v>
      </c>
      <c r="CH12" s="115" t="str">
        <f t="shared" ref="CH12:CH25" si="56">CH11</f>
        <v>yield at good installation, average is lower while optimum would be higher, basic uncertainty = 1.2</v>
      </c>
      <c r="CI12" s="10">
        <f t="shared" ref="CI12:CI25" si="57">CI11</f>
        <v>3</v>
      </c>
      <c r="CJ12" s="50">
        <v>2</v>
      </c>
      <c r="CK12" s="50">
        <v>1</v>
      </c>
      <c r="CL12" s="50">
        <v>1</v>
      </c>
      <c r="CM12" s="50">
        <v>1</v>
      </c>
      <c r="CN12" s="50">
        <v>3</v>
      </c>
      <c r="CO12" s="50">
        <f>IF(OR($D12="4",$E12="4"),INDEX([14]NamesElementary!$J$1:$J$65536,MATCH($A12,[14]NamesElementary!$A$1:$A$65536,0),1),INDEX([14]Names!$W$1:$W$65602,MATCH($A12,[14]Names!$F$1:$F$65602,0),1))</f>
        <v>9</v>
      </c>
      <c r="CP12" s="312">
        <f t="shared" ref="CP12:CP23" si="58">CP11</f>
        <v>1.2</v>
      </c>
      <c r="CQ12" s="87">
        <f t="shared" si="52"/>
        <v>1.1150377561073679</v>
      </c>
      <c r="CR12" s="88">
        <f t="shared" si="53"/>
        <v>1.2365959919080913</v>
      </c>
      <c r="CS12" s="89" t="str">
        <f t="shared" si="54"/>
        <v>(3,2,1,1,1,3)</v>
      </c>
      <c r="CU12" s="52">
        <f>IF(CI12=1,'[14]SDG^2 values'!$B$4,IF(CI12=2,'[14]SDG^2 values'!$C$4,IF(CI12=3,'[14]SDG^2 values'!$D$4,IF(CI12=4,'[14]SDG^2 values'!$E$4,IF(CI12=5,'[14]SDG^2 values'!$F$4,1)))))</f>
        <v>1.1000000000000001</v>
      </c>
      <c r="CV12" s="52">
        <f>IF(CJ12=1,'[14]SDG^2 values'!$B$5,IF(CJ12=2,'[14]SDG^2 values'!$C$5,IF(CJ12=3,'[14]SDG^2 values'!$D$5,IF(CJ12=4,'[14]SDG^2 values'!$E$5,IF(CJ12=5,'[14]SDG^2 values'!$F$5,1)))))</f>
        <v>1.02</v>
      </c>
      <c r="CW12" s="52">
        <f>IF(CK12=1,'[14]SDG^2 values'!$B$6,IF(CK12=2,'[14]SDG^2 values'!$C$6,IF(CK12=3,'[14]SDG^2 values'!$D$6,IF(CK12=4,'[14]SDG^2 values'!$E$6,IF(CK12=5,'[14]SDG^2 values'!$F$6,1)))))</f>
        <v>1</v>
      </c>
      <c r="CX12" s="52">
        <f>IF(CL12=1,'[14]SDG^2 values'!$B$7,IF(CL12=2,'[14]SDG^2 values'!$C$7,IF(CL12=3,'[14]SDG^2 values'!$D$7,IF(CL12=4,'[14]SDG^2 values'!$E$7,IF(CL12=5,'[14]SDG^2 values'!$F$7,1)))))</f>
        <v>1</v>
      </c>
      <c r="CY12" s="52">
        <f>IF(CM12=1,'[14]SDG^2 values'!$B$8,IF(CM12=2,'[14]SDG^2 values'!$C$8,IF(CM12=3,'[14]SDG^2 values'!$D$8,IF(CM12=4,'[14]SDG^2 values'!$E$8,IF(CM12=5,'[14]SDG^2 values'!$F$8,1)))))</f>
        <v>1</v>
      </c>
      <c r="CZ12" s="52">
        <f>IF(CN12=1,'[14]SDG^2 values'!$B$9,IF(CN12=2,'[14]SDG^2 values'!$C$9,IF(CN12=3,'[14]SDG^2 values'!$D$9,IF(CN12=4,'[14]SDG^2 values'!$E$9,IF(CN12=5,'[14]SDG^2 values'!$F$9,1)))))</f>
        <v>1.05</v>
      </c>
    </row>
    <row r="13" spans="1:104" ht="48">
      <c r="A13" s="156">
        <v>1316</v>
      </c>
      <c r="B13" s="168" t="s">
        <v>525</v>
      </c>
      <c r="C13" s="151"/>
      <c r="D13" s="152" t="s">
        <v>526</v>
      </c>
      <c r="E13" s="153" t="s">
        <v>402</v>
      </c>
      <c r="F13" s="144" t="str">
        <f>IF(OR(D13="4",E13="4"),INDEX([14]NamesElementary!$B$1:$B$65536,MATCH(A13,[14]NamesElementary!$A$1:$A$65536,0),1),INDEX([14]Names!$J$1:$J$65602,MATCH(A13,[14]Names!$F$1:$F$65602,0),1))</f>
        <v>3kWp facade installation, multi-Si, panel, mounted, at building</v>
      </c>
      <c r="G13" s="125" t="str">
        <f>IF(OR(D13="4",E13="4"),"-",INDEX([14]Names!$K$1:$K$65602,MATCH(A13,[14]Names!$F$1:$F$65602,0),1))</f>
        <v>CH</v>
      </c>
      <c r="H13" s="154" t="str">
        <f>IF(OR(D13="4",E13="4"),INDEX([14]NamesElementary!$D$1:$D$65536,MATCH($A13,[14]NamesElementary!$A$1:$A$65536,0),1),"-")</f>
        <v>-</v>
      </c>
      <c r="I13" s="123" t="str">
        <f>IF(OR(D13="4",E13="4"),INDEX([14]NamesElementary!$E$1:$E$65536,MATCH($A13,[14]NamesElementary!$A$1:$A$65536,0),1),"-")</f>
        <v>-</v>
      </c>
      <c r="J13" s="124">
        <f>IF(OR(D13="4",E13="4"),"-",INDEX([14]Names!$N$1:$N$65602,MATCH(A13,[14]Names!$F$1:$F$65602,0),1))</f>
        <v>1</v>
      </c>
      <c r="K13" s="125" t="str">
        <f>IF(OR(D13="4",E13="4"),INDEX([14]NamesElementary!$G$1:$G$65536,MATCH(A13,[14]NamesElementary!$A$1:$A$65536,0),1),INDEX([14]Names!$O$1:$O$65602,MATCH(A13,[14]Names!$F$1:$F$65602,0),1))</f>
        <v>unit</v>
      </c>
      <c r="L13" s="155">
        <v>0</v>
      </c>
      <c r="M13" s="29">
        <f t="shared" si="0"/>
        <v>1</v>
      </c>
      <c r="N13" s="1">
        <f t="shared" si="1"/>
        <v>1.2365959919080913</v>
      </c>
      <c r="O13" s="139" t="str">
        <f t="shared" si="2"/>
        <v>(3,2,1,1,1,3); yield at good installation, average is lower while optimum would be higher, basic uncertainty = 1.2</v>
      </c>
      <c r="P13" s="155">
        <v>0</v>
      </c>
      <c r="Q13" s="29">
        <f t="shared" si="3"/>
        <v>1</v>
      </c>
      <c r="R13" s="1">
        <f t="shared" si="4"/>
        <v>1.2365959919080913</v>
      </c>
      <c r="S13" s="139" t="str">
        <f t="shared" si="5"/>
        <v>(3,2,1,1,1,3); yield at good installation, average is lower while optimum would be higher, basic uncertainty = 1.2</v>
      </c>
      <c r="T13" s="155">
        <v>0</v>
      </c>
      <c r="U13" s="29">
        <f t="shared" si="6"/>
        <v>1</v>
      </c>
      <c r="V13" s="1">
        <f t="shared" si="7"/>
        <v>1.2365959919080913</v>
      </c>
      <c r="W13" s="139" t="str">
        <f t="shared" si="8"/>
        <v>(3,2,1,1,1,3); yield at good installation, average is lower while optimum would be higher, basic uncertainty = 1.2</v>
      </c>
      <c r="X13" s="155" t="e">
        <f>1/(Fassade*3*lifetime)</f>
        <v>#REF!</v>
      </c>
      <c r="Y13" s="29">
        <f t="shared" si="9"/>
        <v>1</v>
      </c>
      <c r="Z13" s="1">
        <f t="shared" si="10"/>
        <v>1.2365959919080913</v>
      </c>
      <c r="AA13" s="139" t="str">
        <f t="shared" si="11"/>
        <v>(3,2,1,1,1,3); yield at good installation, average is lower while optimum would be higher, basic uncertainty = 1.2</v>
      </c>
      <c r="AB13" s="155">
        <v>0</v>
      </c>
      <c r="AC13" s="29">
        <f t="shared" si="12"/>
        <v>1</v>
      </c>
      <c r="AD13" s="1">
        <f t="shared" si="13"/>
        <v>1.2365959919080913</v>
      </c>
      <c r="AE13" s="139" t="str">
        <f t="shared" si="14"/>
        <v>(3,2,1,1,1,3); yield at good installation, average is lower while optimum would be higher, basic uncertainty = 1.2</v>
      </c>
      <c r="AF13" s="155">
        <v>0</v>
      </c>
      <c r="AG13" s="29">
        <f t="shared" si="15"/>
        <v>1</v>
      </c>
      <c r="AH13" s="1">
        <f t="shared" si="16"/>
        <v>1.2365959919080913</v>
      </c>
      <c r="AI13" s="139" t="str">
        <f t="shared" si="17"/>
        <v>(3,2,1,1,1,3); yield at good installation, average is lower while optimum would be higher, basic uncertainty = 1.2</v>
      </c>
      <c r="AJ13" s="155">
        <v>0</v>
      </c>
      <c r="AK13" s="29">
        <f t="shared" si="18"/>
        <v>1</v>
      </c>
      <c r="AL13" s="1">
        <f t="shared" si="19"/>
        <v>1.2365959919080913</v>
      </c>
      <c r="AM13" s="31" t="str">
        <f t="shared" si="20"/>
        <v>(3,2,1,1,1,3); yield at good installation, average is lower while optimum would be higher, basic uncertainty = 1.2</v>
      </c>
      <c r="AN13" s="155">
        <v>0</v>
      </c>
      <c r="AO13" s="29">
        <f t="shared" si="21"/>
        <v>1</v>
      </c>
      <c r="AP13" s="1">
        <f t="shared" si="22"/>
        <v>1.2365959919080913</v>
      </c>
      <c r="AQ13" s="139" t="str">
        <f t="shared" si="23"/>
        <v>(3,2,1,1,1,3); yield at good installation, average is lower while optimum would be higher, basic uncertainty = 1.2</v>
      </c>
      <c r="AR13" s="155">
        <v>0</v>
      </c>
      <c r="AS13" s="29">
        <f t="shared" si="24"/>
        <v>1</v>
      </c>
      <c r="AT13" s="1">
        <f t="shared" si="25"/>
        <v>1.2365959919080913</v>
      </c>
      <c r="AU13" s="31" t="str">
        <f t="shared" si="26"/>
        <v>(3,2,1,1,1,3); yield at good installation, average is lower while optimum would be higher, basic uncertainty = 1.2</v>
      </c>
      <c r="AV13" s="155">
        <v>0</v>
      </c>
      <c r="AW13" s="29">
        <f t="shared" si="27"/>
        <v>1</v>
      </c>
      <c r="AX13" s="1">
        <f t="shared" si="28"/>
        <v>1.2365959919080913</v>
      </c>
      <c r="AY13" s="139" t="str">
        <f t="shared" si="29"/>
        <v>(3,2,1,1,1,3); yield at good installation, average is lower while optimum would be higher, basic uncertainty = 1.2</v>
      </c>
      <c r="AZ13" s="155">
        <v>0</v>
      </c>
      <c r="BA13" s="29">
        <f t="shared" si="30"/>
        <v>1</v>
      </c>
      <c r="BB13" s="1">
        <f t="shared" si="31"/>
        <v>1.2365959919080913</v>
      </c>
      <c r="BC13" s="139" t="str">
        <f t="shared" si="32"/>
        <v>(3,2,1,1,1,3); yield at good installation, average is lower while optimum would be higher, basic uncertainty = 1.2</v>
      </c>
      <c r="BD13" s="155">
        <v>0</v>
      </c>
      <c r="BE13" s="29">
        <f t="shared" si="33"/>
        <v>1</v>
      </c>
      <c r="BF13" s="1">
        <f t="shared" si="34"/>
        <v>1.2365959919080913</v>
      </c>
      <c r="BG13" s="139" t="str">
        <f t="shared" si="35"/>
        <v>(3,2,1,1,1,3); yield at good installation, average is lower while optimum would be higher, basic uncertainty = 1.2</v>
      </c>
      <c r="BH13" s="29">
        <f t="shared" si="36"/>
        <v>1</v>
      </c>
      <c r="BI13" s="1">
        <f t="shared" si="37"/>
        <v>1.2365959919080913</v>
      </c>
      <c r="BJ13" s="139" t="str">
        <f t="shared" si="38"/>
        <v>(3,2,1,1,1,3); yield at good installation, average is lower while optimum would be higher, basic uncertainty = 1.2</v>
      </c>
      <c r="BK13" s="155">
        <v>0</v>
      </c>
      <c r="BL13" s="29">
        <f t="shared" si="39"/>
        <v>1</v>
      </c>
      <c r="BM13" s="1">
        <f t="shared" si="40"/>
        <v>1.2365959919080913</v>
      </c>
      <c r="BN13" s="139" t="str">
        <f t="shared" si="41"/>
        <v>(3,2,1,1,1,3); yield at good installation, average is lower while optimum would be higher, basic uncertainty = 1.2</v>
      </c>
      <c r="BO13" s="155">
        <v>0</v>
      </c>
      <c r="BP13" s="29">
        <f t="shared" si="42"/>
        <v>1</v>
      </c>
      <c r="BQ13" s="1">
        <f t="shared" si="43"/>
        <v>1.2365959919080913</v>
      </c>
      <c r="BR13" s="139" t="str">
        <f t="shared" si="44"/>
        <v>(3,2,1,1,1,3); yield at good installation, average is lower while optimum would be higher, basic uncertainty = 1.2</v>
      </c>
      <c r="BS13" s="155">
        <v>0</v>
      </c>
      <c r="BT13" s="29">
        <f t="shared" si="45"/>
        <v>1</v>
      </c>
      <c r="BU13" s="1">
        <f t="shared" si="46"/>
        <v>1.2365959919080913</v>
      </c>
      <c r="BV13" s="139" t="str">
        <f t="shared" si="47"/>
        <v>(3,2,1,1,1,3); yield at good installation, average is lower while optimum would be higher, basic uncertainty = 1.2</v>
      </c>
      <c r="BW13" s="155">
        <v>0</v>
      </c>
      <c r="BX13" s="29">
        <f t="shared" si="48"/>
        <v>1</v>
      </c>
      <c r="BY13" s="1">
        <f t="shared" si="49"/>
        <v>1.2365959919080913</v>
      </c>
      <c r="BZ13" s="31" t="str">
        <f t="shared" si="50"/>
        <v>(3,2,1,1,1,3); yield at good installation, average is lower while optimum would be higher, basic uncertainty = 1.2</v>
      </c>
      <c r="CA13" s="155" t="e">
        <f>1/(#REF!*3*lifetime)*CE13</f>
        <v>#REF!</v>
      </c>
      <c r="CB13" s="29">
        <v>1</v>
      </c>
      <c r="CC13" s="1">
        <f t="shared" si="51"/>
        <v>1.2365959919080913</v>
      </c>
      <c r="CD13" s="31" t="str">
        <f t="shared" si="55"/>
        <v>(3,2,1,1,1,3); average yield, estimation for share of technologies. Basic uncertainty = 1.2</v>
      </c>
      <c r="CE13" s="287" t="e">
        <f>#REF!</f>
        <v>#REF!</v>
      </c>
      <c r="CF13" s="289" t="e">
        <f>#REF!</f>
        <v>#REF!</v>
      </c>
      <c r="CG13" s="287" t="e">
        <f>#REF!</f>
        <v>#REF!</v>
      </c>
      <c r="CH13" s="115" t="str">
        <f t="shared" si="56"/>
        <v>yield at good installation, average is lower while optimum would be higher, basic uncertainty = 1.2</v>
      </c>
      <c r="CI13" s="10">
        <f t="shared" si="57"/>
        <v>3</v>
      </c>
      <c r="CJ13" s="50">
        <v>2</v>
      </c>
      <c r="CK13" s="50">
        <v>1</v>
      </c>
      <c r="CL13" s="50">
        <v>1</v>
      </c>
      <c r="CM13" s="50">
        <v>1</v>
      </c>
      <c r="CN13" s="50">
        <v>3</v>
      </c>
      <c r="CO13" s="50">
        <f>IF(OR($D13="4",$E13="4"),INDEX([14]NamesElementary!$J$1:$J$65536,MATCH($A13,[14]NamesElementary!$A$1:$A$65536,0),1),INDEX([14]Names!$W$1:$W$65602,MATCH($A13,[14]Names!$F$1:$F$65602,0),1))</f>
        <v>9</v>
      </c>
      <c r="CP13" s="312">
        <f t="shared" si="58"/>
        <v>1.2</v>
      </c>
      <c r="CQ13" s="87">
        <f t="shared" si="52"/>
        <v>1.1150377561073679</v>
      </c>
      <c r="CR13" s="88">
        <f t="shared" si="53"/>
        <v>1.2365959919080913</v>
      </c>
      <c r="CS13" s="89" t="str">
        <f t="shared" si="54"/>
        <v>(3,2,1,1,1,3)</v>
      </c>
      <c r="CU13" s="52">
        <f>IF(CI13=1,'[14]SDG^2 values'!$B$4,IF(CI13=2,'[14]SDG^2 values'!$C$4,IF(CI13=3,'[14]SDG^2 values'!$D$4,IF(CI13=4,'[14]SDG^2 values'!$E$4,IF(CI13=5,'[14]SDG^2 values'!$F$4,1)))))</f>
        <v>1.1000000000000001</v>
      </c>
      <c r="CV13" s="52">
        <f>IF(CJ13=1,'[14]SDG^2 values'!$B$5,IF(CJ13=2,'[14]SDG^2 values'!$C$5,IF(CJ13=3,'[14]SDG^2 values'!$D$5,IF(CJ13=4,'[14]SDG^2 values'!$E$5,IF(CJ13=5,'[14]SDG^2 values'!$F$5,1)))))</f>
        <v>1.02</v>
      </c>
      <c r="CW13" s="52">
        <f>IF(CK13=1,'[14]SDG^2 values'!$B$6,IF(CK13=2,'[14]SDG^2 values'!$C$6,IF(CK13=3,'[14]SDG^2 values'!$D$6,IF(CK13=4,'[14]SDG^2 values'!$E$6,IF(CK13=5,'[14]SDG^2 values'!$F$6,1)))))</f>
        <v>1</v>
      </c>
      <c r="CX13" s="52">
        <f>IF(CL13=1,'[14]SDG^2 values'!$B$7,IF(CL13=2,'[14]SDG^2 values'!$C$7,IF(CL13=3,'[14]SDG^2 values'!$D$7,IF(CL13=4,'[14]SDG^2 values'!$E$7,IF(CL13=5,'[14]SDG^2 values'!$F$7,1)))))</f>
        <v>1</v>
      </c>
      <c r="CY13" s="52">
        <f>IF(CM13=1,'[14]SDG^2 values'!$B$8,IF(CM13=2,'[14]SDG^2 values'!$C$8,IF(CM13=3,'[14]SDG^2 values'!$D$8,IF(CM13=4,'[14]SDG^2 values'!$E$8,IF(CM13=5,'[14]SDG^2 values'!$F$8,1)))))</f>
        <v>1</v>
      </c>
      <c r="CZ13" s="52">
        <f>IF(CN13=1,'[14]SDG^2 values'!$B$9,IF(CN13=2,'[14]SDG^2 values'!$C$9,IF(CN13=3,'[14]SDG^2 values'!$D$9,IF(CN13=4,'[14]SDG^2 values'!$E$9,IF(CN13=5,'[14]SDG^2 values'!$F$9,1)))))</f>
        <v>1.05</v>
      </c>
    </row>
    <row r="14" spans="1:104" ht="48">
      <c r="A14" s="156">
        <v>1318</v>
      </c>
      <c r="B14" s="168" t="s">
        <v>525</v>
      </c>
      <c r="C14" s="151"/>
      <c r="D14" s="152" t="s">
        <v>526</v>
      </c>
      <c r="E14" s="153" t="s">
        <v>402</v>
      </c>
      <c r="F14" s="144" t="str">
        <f>IF(OR(D14="4",E14="4"),INDEX([14]NamesElementary!$B$1:$B$65536,MATCH(A14,[14]NamesElementary!$A$1:$A$65536,0),1),INDEX([14]Names!$J$1:$J$65602,MATCH(A14,[14]Names!$F$1:$F$65602,0),1))</f>
        <v>3kWp flat roof installation, single-Si, on roof</v>
      </c>
      <c r="G14" s="125" t="str">
        <f>IF(OR(D14="4",E14="4"),"-",INDEX([14]Names!$K$1:$K$65602,MATCH(A14,[14]Names!$F$1:$F$65602,0),1))</f>
        <v>CH</v>
      </c>
      <c r="H14" s="154" t="str">
        <f>IF(OR(D14="4",E14="4"),INDEX([14]NamesElementary!$D$1:$D$65536,MATCH($A14,[14]NamesElementary!$A$1:$A$65536,0),1),"-")</f>
        <v>-</v>
      </c>
      <c r="I14" s="123" t="str">
        <f>IF(OR(D14="4",E14="4"),INDEX([14]NamesElementary!$E$1:$E$65536,MATCH($A14,[14]NamesElementary!$A$1:$A$65536,0),1),"-")</f>
        <v>-</v>
      </c>
      <c r="J14" s="124">
        <f>IF(OR(D14="4",E14="4"),"-",INDEX([14]Names!$N$1:$N$65602,MATCH(A14,[14]Names!$F$1:$F$65602,0),1))</f>
        <v>1</v>
      </c>
      <c r="K14" s="125" t="str">
        <f>IF(OR(D14="4",E14="4"),INDEX([14]NamesElementary!$G$1:$G$65536,MATCH(A14,[14]NamesElementary!$A$1:$A$65536,0),1),INDEX([14]Names!$O$1:$O$65602,MATCH(A14,[14]Names!$F$1:$F$65602,0),1))</f>
        <v>unit</v>
      </c>
      <c r="L14" s="155">
        <v>0</v>
      </c>
      <c r="M14" s="29">
        <f t="shared" si="0"/>
        <v>1</v>
      </c>
      <c r="N14" s="1">
        <f t="shared" si="1"/>
        <v>1.2365959919080913</v>
      </c>
      <c r="O14" s="139" t="str">
        <f t="shared" si="2"/>
        <v>(3,2,1,1,1,3); yield at good installation, average is lower while optimum would be higher, basic uncertainty = 1.2</v>
      </c>
      <c r="P14" s="155">
        <v>0</v>
      </c>
      <c r="Q14" s="29">
        <f t="shared" si="3"/>
        <v>1</v>
      </c>
      <c r="R14" s="1">
        <f t="shared" si="4"/>
        <v>1.2365959919080913</v>
      </c>
      <c r="S14" s="139" t="str">
        <f t="shared" si="5"/>
        <v>(3,2,1,1,1,3); yield at good installation, average is lower while optimum would be higher, basic uncertainty = 1.2</v>
      </c>
      <c r="T14" s="155">
        <v>0</v>
      </c>
      <c r="U14" s="29">
        <f t="shared" si="6"/>
        <v>1</v>
      </c>
      <c r="V14" s="1">
        <f t="shared" si="7"/>
        <v>1.2365959919080913</v>
      </c>
      <c r="W14" s="139" t="str">
        <f t="shared" si="8"/>
        <v>(3,2,1,1,1,3); yield at good installation, average is lower while optimum would be higher, basic uncertainty = 1.2</v>
      </c>
      <c r="X14" s="155">
        <v>0</v>
      </c>
      <c r="Y14" s="29">
        <f t="shared" si="9"/>
        <v>1</v>
      </c>
      <c r="Z14" s="1">
        <f t="shared" si="10"/>
        <v>1.2365959919080913</v>
      </c>
      <c r="AA14" s="139" t="str">
        <f t="shared" si="11"/>
        <v>(3,2,1,1,1,3); yield at good installation, average is lower while optimum would be higher, basic uncertainty = 1.2</v>
      </c>
      <c r="AB14" s="155" t="e">
        <f>1/(Schrägdach*3*lifetime)</f>
        <v>#REF!</v>
      </c>
      <c r="AC14" s="29">
        <f t="shared" si="12"/>
        <v>1</v>
      </c>
      <c r="AD14" s="1">
        <f t="shared" si="13"/>
        <v>1.2365959919080913</v>
      </c>
      <c r="AE14" s="139" t="str">
        <f t="shared" si="14"/>
        <v>(3,2,1,1,1,3); yield at good installation, average is lower while optimum would be higher, basic uncertainty = 1.2</v>
      </c>
      <c r="AF14" s="155">
        <v>0</v>
      </c>
      <c r="AG14" s="29">
        <f t="shared" si="15"/>
        <v>1</v>
      </c>
      <c r="AH14" s="1">
        <f t="shared" si="16"/>
        <v>1.2365959919080913</v>
      </c>
      <c r="AI14" s="139" t="str">
        <f t="shared" si="17"/>
        <v>(3,2,1,1,1,3); yield at good installation, average is lower while optimum would be higher, basic uncertainty = 1.2</v>
      </c>
      <c r="AJ14" s="155">
        <v>0</v>
      </c>
      <c r="AK14" s="29">
        <f t="shared" si="18"/>
        <v>1</v>
      </c>
      <c r="AL14" s="1">
        <f t="shared" si="19"/>
        <v>1.2365959919080913</v>
      </c>
      <c r="AM14" s="31" t="str">
        <f t="shared" si="20"/>
        <v>(3,2,1,1,1,3); yield at good installation, average is lower while optimum would be higher, basic uncertainty = 1.2</v>
      </c>
      <c r="AN14" s="155">
        <v>0</v>
      </c>
      <c r="AO14" s="29">
        <f t="shared" si="21"/>
        <v>1</v>
      </c>
      <c r="AP14" s="1">
        <f t="shared" si="22"/>
        <v>1.2365959919080913</v>
      </c>
      <c r="AQ14" s="139" t="str">
        <f t="shared" si="23"/>
        <v>(3,2,1,1,1,3); yield at good installation, average is lower while optimum would be higher, basic uncertainty = 1.2</v>
      </c>
      <c r="AR14" s="155">
        <v>0</v>
      </c>
      <c r="AS14" s="29">
        <f t="shared" si="24"/>
        <v>1</v>
      </c>
      <c r="AT14" s="1">
        <f t="shared" si="25"/>
        <v>1.2365959919080913</v>
      </c>
      <c r="AU14" s="31" t="str">
        <f t="shared" si="26"/>
        <v>(3,2,1,1,1,3); yield at good installation, average is lower while optimum would be higher, basic uncertainty = 1.2</v>
      </c>
      <c r="AV14" s="155">
        <v>0</v>
      </c>
      <c r="AW14" s="29">
        <f t="shared" si="27"/>
        <v>1</v>
      </c>
      <c r="AX14" s="1">
        <f t="shared" si="28"/>
        <v>1.2365959919080913</v>
      </c>
      <c r="AY14" s="139" t="str">
        <f t="shared" si="29"/>
        <v>(3,2,1,1,1,3); yield at good installation, average is lower while optimum would be higher, basic uncertainty = 1.2</v>
      </c>
      <c r="AZ14" s="155">
        <v>0</v>
      </c>
      <c r="BA14" s="29">
        <f t="shared" si="30"/>
        <v>1</v>
      </c>
      <c r="BB14" s="1">
        <f t="shared" si="31"/>
        <v>1.2365959919080913</v>
      </c>
      <c r="BC14" s="139" t="str">
        <f t="shared" si="32"/>
        <v>(3,2,1,1,1,3); yield at good installation, average is lower while optimum would be higher, basic uncertainty = 1.2</v>
      </c>
      <c r="BD14" s="155">
        <v>0</v>
      </c>
      <c r="BE14" s="29">
        <f t="shared" si="33"/>
        <v>1</v>
      </c>
      <c r="BF14" s="1">
        <f t="shared" si="34"/>
        <v>1.2365959919080913</v>
      </c>
      <c r="BG14" s="139" t="str">
        <f t="shared" si="35"/>
        <v>(3,2,1,1,1,3); yield at good installation, average is lower while optimum would be higher, basic uncertainty = 1.2</v>
      </c>
      <c r="BH14" s="29">
        <f t="shared" si="36"/>
        <v>1</v>
      </c>
      <c r="BI14" s="1">
        <f t="shared" si="37"/>
        <v>1.2365959919080913</v>
      </c>
      <c r="BJ14" s="139" t="str">
        <f t="shared" si="38"/>
        <v>(3,2,1,1,1,3); yield at good installation, average is lower while optimum would be higher, basic uncertainty = 1.2</v>
      </c>
      <c r="BK14" s="155">
        <v>0</v>
      </c>
      <c r="BL14" s="29">
        <f t="shared" si="39"/>
        <v>1</v>
      </c>
      <c r="BM14" s="1">
        <f t="shared" si="40"/>
        <v>1.2365959919080913</v>
      </c>
      <c r="BN14" s="139" t="str">
        <f t="shared" si="41"/>
        <v>(3,2,1,1,1,3); yield at good installation, average is lower while optimum would be higher, basic uncertainty = 1.2</v>
      </c>
      <c r="BO14" s="155">
        <v>0</v>
      </c>
      <c r="BP14" s="29">
        <f t="shared" si="42"/>
        <v>1</v>
      </c>
      <c r="BQ14" s="1">
        <f t="shared" si="43"/>
        <v>1.2365959919080913</v>
      </c>
      <c r="BR14" s="139" t="str">
        <f t="shared" si="44"/>
        <v>(3,2,1,1,1,3); yield at good installation, average is lower while optimum would be higher, basic uncertainty = 1.2</v>
      </c>
      <c r="BS14" s="155">
        <v>0</v>
      </c>
      <c r="BT14" s="29">
        <f t="shared" si="45"/>
        <v>1</v>
      </c>
      <c r="BU14" s="1">
        <f t="shared" si="46"/>
        <v>1.2365959919080913</v>
      </c>
      <c r="BV14" s="139" t="str">
        <f t="shared" si="47"/>
        <v>(3,2,1,1,1,3); yield at good installation, average is lower while optimum would be higher, basic uncertainty = 1.2</v>
      </c>
      <c r="BW14" s="155">
        <v>0</v>
      </c>
      <c r="BX14" s="29">
        <f t="shared" si="48"/>
        <v>1</v>
      </c>
      <c r="BY14" s="1">
        <f t="shared" si="49"/>
        <v>1.2365959919080913</v>
      </c>
      <c r="BZ14" s="31" t="str">
        <f t="shared" si="50"/>
        <v>(3,2,1,1,1,3); yield at good installation, average is lower while optimum would be higher, basic uncertainty = 1.2</v>
      </c>
      <c r="CA14" s="155" t="e">
        <f>1/(#REF!*3*lifetime)*CE14</f>
        <v>#REF!</v>
      </c>
      <c r="CB14" s="29">
        <v>1</v>
      </c>
      <c r="CC14" s="1">
        <f t="shared" si="51"/>
        <v>1.2365959919080913</v>
      </c>
      <c r="CD14" s="31" t="str">
        <f t="shared" si="55"/>
        <v>(3,2,1,1,1,3); average yield, estimation for share of technologies. Basic uncertainty = 1.2</v>
      </c>
      <c r="CE14" s="287" t="e">
        <f>#REF!</f>
        <v>#REF!</v>
      </c>
      <c r="CF14" s="289" t="e">
        <f>#REF!</f>
        <v>#REF!</v>
      </c>
      <c r="CG14" s="287" t="e">
        <f>#REF!</f>
        <v>#REF!</v>
      </c>
      <c r="CH14" s="115" t="str">
        <f t="shared" si="56"/>
        <v>yield at good installation, average is lower while optimum would be higher, basic uncertainty = 1.2</v>
      </c>
      <c r="CI14" s="10">
        <f t="shared" si="57"/>
        <v>3</v>
      </c>
      <c r="CJ14" s="50">
        <v>2</v>
      </c>
      <c r="CK14" s="50">
        <v>1</v>
      </c>
      <c r="CL14" s="50">
        <v>1</v>
      </c>
      <c r="CM14" s="50">
        <v>1</v>
      </c>
      <c r="CN14" s="50">
        <v>3</v>
      </c>
      <c r="CO14" s="50">
        <f>IF(OR($D14="4",$E14="4"),INDEX([14]NamesElementary!$J$1:$J$65536,MATCH($A14,[14]NamesElementary!$A$1:$A$65536,0),1),INDEX([14]Names!$W$1:$W$65602,MATCH($A14,[14]Names!$F$1:$F$65602,0),1))</f>
        <v>9</v>
      </c>
      <c r="CP14" s="312">
        <f t="shared" si="58"/>
        <v>1.2</v>
      </c>
      <c r="CQ14" s="87">
        <f t="shared" si="52"/>
        <v>1.1150377561073679</v>
      </c>
      <c r="CR14" s="88">
        <f t="shared" si="53"/>
        <v>1.2365959919080913</v>
      </c>
      <c r="CS14" s="89" t="str">
        <f t="shared" si="54"/>
        <v>(3,2,1,1,1,3)</v>
      </c>
      <c r="CU14" s="52">
        <f>IF(CI14=1,'[14]SDG^2 values'!$B$4,IF(CI14=2,'[14]SDG^2 values'!$C$4,IF(CI14=3,'[14]SDG^2 values'!$D$4,IF(CI14=4,'[14]SDG^2 values'!$E$4,IF(CI14=5,'[14]SDG^2 values'!$F$4,1)))))</f>
        <v>1.1000000000000001</v>
      </c>
      <c r="CV14" s="52">
        <f>IF(CJ14=1,'[14]SDG^2 values'!$B$5,IF(CJ14=2,'[14]SDG^2 values'!$C$5,IF(CJ14=3,'[14]SDG^2 values'!$D$5,IF(CJ14=4,'[14]SDG^2 values'!$E$5,IF(CJ14=5,'[14]SDG^2 values'!$F$5,1)))))</f>
        <v>1.02</v>
      </c>
      <c r="CW14" s="52">
        <f>IF(CK14=1,'[14]SDG^2 values'!$B$6,IF(CK14=2,'[14]SDG^2 values'!$C$6,IF(CK14=3,'[14]SDG^2 values'!$D$6,IF(CK14=4,'[14]SDG^2 values'!$E$6,IF(CK14=5,'[14]SDG^2 values'!$F$6,1)))))</f>
        <v>1</v>
      </c>
      <c r="CX14" s="52">
        <f>IF(CL14=1,'[14]SDG^2 values'!$B$7,IF(CL14=2,'[14]SDG^2 values'!$C$7,IF(CL14=3,'[14]SDG^2 values'!$D$7,IF(CL14=4,'[14]SDG^2 values'!$E$7,IF(CL14=5,'[14]SDG^2 values'!$F$7,1)))))</f>
        <v>1</v>
      </c>
      <c r="CY14" s="52">
        <f>IF(CM14=1,'[14]SDG^2 values'!$B$8,IF(CM14=2,'[14]SDG^2 values'!$C$8,IF(CM14=3,'[14]SDG^2 values'!$D$8,IF(CM14=4,'[14]SDG^2 values'!$E$8,IF(CM14=5,'[14]SDG^2 values'!$F$8,1)))))</f>
        <v>1</v>
      </c>
      <c r="CZ14" s="52">
        <f>IF(CN14=1,'[14]SDG^2 values'!$B$9,IF(CN14=2,'[14]SDG^2 values'!$C$9,IF(CN14=3,'[14]SDG^2 values'!$D$9,IF(CN14=4,'[14]SDG^2 values'!$E$9,IF(CN14=5,'[14]SDG^2 values'!$F$9,1)))))</f>
        <v>1.05</v>
      </c>
    </row>
    <row r="15" spans="1:104" ht="48">
      <c r="A15" s="156">
        <v>1320</v>
      </c>
      <c r="B15" s="168" t="s">
        <v>525</v>
      </c>
      <c r="C15" s="151"/>
      <c r="D15" s="152" t="s">
        <v>526</v>
      </c>
      <c r="E15" s="153" t="s">
        <v>402</v>
      </c>
      <c r="F15" s="144" t="str">
        <f>IF(OR(D15="4",E15="4"),INDEX([14]NamesElementary!$B$1:$B$65536,MATCH(A15,[14]NamesElementary!$A$1:$A$65536,0),1),INDEX([14]Names!$J$1:$J$65602,MATCH(A15,[14]Names!$F$1:$F$65602,0),1))</f>
        <v>3kWp flat roof installation, multi-Si, on roof</v>
      </c>
      <c r="G15" s="125" t="str">
        <f>IF(OR(D15="4",E15="4"),"-",INDEX([14]Names!$K$1:$K$65602,MATCH(A15,[14]Names!$F$1:$F$65602,0),1))</f>
        <v>CH</v>
      </c>
      <c r="H15" s="154" t="str">
        <f>IF(OR(D15="4",E15="4"),INDEX([14]NamesElementary!$D$1:$D$65536,MATCH($A15,[14]NamesElementary!$A$1:$A$65536,0),1),"-")</f>
        <v>-</v>
      </c>
      <c r="I15" s="123" t="str">
        <f>IF(OR(D15="4",E15="4"),INDEX([14]NamesElementary!$E$1:$E$65536,MATCH($A15,[14]NamesElementary!$A$1:$A$65536,0),1),"-")</f>
        <v>-</v>
      </c>
      <c r="J15" s="124">
        <f>IF(OR(D15="4",E15="4"),"-",INDEX([14]Names!$N$1:$N$65602,MATCH(A15,[14]Names!$F$1:$F$65602,0),1))</f>
        <v>1</v>
      </c>
      <c r="K15" s="125" t="str">
        <f>IF(OR(D15="4",E15="4"),INDEX([14]NamesElementary!$G$1:$G$65536,MATCH(A15,[14]NamesElementary!$A$1:$A$65536,0),1),INDEX([14]Names!$O$1:$O$65602,MATCH(A15,[14]Names!$F$1:$F$65602,0),1))</f>
        <v>unit</v>
      </c>
      <c r="L15" s="155">
        <v>0</v>
      </c>
      <c r="M15" s="29">
        <f t="shared" si="0"/>
        <v>1</v>
      </c>
      <c r="N15" s="1">
        <f t="shared" si="1"/>
        <v>1.2365959919080913</v>
      </c>
      <c r="O15" s="139" t="str">
        <f t="shared" si="2"/>
        <v>(3,2,1,1,1,3); yield at good installation, average is lower while optimum would be higher, basic uncertainty = 1.2</v>
      </c>
      <c r="P15" s="155">
        <v>0</v>
      </c>
      <c r="Q15" s="29">
        <f t="shared" si="3"/>
        <v>1</v>
      </c>
      <c r="R15" s="1">
        <f t="shared" si="4"/>
        <v>1.2365959919080913</v>
      </c>
      <c r="S15" s="139" t="str">
        <f t="shared" si="5"/>
        <v>(3,2,1,1,1,3); yield at good installation, average is lower while optimum would be higher, basic uncertainty = 1.2</v>
      </c>
      <c r="T15" s="155">
        <v>0</v>
      </c>
      <c r="U15" s="29">
        <f t="shared" si="6"/>
        <v>1</v>
      </c>
      <c r="V15" s="1">
        <f t="shared" si="7"/>
        <v>1.2365959919080913</v>
      </c>
      <c r="W15" s="139" t="str">
        <f t="shared" si="8"/>
        <v>(3,2,1,1,1,3); yield at good installation, average is lower while optimum would be higher, basic uncertainty = 1.2</v>
      </c>
      <c r="X15" s="155">
        <v>0</v>
      </c>
      <c r="Y15" s="29">
        <f t="shared" si="9"/>
        <v>1</v>
      </c>
      <c r="Z15" s="1">
        <f t="shared" si="10"/>
        <v>1.2365959919080913</v>
      </c>
      <c r="AA15" s="139" t="str">
        <f t="shared" si="11"/>
        <v>(3,2,1,1,1,3); yield at good installation, average is lower while optimum would be higher, basic uncertainty = 1.2</v>
      </c>
      <c r="AB15" s="155">
        <v>0</v>
      </c>
      <c r="AC15" s="29">
        <f t="shared" si="12"/>
        <v>1</v>
      </c>
      <c r="AD15" s="1">
        <f t="shared" si="13"/>
        <v>1.2365959919080913</v>
      </c>
      <c r="AE15" s="139" t="str">
        <f t="shared" si="14"/>
        <v>(3,2,1,1,1,3); yield at good installation, average is lower while optimum would be higher, basic uncertainty = 1.2</v>
      </c>
      <c r="AF15" s="155" t="e">
        <f>1/(Schrägdach*3*lifetime)</f>
        <v>#REF!</v>
      </c>
      <c r="AG15" s="29">
        <f t="shared" si="15"/>
        <v>1</v>
      </c>
      <c r="AH15" s="1">
        <f t="shared" si="16"/>
        <v>1.2365959919080913</v>
      </c>
      <c r="AI15" s="139" t="str">
        <f t="shared" si="17"/>
        <v>(3,2,1,1,1,3); yield at good installation, average is lower while optimum would be higher, basic uncertainty = 1.2</v>
      </c>
      <c r="AJ15" s="155">
        <v>0</v>
      </c>
      <c r="AK15" s="29">
        <f t="shared" si="18"/>
        <v>1</v>
      </c>
      <c r="AL15" s="1">
        <f t="shared" si="19"/>
        <v>1.2365959919080913</v>
      </c>
      <c r="AM15" s="31" t="str">
        <f t="shared" si="20"/>
        <v>(3,2,1,1,1,3); yield at good installation, average is lower while optimum would be higher, basic uncertainty = 1.2</v>
      </c>
      <c r="AN15" s="155">
        <v>0</v>
      </c>
      <c r="AO15" s="29">
        <f t="shared" si="21"/>
        <v>1</v>
      </c>
      <c r="AP15" s="1">
        <f t="shared" si="22"/>
        <v>1.2365959919080913</v>
      </c>
      <c r="AQ15" s="139" t="str">
        <f t="shared" si="23"/>
        <v>(3,2,1,1,1,3); yield at good installation, average is lower while optimum would be higher, basic uncertainty = 1.2</v>
      </c>
      <c r="AR15" s="155">
        <v>0</v>
      </c>
      <c r="AS15" s="29">
        <f t="shared" si="24"/>
        <v>1</v>
      </c>
      <c r="AT15" s="1">
        <f t="shared" si="25"/>
        <v>1.2365959919080913</v>
      </c>
      <c r="AU15" s="31" t="str">
        <f t="shared" si="26"/>
        <v>(3,2,1,1,1,3); yield at good installation, average is lower while optimum would be higher, basic uncertainty = 1.2</v>
      </c>
      <c r="AV15" s="155">
        <v>0</v>
      </c>
      <c r="AW15" s="29">
        <f t="shared" si="27"/>
        <v>1</v>
      </c>
      <c r="AX15" s="1">
        <f t="shared" si="28"/>
        <v>1.2365959919080913</v>
      </c>
      <c r="AY15" s="139" t="str">
        <f t="shared" si="29"/>
        <v>(3,2,1,1,1,3); yield at good installation, average is lower while optimum would be higher, basic uncertainty = 1.2</v>
      </c>
      <c r="AZ15" s="155">
        <v>0</v>
      </c>
      <c r="BA15" s="29">
        <f t="shared" si="30"/>
        <v>1</v>
      </c>
      <c r="BB15" s="1">
        <f t="shared" si="31"/>
        <v>1.2365959919080913</v>
      </c>
      <c r="BC15" s="139" t="str">
        <f t="shared" si="32"/>
        <v>(3,2,1,1,1,3); yield at good installation, average is lower while optimum would be higher, basic uncertainty = 1.2</v>
      </c>
      <c r="BD15" s="155">
        <v>0</v>
      </c>
      <c r="BE15" s="29">
        <f t="shared" si="33"/>
        <v>1</v>
      </c>
      <c r="BF15" s="1">
        <f t="shared" si="34"/>
        <v>1.2365959919080913</v>
      </c>
      <c r="BG15" s="139" t="str">
        <f t="shared" si="35"/>
        <v>(3,2,1,1,1,3); yield at good installation, average is lower while optimum would be higher, basic uncertainty = 1.2</v>
      </c>
      <c r="BH15" s="29">
        <f t="shared" si="36"/>
        <v>1</v>
      </c>
      <c r="BI15" s="1">
        <f t="shared" si="37"/>
        <v>1.2365959919080913</v>
      </c>
      <c r="BJ15" s="139" t="str">
        <f t="shared" si="38"/>
        <v>(3,2,1,1,1,3); yield at good installation, average is lower while optimum would be higher, basic uncertainty = 1.2</v>
      </c>
      <c r="BK15" s="155">
        <v>0</v>
      </c>
      <c r="BL15" s="29">
        <f t="shared" si="39"/>
        <v>1</v>
      </c>
      <c r="BM15" s="1">
        <f t="shared" si="40"/>
        <v>1.2365959919080913</v>
      </c>
      <c r="BN15" s="139" t="str">
        <f t="shared" si="41"/>
        <v>(3,2,1,1,1,3); yield at good installation, average is lower while optimum would be higher, basic uncertainty = 1.2</v>
      </c>
      <c r="BO15" s="155">
        <v>0</v>
      </c>
      <c r="BP15" s="29">
        <f t="shared" si="42"/>
        <v>1</v>
      </c>
      <c r="BQ15" s="1">
        <f t="shared" si="43"/>
        <v>1.2365959919080913</v>
      </c>
      <c r="BR15" s="139" t="str">
        <f t="shared" si="44"/>
        <v>(3,2,1,1,1,3); yield at good installation, average is lower while optimum would be higher, basic uncertainty = 1.2</v>
      </c>
      <c r="BS15" s="155">
        <v>0</v>
      </c>
      <c r="BT15" s="29">
        <f t="shared" si="45"/>
        <v>1</v>
      </c>
      <c r="BU15" s="1">
        <f t="shared" si="46"/>
        <v>1.2365959919080913</v>
      </c>
      <c r="BV15" s="139" t="str">
        <f t="shared" si="47"/>
        <v>(3,2,1,1,1,3); yield at good installation, average is lower while optimum would be higher, basic uncertainty = 1.2</v>
      </c>
      <c r="BW15" s="155">
        <v>0</v>
      </c>
      <c r="BX15" s="29">
        <f t="shared" si="48"/>
        <v>1</v>
      </c>
      <c r="BY15" s="1">
        <f t="shared" si="49"/>
        <v>1.2365959919080913</v>
      </c>
      <c r="BZ15" s="31" t="str">
        <f t="shared" si="50"/>
        <v>(3,2,1,1,1,3); yield at good installation, average is lower while optimum would be higher, basic uncertainty = 1.2</v>
      </c>
      <c r="CA15" s="155" t="e">
        <f>1/(#REF!*3*lifetime)*CE15</f>
        <v>#REF!</v>
      </c>
      <c r="CB15" s="29">
        <v>1</v>
      </c>
      <c r="CC15" s="1">
        <f t="shared" si="51"/>
        <v>1.2365959919080913</v>
      </c>
      <c r="CD15" s="31" t="str">
        <f t="shared" si="55"/>
        <v>(3,2,1,1,1,3); average yield, estimation for share of technologies. Basic uncertainty = 1.2</v>
      </c>
      <c r="CE15" s="287" t="e">
        <f>#REF!</f>
        <v>#REF!</v>
      </c>
      <c r="CF15" s="289" t="e">
        <f>#REF!</f>
        <v>#REF!</v>
      </c>
      <c r="CG15" s="287" t="e">
        <f>#REF!</f>
        <v>#REF!</v>
      </c>
      <c r="CH15" s="115" t="str">
        <f t="shared" si="56"/>
        <v>yield at good installation, average is lower while optimum would be higher, basic uncertainty = 1.2</v>
      </c>
      <c r="CI15" s="10">
        <f t="shared" si="57"/>
        <v>3</v>
      </c>
      <c r="CJ15" s="50">
        <v>2</v>
      </c>
      <c r="CK15" s="50">
        <v>1</v>
      </c>
      <c r="CL15" s="50">
        <v>1</v>
      </c>
      <c r="CM15" s="50">
        <v>1</v>
      </c>
      <c r="CN15" s="50">
        <v>3</v>
      </c>
      <c r="CO15" s="50">
        <f>IF(OR($D15="4",$E15="4"),INDEX([14]NamesElementary!$J$1:$J$65536,MATCH($A15,[14]NamesElementary!$A$1:$A$65536,0),1),INDEX([14]Names!$W$1:$W$65602,MATCH($A15,[14]Names!$F$1:$F$65602,0),1))</f>
        <v>9</v>
      </c>
      <c r="CP15" s="312">
        <f t="shared" si="58"/>
        <v>1.2</v>
      </c>
      <c r="CQ15" s="87">
        <f t="shared" si="52"/>
        <v>1.1150377561073679</v>
      </c>
      <c r="CR15" s="88">
        <f t="shared" si="53"/>
        <v>1.2365959919080913</v>
      </c>
      <c r="CS15" s="89" t="str">
        <f t="shared" si="54"/>
        <v>(3,2,1,1,1,3)</v>
      </c>
      <c r="CU15" s="52">
        <f>IF(CI15=1,'[14]SDG^2 values'!$B$4,IF(CI15=2,'[14]SDG^2 values'!$C$4,IF(CI15=3,'[14]SDG^2 values'!$D$4,IF(CI15=4,'[14]SDG^2 values'!$E$4,IF(CI15=5,'[14]SDG^2 values'!$F$4,1)))))</f>
        <v>1.1000000000000001</v>
      </c>
      <c r="CV15" s="52">
        <f>IF(CJ15=1,'[14]SDG^2 values'!$B$5,IF(CJ15=2,'[14]SDG^2 values'!$C$5,IF(CJ15=3,'[14]SDG^2 values'!$D$5,IF(CJ15=4,'[14]SDG^2 values'!$E$5,IF(CJ15=5,'[14]SDG^2 values'!$F$5,1)))))</f>
        <v>1.02</v>
      </c>
      <c r="CW15" s="52">
        <f>IF(CK15=1,'[14]SDG^2 values'!$B$6,IF(CK15=2,'[14]SDG^2 values'!$C$6,IF(CK15=3,'[14]SDG^2 values'!$D$6,IF(CK15=4,'[14]SDG^2 values'!$E$6,IF(CK15=5,'[14]SDG^2 values'!$F$6,1)))))</f>
        <v>1</v>
      </c>
      <c r="CX15" s="52">
        <f>IF(CL15=1,'[14]SDG^2 values'!$B$7,IF(CL15=2,'[14]SDG^2 values'!$C$7,IF(CL15=3,'[14]SDG^2 values'!$D$7,IF(CL15=4,'[14]SDG^2 values'!$E$7,IF(CL15=5,'[14]SDG^2 values'!$F$7,1)))))</f>
        <v>1</v>
      </c>
      <c r="CY15" s="52">
        <f>IF(CM15=1,'[14]SDG^2 values'!$B$8,IF(CM15=2,'[14]SDG^2 values'!$C$8,IF(CM15=3,'[14]SDG^2 values'!$D$8,IF(CM15=4,'[14]SDG^2 values'!$E$8,IF(CM15=5,'[14]SDG^2 values'!$F$8,1)))))</f>
        <v>1</v>
      </c>
      <c r="CZ15" s="52">
        <f>IF(CN15=1,'[14]SDG^2 values'!$B$9,IF(CN15=2,'[14]SDG^2 values'!$C$9,IF(CN15=3,'[14]SDG^2 values'!$D$9,IF(CN15=4,'[14]SDG^2 values'!$E$9,IF(CN15=5,'[14]SDG^2 values'!$F$9,1)))))</f>
        <v>1.05</v>
      </c>
    </row>
    <row r="16" spans="1:104" ht="48">
      <c r="A16" s="156">
        <v>1322</v>
      </c>
      <c r="B16" s="168" t="s">
        <v>525</v>
      </c>
      <c r="C16" s="151"/>
      <c r="D16" s="152" t="s">
        <v>526</v>
      </c>
      <c r="E16" s="153" t="s">
        <v>402</v>
      </c>
      <c r="F16" s="144" t="str">
        <f>IF(OR(D16="4",E16="4"),INDEX([14]NamesElementary!$B$1:$B$65536,MATCH(A16,[14]NamesElementary!$A$1:$A$65536,0),1),INDEX([14]Names!$J$1:$J$65602,MATCH(A16,[14]Names!$F$1:$F$65602,0),1))</f>
        <v>3kWp slanted-roof installation, single-Si, laminated, integrated, on roof</v>
      </c>
      <c r="G16" s="125" t="str">
        <f>IF(OR(D16="4",E16="4"),"-",INDEX([14]Names!$K$1:$K$65602,MATCH(A16,[14]Names!$F$1:$F$65602,0),1))</f>
        <v>CH</v>
      </c>
      <c r="H16" s="154" t="str">
        <f>IF(OR(D16="4",E16="4"),INDEX([14]NamesElementary!$D$1:$D$65536,MATCH($A16,[14]NamesElementary!$A$1:$A$65536,0),1),"-")</f>
        <v>-</v>
      </c>
      <c r="I16" s="123" t="str">
        <f>IF(OR(D16="4",E16="4"),INDEX([14]NamesElementary!$E$1:$E$65536,MATCH($A16,[14]NamesElementary!$A$1:$A$65536,0),1),"-")</f>
        <v>-</v>
      </c>
      <c r="J16" s="124">
        <f>IF(OR(D16="4",E16="4"),"-",INDEX([14]Names!$N$1:$N$65602,MATCH(A16,[14]Names!$F$1:$F$65602,0),1))</f>
        <v>1</v>
      </c>
      <c r="K16" s="125" t="str">
        <f>IF(OR(D16="4",E16="4"),INDEX([14]NamesElementary!$G$1:$G$65536,MATCH(A16,[14]NamesElementary!$A$1:$A$65536,0),1),INDEX([14]Names!$O$1:$O$65602,MATCH(A16,[14]Names!$F$1:$F$65602,0),1))</f>
        <v>unit</v>
      </c>
      <c r="L16" s="155">
        <v>0</v>
      </c>
      <c r="M16" s="29">
        <f t="shared" si="0"/>
        <v>1</v>
      </c>
      <c r="N16" s="1">
        <f t="shared" si="1"/>
        <v>1.2365959919080913</v>
      </c>
      <c r="O16" s="139" t="str">
        <f t="shared" si="2"/>
        <v>(3,2,1,1,1,3); yield at good installation, average is lower while optimum would be higher, basic uncertainty = 1.2</v>
      </c>
      <c r="P16" s="155">
        <v>0</v>
      </c>
      <c r="Q16" s="29">
        <f t="shared" si="3"/>
        <v>1</v>
      </c>
      <c r="R16" s="1">
        <f t="shared" si="4"/>
        <v>1.2365959919080913</v>
      </c>
      <c r="S16" s="139" t="str">
        <f t="shared" si="5"/>
        <v>(3,2,1,1,1,3); yield at good installation, average is lower while optimum would be higher, basic uncertainty = 1.2</v>
      </c>
      <c r="T16" s="155">
        <v>0</v>
      </c>
      <c r="U16" s="29">
        <f t="shared" si="6"/>
        <v>1</v>
      </c>
      <c r="V16" s="1">
        <f t="shared" si="7"/>
        <v>1.2365959919080913</v>
      </c>
      <c r="W16" s="139" t="str">
        <f t="shared" si="8"/>
        <v>(3,2,1,1,1,3); yield at good installation, average is lower while optimum would be higher, basic uncertainty = 1.2</v>
      </c>
      <c r="X16" s="155">
        <v>0</v>
      </c>
      <c r="Y16" s="29">
        <f t="shared" si="9"/>
        <v>1</v>
      </c>
      <c r="Z16" s="1">
        <f t="shared" si="10"/>
        <v>1.2365959919080913</v>
      </c>
      <c r="AA16" s="139" t="str">
        <f t="shared" si="11"/>
        <v>(3,2,1,1,1,3); yield at good installation, average is lower while optimum would be higher, basic uncertainty = 1.2</v>
      </c>
      <c r="AB16" s="155">
        <v>0</v>
      </c>
      <c r="AC16" s="29">
        <f t="shared" si="12"/>
        <v>1</v>
      </c>
      <c r="AD16" s="1">
        <f t="shared" si="13"/>
        <v>1.2365959919080913</v>
      </c>
      <c r="AE16" s="139" t="str">
        <f t="shared" si="14"/>
        <v>(3,2,1,1,1,3); yield at good installation, average is lower while optimum would be higher, basic uncertainty = 1.2</v>
      </c>
      <c r="AF16" s="155">
        <v>0</v>
      </c>
      <c r="AG16" s="29">
        <f t="shared" si="15"/>
        <v>1</v>
      </c>
      <c r="AH16" s="1">
        <f t="shared" si="16"/>
        <v>1.2365959919080913</v>
      </c>
      <c r="AI16" s="139" t="str">
        <f t="shared" si="17"/>
        <v>(3,2,1,1,1,3); yield at good installation, average is lower while optimum would be higher, basic uncertainty = 1.2</v>
      </c>
      <c r="AJ16" s="155" t="e">
        <f>1/(Schrägdach*3*lifetime)</f>
        <v>#REF!</v>
      </c>
      <c r="AK16" s="29">
        <f t="shared" si="18"/>
        <v>1</v>
      </c>
      <c r="AL16" s="1">
        <f t="shared" si="19"/>
        <v>1.2365959919080913</v>
      </c>
      <c r="AM16" s="31" t="str">
        <f t="shared" si="20"/>
        <v>(3,2,1,1,1,3); yield at good installation, average is lower while optimum would be higher, basic uncertainty = 1.2</v>
      </c>
      <c r="AN16" s="155">
        <v>0</v>
      </c>
      <c r="AO16" s="29">
        <f t="shared" si="21"/>
        <v>1</v>
      </c>
      <c r="AP16" s="1">
        <f t="shared" si="22"/>
        <v>1.2365959919080913</v>
      </c>
      <c r="AQ16" s="139" t="str">
        <f t="shared" si="23"/>
        <v>(3,2,1,1,1,3); yield at good installation, average is lower while optimum would be higher, basic uncertainty = 1.2</v>
      </c>
      <c r="AR16" s="155">
        <v>0</v>
      </c>
      <c r="AS16" s="29">
        <f t="shared" si="24"/>
        <v>1</v>
      </c>
      <c r="AT16" s="1">
        <f t="shared" si="25"/>
        <v>1.2365959919080913</v>
      </c>
      <c r="AU16" s="31" t="str">
        <f t="shared" si="26"/>
        <v>(3,2,1,1,1,3); yield at good installation, average is lower while optimum would be higher, basic uncertainty = 1.2</v>
      </c>
      <c r="AV16" s="155">
        <v>0</v>
      </c>
      <c r="AW16" s="29">
        <f t="shared" si="27"/>
        <v>1</v>
      </c>
      <c r="AX16" s="1">
        <f t="shared" si="28"/>
        <v>1.2365959919080913</v>
      </c>
      <c r="AY16" s="139" t="str">
        <f t="shared" si="29"/>
        <v>(3,2,1,1,1,3); yield at good installation, average is lower while optimum would be higher, basic uncertainty = 1.2</v>
      </c>
      <c r="AZ16" s="155">
        <v>0</v>
      </c>
      <c r="BA16" s="29">
        <f t="shared" si="30"/>
        <v>1</v>
      </c>
      <c r="BB16" s="1">
        <f t="shared" si="31"/>
        <v>1.2365959919080913</v>
      </c>
      <c r="BC16" s="139" t="str">
        <f t="shared" si="32"/>
        <v>(3,2,1,1,1,3); yield at good installation, average is lower while optimum would be higher, basic uncertainty = 1.2</v>
      </c>
      <c r="BD16" s="155">
        <v>0</v>
      </c>
      <c r="BE16" s="29">
        <f t="shared" si="33"/>
        <v>1</v>
      </c>
      <c r="BF16" s="1">
        <f t="shared" si="34"/>
        <v>1.2365959919080913</v>
      </c>
      <c r="BG16" s="139" t="str">
        <f t="shared" si="35"/>
        <v>(3,2,1,1,1,3); yield at good installation, average is lower while optimum would be higher, basic uncertainty = 1.2</v>
      </c>
      <c r="BH16" s="29">
        <f t="shared" si="36"/>
        <v>1</v>
      </c>
      <c r="BI16" s="1">
        <f t="shared" si="37"/>
        <v>1.2365959919080913</v>
      </c>
      <c r="BJ16" s="139" t="str">
        <f t="shared" si="38"/>
        <v>(3,2,1,1,1,3); yield at good installation, average is lower while optimum would be higher, basic uncertainty = 1.2</v>
      </c>
      <c r="BK16" s="155">
        <v>0</v>
      </c>
      <c r="BL16" s="29">
        <f t="shared" si="39"/>
        <v>1</v>
      </c>
      <c r="BM16" s="1">
        <f t="shared" si="40"/>
        <v>1.2365959919080913</v>
      </c>
      <c r="BN16" s="139" t="str">
        <f t="shared" si="41"/>
        <v>(3,2,1,1,1,3); yield at good installation, average is lower while optimum would be higher, basic uncertainty = 1.2</v>
      </c>
      <c r="BO16" s="155">
        <v>0</v>
      </c>
      <c r="BP16" s="29">
        <f t="shared" si="42"/>
        <v>1</v>
      </c>
      <c r="BQ16" s="1">
        <f t="shared" si="43"/>
        <v>1.2365959919080913</v>
      </c>
      <c r="BR16" s="139" t="str">
        <f t="shared" si="44"/>
        <v>(3,2,1,1,1,3); yield at good installation, average is lower while optimum would be higher, basic uncertainty = 1.2</v>
      </c>
      <c r="BS16" s="155">
        <v>0</v>
      </c>
      <c r="BT16" s="29">
        <f t="shared" si="45"/>
        <v>1</v>
      </c>
      <c r="BU16" s="1">
        <f t="shared" si="46"/>
        <v>1.2365959919080913</v>
      </c>
      <c r="BV16" s="139" t="str">
        <f t="shared" si="47"/>
        <v>(3,2,1,1,1,3); yield at good installation, average is lower while optimum would be higher, basic uncertainty = 1.2</v>
      </c>
      <c r="BW16" s="155">
        <v>0</v>
      </c>
      <c r="BX16" s="29">
        <f t="shared" si="48"/>
        <v>1</v>
      </c>
      <c r="BY16" s="1">
        <f t="shared" si="49"/>
        <v>1.2365959919080913</v>
      </c>
      <c r="BZ16" s="31" t="str">
        <f t="shared" si="50"/>
        <v>(3,2,1,1,1,3); yield at good installation, average is lower while optimum would be higher, basic uncertainty = 1.2</v>
      </c>
      <c r="CA16" s="155" t="e">
        <f>1/(#REF!*3*lifetime)*CE16</f>
        <v>#REF!</v>
      </c>
      <c r="CB16" s="29">
        <v>1</v>
      </c>
      <c r="CC16" s="1">
        <f t="shared" si="51"/>
        <v>1.2365959919080913</v>
      </c>
      <c r="CD16" s="31" t="str">
        <f t="shared" si="55"/>
        <v>(3,2,1,1,1,3); average yield, estimation for share of technologies. Basic uncertainty = 1.2</v>
      </c>
      <c r="CE16" s="287" t="e">
        <f>#REF!</f>
        <v>#REF!</v>
      </c>
      <c r="CF16" s="289" t="e">
        <f>#REF!</f>
        <v>#REF!</v>
      </c>
      <c r="CG16" s="287" t="e">
        <f>#REF!</f>
        <v>#REF!</v>
      </c>
      <c r="CH16" s="115" t="str">
        <f t="shared" si="56"/>
        <v>yield at good installation, average is lower while optimum would be higher, basic uncertainty = 1.2</v>
      </c>
      <c r="CI16" s="10">
        <f t="shared" si="57"/>
        <v>3</v>
      </c>
      <c r="CJ16" s="50">
        <v>2</v>
      </c>
      <c r="CK16" s="50">
        <v>1</v>
      </c>
      <c r="CL16" s="50">
        <v>1</v>
      </c>
      <c r="CM16" s="50">
        <v>1</v>
      </c>
      <c r="CN16" s="50">
        <v>3</v>
      </c>
      <c r="CO16" s="50">
        <f>IF(OR($D16="4",$E16="4"),INDEX([14]NamesElementary!$J$1:$J$65536,MATCH($A16,[14]NamesElementary!$A$1:$A$65536,0),1),INDEX([14]Names!$W$1:$W$65602,MATCH($A16,[14]Names!$F$1:$F$65602,0),1))</f>
        <v>9</v>
      </c>
      <c r="CP16" s="312">
        <f t="shared" si="58"/>
        <v>1.2</v>
      </c>
      <c r="CQ16" s="87">
        <f t="shared" si="52"/>
        <v>1.1150377561073679</v>
      </c>
      <c r="CR16" s="88">
        <f t="shared" si="53"/>
        <v>1.2365959919080913</v>
      </c>
      <c r="CS16" s="89" t="str">
        <f t="shared" si="54"/>
        <v>(3,2,1,1,1,3)</v>
      </c>
      <c r="CU16" s="52">
        <f>IF(CI16=1,'[14]SDG^2 values'!$B$4,IF(CI16=2,'[14]SDG^2 values'!$C$4,IF(CI16=3,'[14]SDG^2 values'!$D$4,IF(CI16=4,'[14]SDG^2 values'!$E$4,IF(CI16=5,'[14]SDG^2 values'!$F$4,1)))))</f>
        <v>1.1000000000000001</v>
      </c>
      <c r="CV16" s="52">
        <f>IF(CJ16=1,'[14]SDG^2 values'!$B$5,IF(CJ16=2,'[14]SDG^2 values'!$C$5,IF(CJ16=3,'[14]SDG^2 values'!$D$5,IF(CJ16=4,'[14]SDG^2 values'!$E$5,IF(CJ16=5,'[14]SDG^2 values'!$F$5,1)))))</f>
        <v>1.02</v>
      </c>
      <c r="CW16" s="52">
        <f>IF(CK16=1,'[14]SDG^2 values'!$B$6,IF(CK16=2,'[14]SDG^2 values'!$C$6,IF(CK16=3,'[14]SDG^2 values'!$D$6,IF(CK16=4,'[14]SDG^2 values'!$E$6,IF(CK16=5,'[14]SDG^2 values'!$F$6,1)))))</f>
        <v>1</v>
      </c>
      <c r="CX16" s="52">
        <f>IF(CL16=1,'[14]SDG^2 values'!$B$7,IF(CL16=2,'[14]SDG^2 values'!$C$7,IF(CL16=3,'[14]SDG^2 values'!$D$7,IF(CL16=4,'[14]SDG^2 values'!$E$7,IF(CL16=5,'[14]SDG^2 values'!$F$7,1)))))</f>
        <v>1</v>
      </c>
      <c r="CY16" s="52">
        <f>IF(CM16=1,'[14]SDG^2 values'!$B$8,IF(CM16=2,'[14]SDG^2 values'!$C$8,IF(CM16=3,'[14]SDG^2 values'!$D$8,IF(CM16=4,'[14]SDG^2 values'!$E$8,IF(CM16=5,'[14]SDG^2 values'!$F$8,1)))))</f>
        <v>1</v>
      </c>
      <c r="CZ16" s="52">
        <f>IF(CN16=1,'[14]SDG^2 values'!$B$9,IF(CN16=2,'[14]SDG^2 values'!$C$9,IF(CN16=3,'[14]SDG^2 values'!$D$9,IF(CN16=4,'[14]SDG^2 values'!$E$9,IF(CN16=5,'[14]SDG^2 values'!$F$9,1)))))</f>
        <v>1.05</v>
      </c>
    </row>
    <row r="17" spans="1:104" ht="48">
      <c r="A17" s="156">
        <v>1324</v>
      </c>
      <c r="B17" s="168" t="s">
        <v>525</v>
      </c>
      <c r="C17" s="151"/>
      <c r="D17" s="152" t="s">
        <v>526</v>
      </c>
      <c r="E17" s="153" t="s">
        <v>402</v>
      </c>
      <c r="F17" s="144" t="str">
        <f>IF(OR(D17="4",E17="4"),INDEX([14]NamesElementary!$B$1:$B$65536,MATCH(A17,[14]NamesElementary!$A$1:$A$65536,0),1),INDEX([14]Names!$J$1:$J$65602,MATCH(A17,[14]Names!$F$1:$F$65602,0),1))</f>
        <v>3kWp slanted-roof installation, single-Si, panel, mounted, on roof</v>
      </c>
      <c r="G17" s="125" t="str">
        <f>IF(OR(D17="4",E17="4"),"-",INDEX([14]Names!$K$1:$K$65602,MATCH(A17,[14]Names!$F$1:$F$65602,0),1))</f>
        <v>CH</v>
      </c>
      <c r="H17" s="154" t="str">
        <f>IF(OR(D17="4",E17="4"),INDEX([14]NamesElementary!$D$1:$D$65536,MATCH($A17,[14]NamesElementary!$A$1:$A$65536,0),1),"-")</f>
        <v>-</v>
      </c>
      <c r="I17" s="123" t="str">
        <f>IF(OR(D17="4",E17="4"),INDEX([14]NamesElementary!$E$1:$E$65536,MATCH($A17,[14]NamesElementary!$A$1:$A$65536,0),1),"-")</f>
        <v>-</v>
      </c>
      <c r="J17" s="124">
        <f>IF(OR(D17="4",E17="4"),"-",INDEX([14]Names!$N$1:$N$65602,MATCH(A17,[14]Names!$F$1:$F$65602,0),1))</f>
        <v>1</v>
      </c>
      <c r="K17" s="125" t="str">
        <f>IF(OR(D17="4",E17="4"),INDEX([14]NamesElementary!$G$1:$G$65536,MATCH(A17,[14]NamesElementary!$A$1:$A$65536,0),1),INDEX([14]Names!$O$1:$O$65602,MATCH(A17,[14]Names!$F$1:$F$65602,0),1))</f>
        <v>unit</v>
      </c>
      <c r="L17" s="155">
        <v>0</v>
      </c>
      <c r="M17" s="29">
        <f t="shared" si="0"/>
        <v>1</v>
      </c>
      <c r="N17" s="1">
        <f t="shared" si="1"/>
        <v>1.2365959919080913</v>
      </c>
      <c r="O17" s="139" t="str">
        <f t="shared" si="2"/>
        <v>(3,2,1,1,1,3); yield at good installation, average is lower while optimum would be higher, basic uncertainty = 1.2</v>
      </c>
      <c r="P17" s="155">
        <v>0</v>
      </c>
      <c r="Q17" s="29">
        <f t="shared" si="3"/>
        <v>1</v>
      </c>
      <c r="R17" s="1">
        <f t="shared" si="4"/>
        <v>1.2365959919080913</v>
      </c>
      <c r="S17" s="139" t="str">
        <f t="shared" si="5"/>
        <v>(3,2,1,1,1,3); yield at good installation, average is lower while optimum would be higher, basic uncertainty = 1.2</v>
      </c>
      <c r="T17" s="155">
        <v>0</v>
      </c>
      <c r="U17" s="29">
        <f t="shared" si="6"/>
        <v>1</v>
      </c>
      <c r="V17" s="1">
        <f t="shared" si="7"/>
        <v>1.2365959919080913</v>
      </c>
      <c r="W17" s="139" t="str">
        <f t="shared" si="8"/>
        <v>(3,2,1,1,1,3); yield at good installation, average is lower while optimum would be higher, basic uncertainty = 1.2</v>
      </c>
      <c r="X17" s="155">
        <v>0</v>
      </c>
      <c r="Y17" s="29">
        <f t="shared" si="9"/>
        <v>1</v>
      </c>
      <c r="Z17" s="1">
        <f t="shared" si="10"/>
        <v>1.2365959919080913</v>
      </c>
      <c r="AA17" s="139" t="str">
        <f t="shared" si="11"/>
        <v>(3,2,1,1,1,3); yield at good installation, average is lower while optimum would be higher, basic uncertainty = 1.2</v>
      </c>
      <c r="AB17" s="155">
        <v>0</v>
      </c>
      <c r="AC17" s="29">
        <f t="shared" si="12"/>
        <v>1</v>
      </c>
      <c r="AD17" s="1">
        <f t="shared" si="13"/>
        <v>1.2365959919080913</v>
      </c>
      <c r="AE17" s="139" t="str">
        <f t="shared" si="14"/>
        <v>(3,2,1,1,1,3); yield at good installation, average is lower while optimum would be higher, basic uncertainty = 1.2</v>
      </c>
      <c r="AF17" s="155">
        <v>0</v>
      </c>
      <c r="AG17" s="29">
        <f t="shared" si="15"/>
        <v>1</v>
      </c>
      <c r="AH17" s="1">
        <f t="shared" si="16"/>
        <v>1.2365959919080913</v>
      </c>
      <c r="AI17" s="139" t="str">
        <f t="shared" si="17"/>
        <v>(3,2,1,1,1,3); yield at good installation, average is lower while optimum would be higher, basic uncertainty = 1.2</v>
      </c>
      <c r="AJ17" s="155">
        <v>0</v>
      </c>
      <c r="AK17" s="29">
        <f t="shared" si="18"/>
        <v>1</v>
      </c>
      <c r="AL17" s="1">
        <f t="shared" si="19"/>
        <v>1.2365959919080913</v>
      </c>
      <c r="AM17" s="31" t="str">
        <f t="shared" si="20"/>
        <v>(3,2,1,1,1,3); yield at good installation, average is lower while optimum would be higher, basic uncertainty = 1.2</v>
      </c>
      <c r="AN17" s="155" t="e">
        <f>1/(Schrägdach*3*lifetime)</f>
        <v>#REF!</v>
      </c>
      <c r="AO17" s="29">
        <f t="shared" si="21"/>
        <v>1</v>
      </c>
      <c r="AP17" s="1">
        <f t="shared" si="22"/>
        <v>1.2365959919080913</v>
      </c>
      <c r="AQ17" s="139" t="str">
        <f t="shared" si="23"/>
        <v>(3,2,1,1,1,3); yield at good installation, average is lower while optimum would be higher, basic uncertainty = 1.2</v>
      </c>
      <c r="AR17" s="155">
        <v>0</v>
      </c>
      <c r="AS17" s="29">
        <f t="shared" si="24"/>
        <v>1</v>
      </c>
      <c r="AT17" s="1">
        <f t="shared" si="25"/>
        <v>1.2365959919080913</v>
      </c>
      <c r="AU17" s="31" t="str">
        <f t="shared" si="26"/>
        <v>(3,2,1,1,1,3); yield at good installation, average is lower while optimum would be higher, basic uncertainty = 1.2</v>
      </c>
      <c r="AV17" s="155">
        <v>0</v>
      </c>
      <c r="AW17" s="29">
        <f t="shared" si="27"/>
        <v>1</v>
      </c>
      <c r="AX17" s="1">
        <f t="shared" si="28"/>
        <v>1.2365959919080913</v>
      </c>
      <c r="AY17" s="139" t="str">
        <f t="shared" si="29"/>
        <v>(3,2,1,1,1,3); yield at good installation, average is lower while optimum would be higher, basic uncertainty = 1.2</v>
      </c>
      <c r="AZ17" s="155">
        <v>0</v>
      </c>
      <c r="BA17" s="29">
        <f t="shared" si="30"/>
        <v>1</v>
      </c>
      <c r="BB17" s="1">
        <f t="shared" si="31"/>
        <v>1.2365959919080913</v>
      </c>
      <c r="BC17" s="139" t="str">
        <f t="shared" si="32"/>
        <v>(3,2,1,1,1,3); yield at good installation, average is lower while optimum would be higher, basic uncertainty = 1.2</v>
      </c>
      <c r="BD17" s="155">
        <v>0</v>
      </c>
      <c r="BE17" s="29">
        <f t="shared" si="33"/>
        <v>1</v>
      </c>
      <c r="BF17" s="1">
        <f t="shared" si="34"/>
        <v>1.2365959919080913</v>
      </c>
      <c r="BG17" s="139" t="str">
        <f t="shared" si="35"/>
        <v>(3,2,1,1,1,3); yield at good installation, average is lower while optimum would be higher, basic uncertainty = 1.2</v>
      </c>
      <c r="BH17" s="29">
        <f t="shared" si="36"/>
        <v>1</v>
      </c>
      <c r="BI17" s="1">
        <f t="shared" si="37"/>
        <v>1.2365959919080913</v>
      </c>
      <c r="BJ17" s="139" t="str">
        <f t="shared" si="38"/>
        <v>(3,2,1,1,1,3); yield at good installation, average is lower while optimum would be higher, basic uncertainty = 1.2</v>
      </c>
      <c r="BK17" s="155">
        <v>0</v>
      </c>
      <c r="BL17" s="29">
        <f t="shared" si="39"/>
        <v>1</v>
      </c>
      <c r="BM17" s="1">
        <f t="shared" si="40"/>
        <v>1.2365959919080913</v>
      </c>
      <c r="BN17" s="139" t="str">
        <f t="shared" si="41"/>
        <v>(3,2,1,1,1,3); yield at good installation, average is lower while optimum would be higher, basic uncertainty = 1.2</v>
      </c>
      <c r="BO17" s="155">
        <v>0</v>
      </c>
      <c r="BP17" s="29">
        <f t="shared" si="42"/>
        <v>1</v>
      </c>
      <c r="BQ17" s="1">
        <f t="shared" si="43"/>
        <v>1.2365959919080913</v>
      </c>
      <c r="BR17" s="139" t="str">
        <f t="shared" si="44"/>
        <v>(3,2,1,1,1,3); yield at good installation, average is lower while optimum would be higher, basic uncertainty = 1.2</v>
      </c>
      <c r="BS17" s="155">
        <v>0</v>
      </c>
      <c r="BT17" s="29">
        <f t="shared" si="45"/>
        <v>1</v>
      </c>
      <c r="BU17" s="1">
        <f t="shared" si="46"/>
        <v>1.2365959919080913</v>
      </c>
      <c r="BV17" s="139" t="str">
        <f t="shared" si="47"/>
        <v>(3,2,1,1,1,3); yield at good installation, average is lower while optimum would be higher, basic uncertainty = 1.2</v>
      </c>
      <c r="BW17" s="155">
        <v>0</v>
      </c>
      <c r="BX17" s="29">
        <f t="shared" si="48"/>
        <v>1</v>
      </c>
      <c r="BY17" s="1">
        <f t="shared" si="49"/>
        <v>1.2365959919080913</v>
      </c>
      <c r="BZ17" s="31" t="str">
        <f t="shared" si="50"/>
        <v>(3,2,1,1,1,3); yield at good installation, average is lower while optimum would be higher, basic uncertainty = 1.2</v>
      </c>
      <c r="CA17" s="155" t="e">
        <f>1/(#REF!*3*lifetime)*CE17</f>
        <v>#REF!</v>
      </c>
      <c r="CB17" s="29">
        <v>1</v>
      </c>
      <c r="CC17" s="1">
        <f t="shared" si="51"/>
        <v>1.2365959919080913</v>
      </c>
      <c r="CD17" s="31" t="str">
        <f t="shared" si="55"/>
        <v>(3,2,1,1,1,3); average yield, estimation for share of technologies. Basic uncertainty = 1.2</v>
      </c>
      <c r="CE17" s="287" t="e">
        <f>#REF!</f>
        <v>#REF!</v>
      </c>
      <c r="CF17" s="289" t="e">
        <f>#REF!</f>
        <v>#REF!</v>
      </c>
      <c r="CG17" s="287" t="e">
        <f>#REF!</f>
        <v>#REF!</v>
      </c>
      <c r="CH17" s="115" t="str">
        <f t="shared" si="56"/>
        <v>yield at good installation, average is lower while optimum would be higher, basic uncertainty = 1.2</v>
      </c>
      <c r="CI17" s="10">
        <f t="shared" si="57"/>
        <v>3</v>
      </c>
      <c r="CJ17" s="50">
        <v>2</v>
      </c>
      <c r="CK17" s="50">
        <v>1</v>
      </c>
      <c r="CL17" s="50">
        <v>1</v>
      </c>
      <c r="CM17" s="50">
        <v>1</v>
      </c>
      <c r="CN17" s="50">
        <v>3</v>
      </c>
      <c r="CO17" s="50">
        <f>IF(OR($D17="4",$E17="4"),INDEX([14]NamesElementary!$J$1:$J$65536,MATCH($A17,[14]NamesElementary!$A$1:$A$65536,0),1),INDEX([14]Names!$W$1:$W$65602,MATCH($A17,[14]Names!$F$1:$F$65602,0),1))</f>
        <v>9</v>
      </c>
      <c r="CP17" s="312">
        <f t="shared" si="58"/>
        <v>1.2</v>
      </c>
      <c r="CQ17" s="87">
        <f t="shared" si="52"/>
        <v>1.1150377561073679</v>
      </c>
      <c r="CR17" s="88">
        <f t="shared" si="53"/>
        <v>1.2365959919080913</v>
      </c>
      <c r="CS17" s="89" t="str">
        <f t="shared" si="54"/>
        <v>(3,2,1,1,1,3)</v>
      </c>
      <c r="CU17" s="52">
        <f>IF(CI17=1,'[14]SDG^2 values'!$B$4,IF(CI17=2,'[14]SDG^2 values'!$C$4,IF(CI17=3,'[14]SDG^2 values'!$D$4,IF(CI17=4,'[14]SDG^2 values'!$E$4,IF(CI17=5,'[14]SDG^2 values'!$F$4,1)))))</f>
        <v>1.1000000000000001</v>
      </c>
      <c r="CV17" s="52">
        <f>IF(CJ17=1,'[14]SDG^2 values'!$B$5,IF(CJ17=2,'[14]SDG^2 values'!$C$5,IF(CJ17=3,'[14]SDG^2 values'!$D$5,IF(CJ17=4,'[14]SDG^2 values'!$E$5,IF(CJ17=5,'[14]SDG^2 values'!$F$5,1)))))</f>
        <v>1.02</v>
      </c>
      <c r="CW17" s="52">
        <f>IF(CK17=1,'[14]SDG^2 values'!$B$6,IF(CK17=2,'[14]SDG^2 values'!$C$6,IF(CK17=3,'[14]SDG^2 values'!$D$6,IF(CK17=4,'[14]SDG^2 values'!$E$6,IF(CK17=5,'[14]SDG^2 values'!$F$6,1)))))</f>
        <v>1</v>
      </c>
      <c r="CX17" s="52">
        <f>IF(CL17=1,'[14]SDG^2 values'!$B$7,IF(CL17=2,'[14]SDG^2 values'!$C$7,IF(CL17=3,'[14]SDG^2 values'!$D$7,IF(CL17=4,'[14]SDG^2 values'!$E$7,IF(CL17=5,'[14]SDG^2 values'!$F$7,1)))))</f>
        <v>1</v>
      </c>
      <c r="CY17" s="52">
        <f>IF(CM17=1,'[14]SDG^2 values'!$B$8,IF(CM17=2,'[14]SDG^2 values'!$C$8,IF(CM17=3,'[14]SDG^2 values'!$D$8,IF(CM17=4,'[14]SDG^2 values'!$E$8,IF(CM17=5,'[14]SDG^2 values'!$F$8,1)))))</f>
        <v>1</v>
      </c>
      <c r="CZ17" s="52">
        <f>IF(CN17=1,'[14]SDG^2 values'!$B$9,IF(CN17=2,'[14]SDG^2 values'!$C$9,IF(CN17=3,'[14]SDG^2 values'!$D$9,IF(CN17=4,'[14]SDG^2 values'!$E$9,IF(CN17=5,'[14]SDG^2 values'!$F$9,1)))))</f>
        <v>1.05</v>
      </c>
    </row>
    <row r="18" spans="1:104" ht="48">
      <c r="A18" s="156">
        <v>1326</v>
      </c>
      <c r="B18" s="168" t="s">
        <v>525</v>
      </c>
      <c r="C18" s="151"/>
      <c r="D18" s="152" t="s">
        <v>526</v>
      </c>
      <c r="E18" s="153" t="s">
        <v>402</v>
      </c>
      <c r="F18" s="144" t="str">
        <f>IF(OR(D18="4",E18="4"),INDEX([14]NamesElementary!$B$1:$B$65536,MATCH(A18,[14]NamesElementary!$A$1:$A$65536,0),1),INDEX([14]Names!$J$1:$J$65602,MATCH(A18,[14]Names!$F$1:$F$65602,0),1))</f>
        <v>3kWp slanted-roof installation, multi-Si, laminated, integrated, on roof</v>
      </c>
      <c r="G18" s="125" t="str">
        <f>IF(OR(D18="4",E18="4"),"-",INDEX([14]Names!$K$1:$K$65602,MATCH(A18,[14]Names!$F$1:$F$65602,0),1))</f>
        <v>CH</v>
      </c>
      <c r="H18" s="154" t="str">
        <f>IF(OR(D18="4",E18="4"),INDEX([14]NamesElementary!$D$1:$D$65536,MATCH($A18,[14]NamesElementary!$A$1:$A$65536,0),1),"-")</f>
        <v>-</v>
      </c>
      <c r="I18" s="123" t="str">
        <f>IF(OR(D18="4",E18="4"),INDEX([14]NamesElementary!$E$1:$E$65536,MATCH($A18,[14]NamesElementary!$A$1:$A$65536,0),1),"-")</f>
        <v>-</v>
      </c>
      <c r="J18" s="124">
        <f>IF(OR(D18="4",E18="4"),"-",INDEX([14]Names!$N$1:$N$65602,MATCH(A18,[14]Names!$F$1:$F$65602,0),1))</f>
        <v>1</v>
      </c>
      <c r="K18" s="125" t="str">
        <f>IF(OR(D18="4",E18="4"),INDEX([14]NamesElementary!$G$1:$G$65536,MATCH(A18,[14]NamesElementary!$A$1:$A$65536,0),1),INDEX([14]Names!$O$1:$O$65602,MATCH(A18,[14]Names!$F$1:$F$65602,0),1))</f>
        <v>unit</v>
      </c>
      <c r="L18" s="155">
        <v>0</v>
      </c>
      <c r="M18" s="29">
        <f t="shared" si="0"/>
        <v>1</v>
      </c>
      <c r="N18" s="1">
        <f t="shared" si="1"/>
        <v>1.2365959919080913</v>
      </c>
      <c r="O18" s="139" t="str">
        <f t="shared" si="2"/>
        <v>(3,2,1,1,1,3); yield at good installation, average is lower while optimum would be higher, basic uncertainty = 1.2</v>
      </c>
      <c r="P18" s="155">
        <v>0</v>
      </c>
      <c r="Q18" s="29">
        <f t="shared" si="3"/>
        <v>1</v>
      </c>
      <c r="R18" s="1">
        <f t="shared" si="4"/>
        <v>1.2365959919080913</v>
      </c>
      <c r="S18" s="139" t="str">
        <f t="shared" si="5"/>
        <v>(3,2,1,1,1,3); yield at good installation, average is lower while optimum would be higher, basic uncertainty = 1.2</v>
      </c>
      <c r="T18" s="155">
        <v>0</v>
      </c>
      <c r="U18" s="29">
        <f t="shared" si="6"/>
        <v>1</v>
      </c>
      <c r="V18" s="1">
        <f t="shared" si="7"/>
        <v>1.2365959919080913</v>
      </c>
      <c r="W18" s="139" t="str">
        <f t="shared" si="8"/>
        <v>(3,2,1,1,1,3); yield at good installation, average is lower while optimum would be higher, basic uncertainty = 1.2</v>
      </c>
      <c r="X18" s="155">
        <v>0</v>
      </c>
      <c r="Y18" s="29">
        <f t="shared" si="9"/>
        <v>1</v>
      </c>
      <c r="Z18" s="1">
        <f t="shared" si="10"/>
        <v>1.2365959919080913</v>
      </c>
      <c r="AA18" s="139" t="str">
        <f t="shared" si="11"/>
        <v>(3,2,1,1,1,3); yield at good installation, average is lower while optimum would be higher, basic uncertainty = 1.2</v>
      </c>
      <c r="AB18" s="155">
        <v>0</v>
      </c>
      <c r="AC18" s="29">
        <f t="shared" si="12"/>
        <v>1</v>
      </c>
      <c r="AD18" s="1">
        <f t="shared" si="13"/>
        <v>1.2365959919080913</v>
      </c>
      <c r="AE18" s="139" t="str">
        <f t="shared" si="14"/>
        <v>(3,2,1,1,1,3); yield at good installation, average is lower while optimum would be higher, basic uncertainty = 1.2</v>
      </c>
      <c r="AF18" s="155">
        <v>0</v>
      </c>
      <c r="AG18" s="29">
        <f t="shared" si="15"/>
        <v>1</v>
      </c>
      <c r="AH18" s="1">
        <f t="shared" si="16"/>
        <v>1.2365959919080913</v>
      </c>
      <c r="AI18" s="139" t="str">
        <f t="shared" si="17"/>
        <v>(3,2,1,1,1,3); yield at good installation, average is lower while optimum would be higher, basic uncertainty = 1.2</v>
      </c>
      <c r="AJ18" s="155">
        <v>0</v>
      </c>
      <c r="AK18" s="29">
        <f t="shared" si="18"/>
        <v>1</v>
      </c>
      <c r="AL18" s="1">
        <f t="shared" si="19"/>
        <v>1.2365959919080913</v>
      </c>
      <c r="AM18" s="31" t="str">
        <f t="shared" si="20"/>
        <v>(3,2,1,1,1,3); yield at good installation, average is lower while optimum would be higher, basic uncertainty = 1.2</v>
      </c>
      <c r="AN18" s="155">
        <v>0</v>
      </c>
      <c r="AO18" s="29">
        <f t="shared" si="21"/>
        <v>1</v>
      </c>
      <c r="AP18" s="1">
        <f t="shared" si="22"/>
        <v>1.2365959919080913</v>
      </c>
      <c r="AQ18" s="139" t="str">
        <f t="shared" si="23"/>
        <v>(3,2,1,1,1,3); yield at good installation, average is lower while optimum would be higher, basic uncertainty = 1.2</v>
      </c>
      <c r="AR18" s="155" t="e">
        <f>1/(Schrägdach*3*lifetime)</f>
        <v>#REF!</v>
      </c>
      <c r="AS18" s="29">
        <f t="shared" si="24"/>
        <v>1</v>
      </c>
      <c r="AT18" s="1">
        <f t="shared" si="25"/>
        <v>1.2365959919080913</v>
      </c>
      <c r="AU18" s="31" t="str">
        <f t="shared" si="26"/>
        <v>(3,2,1,1,1,3); yield at good installation, average is lower while optimum would be higher, basic uncertainty = 1.2</v>
      </c>
      <c r="AV18" s="155">
        <v>0</v>
      </c>
      <c r="AW18" s="29">
        <f t="shared" si="27"/>
        <v>1</v>
      </c>
      <c r="AX18" s="1">
        <f t="shared" si="28"/>
        <v>1.2365959919080913</v>
      </c>
      <c r="AY18" s="139" t="str">
        <f t="shared" si="29"/>
        <v>(3,2,1,1,1,3); yield at good installation, average is lower while optimum would be higher, basic uncertainty = 1.2</v>
      </c>
      <c r="AZ18" s="155">
        <v>0</v>
      </c>
      <c r="BA18" s="29">
        <f t="shared" si="30"/>
        <v>1</v>
      </c>
      <c r="BB18" s="1">
        <f t="shared" si="31"/>
        <v>1.2365959919080913</v>
      </c>
      <c r="BC18" s="139" t="str">
        <f t="shared" si="32"/>
        <v>(3,2,1,1,1,3); yield at good installation, average is lower while optimum would be higher, basic uncertainty = 1.2</v>
      </c>
      <c r="BD18" s="155">
        <v>0</v>
      </c>
      <c r="BE18" s="29">
        <f t="shared" si="33"/>
        <v>1</v>
      </c>
      <c r="BF18" s="1">
        <f t="shared" si="34"/>
        <v>1.2365959919080913</v>
      </c>
      <c r="BG18" s="139" t="str">
        <f t="shared" si="35"/>
        <v>(3,2,1,1,1,3); yield at good installation, average is lower while optimum would be higher, basic uncertainty = 1.2</v>
      </c>
      <c r="BH18" s="29">
        <f t="shared" si="36"/>
        <v>1</v>
      </c>
      <c r="BI18" s="1">
        <f t="shared" si="37"/>
        <v>1.2365959919080913</v>
      </c>
      <c r="BJ18" s="139" t="str">
        <f t="shared" si="38"/>
        <v>(3,2,1,1,1,3); yield at good installation, average is lower while optimum would be higher, basic uncertainty = 1.2</v>
      </c>
      <c r="BK18" s="155">
        <v>0</v>
      </c>
      <c r="BL18" s="29">
        <f t="shared" si="39"/>
        <v>1</v>
      </c>
      <c r="BM18" s="1">
        <f t="shared" si="40"/>
        <v>1.2365959919080913</v>
      </c>
      <c r="BN18" s="139" t="str">
        <f t="shared" si="41"/>
        <v>(3,2,1,1,1,3); yield at good installation, average is lower while optimum would be higher, basic uncertainty = 1.2</v>
      </c>
      <c r="BO18" s="155">
        <v>0</v>
      </c>
      <c r="BP18" s="29">
        <f t="shared" si="42"/>
        <v>1</v>
      </c>
      <c r="BQ18" s="1">
        <f t="shared" si="43"/>
        <v>1.2365959919080913</v>
      </c>
      <c r="BR18" s="139" t="str">
        <f t="shared" si="44"/>
        <v>(3,2,1,1,1,3); yield at good installation, average is lower while optimum would be higher, basic uncertainty = 1.2</v>
      </c>
      <c r="BS18" s="155">
        <v>0</v>
      </c>
      <c r="BT18" s="29">
        <f t="shared" si="45"/>
        <v>1</v>
      </c>
      <c r="BU18" s="1">
        <f t="shared" si="46"/>
        <v>1.2365959919080913</v>
      </c>
      <c r="BV18" s="139" t="str">
        <f t="shared" si="47"/>
        <v>(3,2,1,1,1,3); yield at good installation, average is lower while optimum would be higher, basic uncertainty = 1.2</v>
      </c>
      <c r="BW18" s="155">
        <v>0</v>
      </c>
      <c r="BX18" s="29">
        <f t="shared" si="48"/>
        <v>1</v>
      </c>
      <c r="BY18" s="1">
        <f t="shared" si="49"/>
        <v>1.2365959919080913</v>
      </c>
      <c r="BZ18" s="31" t="str">
        <f t="shared" si="50"/>
        <v>(3,2,1,1,1,3); yield at good installation, average is lower while optimum would be higher, basic uncertainty = 1.2</v>
      </c>
      <c r="CA18" s="155" t="e">
        <f>1/(#REF!*3*lifetime)*CE18</f>
        <v>#REF!</v>
      </c>
      <c r="CB18" s="29">
        <v>1</v>
      </c>
      <c r="CC18" s="1">
        <f t="shared" si="51"/>
        <v>1.2365959919080913</v>
      </c>
      <c r="CD18" s="31" t="str">
        <f t="shared" si="55"/>
        <v>(3,2,1,1,1,3); average yield, estimation for share of technologies. Basic uncertainty = 1.2</v>
      </c>
      <c r="CE18" s="287" t="e">
        <f>#REF!</f>
        <v>#REF!</v>
      </c>
      <c r="CF18" s="289" t="e">
        <f>#REF!</f>
        <v>#REF!</v>
      </c>
      <c r="CG18" s="287" t="e">
        <f>#REF!</f>
        <v>#REF!</v>
      </c>
      <c r="CH18" s="115" t="str">
        <f t="shared" si="56"/>
        <v>yield at good installation, average is lower while optimum would be higher, basic uncertainty = 1.2</v>
      </c>
      <c r="CI18" s="10">
        <f t="shared" si="57"/>
        <v>3</v>
      </c>
      <c r="CJ18" s="50">
        <v>2</v>
      </c>
      <c r="CK18" s="50">
        <v>1</v>
      </c>
      <c r="CL18" s="50">
        <v>1</v>
      </c>
      <c r="CM18" s="50">
        <v>1</v>
      </c>
      <c r="CN18" s="50">
        <v>3</v>
      </c>
      <c r="CO18" s="50">
        <f>IF(OR($D18="4",$E18="4"),INDEX([14]NamesElementary!$J$1:$J$65536,MATCH($A18,[14]NamesElementary!$A$1:$A$65536,0),1),INDEX([14]Names!$W$1:$W$65602,MATCH($A18,[14]Names!$F$1:$F$65602,0),1))</f>
        <v>9</v>
      </c>
      <c r="CP18" s="312">
        <f t="shared" si="58"/>
        <v>1.2</v>
      </c>
      <c r="CQ18" s="87">
        <f t="shared" si="52"/>
        <v>1.1150377561073679</v>
      </c>
      <c r="CR18" s="88">
        <f t="shared" si="53"/>
        <v>1.2365959919080913</v>
      </c>
      <c r="CS18" s="89" t="str">
        <f t="shared" si="54"/>
        <v>(3,2,1,1,1,3)</v>
      </c>
      <c r="CU18" s="52">
        <f>IF(CI18=1,'[14]SDG^2 values'!$B$4,IF(CI18=2,'[14]SDG^2 values'!$C$4,IF(CI18=3,'[14]SDG^2 values'!$D$4,IF(CI18=4,'[14]SDG^2 values'!$E$4,IF(CI18=5,'[14]SDG^2 values'!$F$4,1)))))</f>
        <v>1.1000000000000001</v>
      </c>
      <c r="CV18" s="52">
        <f>IF(CJ18=1,'[14]SDG^2 values'!$B$5,IF(CJ18=2,'[14]SDG^2 values'!$C$5,IF(CJ18=3,'[14]SDG^2 values'!$D$5,IF(CJ18=4,'[14]SDG^2 values'!$E$5,IF(CJ18=5,'[14]SDG^2 values'!$F$5,1)))))</f>
        <v>1.02</v>
      </c>
      <c r="CW18" s="52">
        <f>IF(CK18=1,'[14]SDG^2 values'!$B$6,IF(CK18=2,'[14]SDG^2 values'!$C$6,IF(CK18=3,'[14]SDG^2 values'!$D$6,IF(CK18=4,'[14]SDG^2 values'!$E$6,IF(CK18=5,'[14]SDG^2 values'!$F$6,1)))))</f>
        <v>1</v>
      </c>
      <c r="CX18" s="52">
        <f>IF(CL18=1,'[14]SDG^2 values'!$B$7,IF(CL18=2,'[14]SDG^2 values'!$C$7,IF(CL18=3,'[14]SDG^2 values'!$D$7,IF(CL18=4,'[14]SDG^2 values'!$E$7,IF(CL18=5,'[14]SDG^2 values'!$F$7,1)))))</f>
        <v>1</v>
      </c>
      <c r="CY18" s="52">
        <f>IF(CM18=1,'[14]SDG^2 values'!$B$8,IF(CM18=2,'[14]SDG^2 values'!$C$8,IF(CM18=3,'[14]SDG^2 values'!$D$8,IF(CM18=4,'[14]SDG^2 values'!$E$8,IF(CM18=5,'[14]SDG^2 values'!$F$8,1)))))</f>
        <v>1</v>
      </c>
      <c r="CZ18" s="52">
        <f>IF(CN18=1,'[14]SDG^2 values'!$B$9,IF(CN18=2,'[14]SDG^2 values'!$C$9,IF(CN18=3,'[14]SDG^2 values'!$D$9,IF(CN18=4,'[14]SDG^2 values'!$E$9,IF(CN18=5,'[14]SDG^2 values'!$F$9,1)))))</f>
        <v>1.05</v>
      </c>
    </row>
    <row r="19" spans="1:104" ht="48" customHeight="1" outlineLevel="1">
      <c r="A19" s="156">
        <v>1328</v>
      </c>
      <c r="B19" s="168" t="s">
        <v>525</v>
      </c>
      <c r="C19" s="151"/>
      <c r="D19" s="152" t="s">
        <v>526</v>
      </c>
      <c r="E19" s="153" t="s">
        <v>402</v>
      </c>
      <c r="F19" s="144" t="str">
        <f>IF(OR(D19="4",E19="4"),INDEX([14]NamesElementary!$B$1:$B$65536,MATCH(A19,[14]NamesElementary!$A$1:$A$65536,0),1),INDEX([14]Names!$J$1:$J$65602,MATCH(A19,[14]Names!$F$1:$F$65602,0),1))</f>
        <v>3kWp slanted-roof installation, multi-Si, panel, mounted, on roof</v>
      </c>
      <c r="G19" s="125" t="str">
        <f>IF(OR(D19="4",E19="4"),"-",INDEX([14]Names!$K$1:$K$65602,MATCH(A19,[14]Names!$F$1:$F$65602,0),1))</f>
        <v>CH</v>
      </c>
      <c r="H19" s="154" t="str">
        <f>IF(OR(D19="4",E19="4"),INDEX([14]NamesElementary!$D$1:$D$65536,MATCH($A19,[14]NamesElementary!$A$1:$A$65536,0),1),"-")</f>
        <v>-</v>
      </c>
      <c r="I19" s="123" t="str">
        <f>IF(OR(D19="4",E19="4"),INDEX([14]NamesElementary!$E$1:$E$65536,MATCH($A19,[14]NamesElementary!$A$1:$A$65536,0),1),"-")</f>
        <v>-</v>
      </c>
      <c r="J19" s="124">
        <f>IF(OR(D19="4",E19="4"),"-",INDEX([14]Names!$N$1:$N$65602,MATCH(A19,[14]Names!$F$1:$F$65602,0),1))</f>
        <v>1</v>
      </c>
      <c r="K19" s="125" t="str">
        <f>IF(OR(D19="4",E19="4"),INDEX([14]NamesElementary!$G$1:$G$65536,MATCH(A19,[14]NamesElementary!$A$1:$A$65536,0),1),INDEX([14]Names!$O$1:$O$65602,MATCH(A19,[14]Names!$F$1:$F$65602,0),1))</f>
        <v>unit</v>
      </c>
      <c r="L19" s="155">
        <v>0</v>
      </c>
      <c r="M19" s="29">
        <f t="shared" si="0"/>
        <v>1</v>
      </c>
      <c r="N19" s="1">
        <f t="shared" si="1"/>
        <v>1.2365959919080913</v>
      </c>
      <c r="O19" s="139" t="str">
        <f t="shared" si="2"/>
        <v>(3,2,1,1,1,3); yield at good installation, average is lower while optimum would be higher, basic uncertainty = 1.2</v>
      </c>
      <c r="P19" s="155">
        <v>0</v>
      </c>
      <c r="Q19" s="29">
        <f t="shared" si="3"/>
        <v>1</v>
      </c>
      <c r="R19" s="1">
        <f t="shared" si="4"/>
        <v>1.2365959919080913</v>
      </c>
      <c r="S19" s="139" t="str">
        <f t="shared" si="5"/>
        <v>(3,2,1,1,1,3); yield at good installation, average is lower while optimum would be higher, basic uncertainty = 1.2</v>
      </c>
      <c r="T19" s="155">
        <v>0</v>
      </c>
      <c r="U19" s="29">
        <f t="shared" si="6"/>
        <v>1</v>
      </c>
      <c r="V19" s="1">
        <f t="shared" si="7"/>
        <v>1.2365959919080913</v>
      </c>
      <c r="W19" s="139" t="str">
        <f t="shared" si="8"/>
        <v>(3,2,1,1,1,3); yield at good installation, average is lower while optimum would be higher, basic uncertainty = 1.2</v>
      </c>
      <c r="X19" s="155">
        <v>0</v>
      </c>
      <c r="Y19" s="29">
        <f t="shared" si="9"/>
        <v>1</v>
      </c>
      <c r="Z19" s="1">
        <f t="shared" si="10"/>
        <v>1.2365959919080913</v>
      </c>
      <c r="AA19" s="139" t="str">
        <f t="shared" si="11"/>
        <v>(3,2,1,1,1,3); yield at good installation, average is lower while optimum would be higher, basic uncertainty = 1.2</v>
      </c>
      <c r="AB19" s="155">
        <v>0</v>
      </c>
      <c r="AC19" s="29">
        <f t="shared" si="12"/>
        <v>1</v>
      </c>
      <c r="AD19" s="1">
        <f t="shared" si="13"/>
        <v>1.2365959919080913</v>
      </c>
      <c r="AE19" s="139" t="str">
        <f t="shared" si="14"/>
        <v>(3,2,1,1,1,3); yield at good installation, average is lower while optimum would be higher, basic uncertainty = 1.2</v>
      </c>
      <c r="AF19" s="155">
        <v>0</v>
      </c>
      <c r="AG19" s="29">
        <f t="shared" si="15"/>
        <v>1</v>
      </c>
      <c r="AH19" s="1">
        <f t="shared" si="16"/>
        <v>1.2365959919080913</v>
      </c>
      <c r="AI19" s="139" t="str">
        <f t="shared" si="17"/>
        <v>(3,2,1,1,1,3); yield at good installation, average is lower while optimum would be higher, basic uncertainty = 1.2</v>
      </c>
      <c r="AJ19" s="155">
        <v>0</v>
      </c>
      <c r="AK19" s="29">
        <f t="shared" si="18"/>
        <v>1</v>
      </c>
      <c r="AL19" s="1">
        <f t="shared" si="19"/>
        <v>1.2365959919080913</v>
      </c>
      <c r="AM19" s="31" t="str">
        <f t="shared" si="20"/>
        <v>(3,2,1,1,1,3); yield at good installation, average is lower while optimum would be higher, basic uncertainty = 1.2</v>
      </c>
      <c r="AN19" s="155">
        <v>0</v>
      </c>
      <c r="AO19" s="29">
        <f t="shared" si="21"/>
        <v>1</v>
      </c>
      <c r="AP19" s="1">
        <f t="shared" si="22"/>
        <v>1.2365959919080913</v>
      </c>
      <c r="AQ19" s="139" t="str">
        <f t="shared" si="23"/>
        <v>(3,2,1,1,1,3); yield at good installation, average is lower while optimum would be higher, basic uncertainty = 1.2</v>
      </c>
      <c r="AR19" s="155">
        <v>0</v>
      </c>
      <c r="AS19" s="29">
        <f t="shared" si="24"/>
        <v>1</v>
      </c>
      <c r="AT19" s="1">
        <f t="shared" si="25"/>
        <v>1.2365959919080913</v>
      </c>
      <c r="AU19" s="31" t="str">
        <f t="shared" si="26"/>
        <v>(3,2,1,1,1,3); yield at good installation, average is lower while optimum would be higher, basic uncertainty = 1.2</v>
      </c>
      <c r="AV19" s="155" t="e">
        <f>1/(Schrägdach*3*lifetime)</f>
        <v>#REF!</v>
      </c>
      <c r="AW19" s="29">
        <f t="shared" si="27"/>
        <v>1</v>
      </c>
      <c r="AX19" s="1">
        <f t="shared" si="28"/>
        <v>1.2365959919080913</v>
      </c>
      <c r="AY19" s="139" t="str">
        <f t="shared" si="29"/>
        <v>(3,2,1,1,1,3); yield at good installation, average is lower while optimum would be higher, basic uncertainty = 1.2</v>
      </c>
      <c r="AZ19" s="155">
        <v>0</v>
      </c>
      <c r="BA19" s="29">
        <f t="shared" si="30"/>
        <v>1</v>
      </c>
      <c r="BB19" s="1">
        <f t="shared" si="31"/>
        <v>1.2365959919080913</v>
      </c>
      <c r="BC19" s="139" t="str">
        <f t="shared" si="32"/>
        <v>(3,2,1,1,1,3); yield at good installation, average is lower while optimum would be higher, basic uncertainty = 1.2</v>
      </c>
      <c r="BD19" s="155">
        <v>0</v>
      </c>
      <c r="BE19" s="29">
        <f t="shared" si="33"/>
        <v>1</v>
      </c>
      <c r="BF19" s="1">
        <f t="shared" si="34"/>
        <v>1.2365959919080913</v>
      </c>
      <c r="BG19" s="139" t="str">
        <f t="shared" si="35"/>
        <v>(3,2,1,1,1,3); yield at good installation, average is lower while optimum would be higher, basic uncertainty = 1.2</v>
      </c>
      <c r="BH19" s="29">
        <f t="shared" si="36"/>
        <v>1</v>
      </c>
      <c r="BI19" s="1">
        <f t="shared" si="37"/>
        <v>1.2365959919080913</v>
      </c>
      <c r="BJ19" s="139" t="str">
        <f t="shared" si="38"/>
        <v>(3,2,1,1,1,3); yield at good installation, average is lower while optimum would be higher, basic uncertainty = 1.2</v>
      </c>
      <c r="BK19" s="155">
        <v>0</v>
      </c>
      <c r="BL19" s="29">
        <f t="shared" si="39"/>
        <v>1</v>
      </c>
      <c r="BM19" s="1">
        <f t="shared" si="40"/>
        <v>1.2365959919080913</v>
      </c>
      <c r="BN19" s="139" t="str">
        <f t="shared" si="41"/>
        <v>(3,2,1,1,1,3); yield at good installation, average is lower while optimum would be higher, basic uncertainty = 1.2</v>
      </c>
      <c r="BO19" s="155">
        <v>0</v>
      </c>
      <c r="BP19" s="29">
        <f t="shared" si="42"/>
        <v>1</v>
      </c>
      <c r="BQ19" s="1">
        <f t="shared" si="43"/>
        <v>1.2365959919080913</v>
      </c>
      <c r="BR19" s="139" t="str">
        <f t="shared" si="44"/>
        <v>(3,2,1,1,1,3); yield at good installation, average is lower while optimum would be higher, basic uncertainty = 1.2</v>
      </c>
      <c r="BS19" s="155">
        <v>0</v>
      </c>
      <c r="BT19" s="29">
        <f t="shared" si="45"/>
        <v>1</v>
      </c>
      <c r="BU19" s="1">
        <f t="shared" si="46"/>
        <v>1.2365959919080913</v>
      </c>
      <c r="BV19" s="139" t="str">
        <f t="shared" si="47"/>
        <v>(3,2,1,1,1,3); yield at good installation, average is lower while optimum would be higher, basic uncertainty = 1.2</v>
      </c>
      <c r="BW19" s="155">
        <v>0</v>
      </c>
      <c r="BX19" s="29">
        <f t="shared" si="48"/>
        <v>1</v>
      </c>
      <c r="BY19" s="1">
        <f t="shared" si="49"/>
        <v>1.2365959919080913</v>
      </c>
      <c r="BZ19" s="31" t="str">
        <f t="shared" si="50"/>
        <v>(3,2,1,1,1,3); yield at good installation, average is lower while optimum would be higher, basic uncertainty = 1.2</v>
      </c>
      <c r="CA19" s="155" t="e">
        <f>1/(#REF!*3*lifetime)*CE19</f>
        <v>#REF!</v>
      </c>
      <c r="CB19" s="29">
        <v>1</v>
      </c>
      <c r="CC19" s="1">
        <f t="shared" si="51"/>
        <v>1.2365959919080913</v>
      </c>
      <c r="CD19" s="31" t="str">
        <f t="shared" si="55"/>
        <v>(3,2,1,1,1,3); average yield, estimation for share of technologies. Basic uncertainty = 1.2</v>
      </c>
      <c r="CE19" s="287" t="e">
        <f>#REF!</f>
        <v>#REF!</v>
      </c>
      <c r="CF19" s="289" t="e">
        <f>#REF!</f>
        <v>#REF!</v>
      </c>
      <c r="CG19" s="287" t="e">
        <f>#REF!</f>
        <v>#REF!</v>
      </c>
      <c r="CH19" s="115" t="str">
        <f t="shared" si="56"/>
        <v>yield at good installation, average is lower while optimum would be higher, basic uncertainty = 1.2</v>
      </c>
      <c r="CI19" s="10">
        <f t="shared" si="57"/>
        <v>3</v>
      </c>
      <c r="CJ19" s="50">
        <v>2</v>
      </c>
      <c r="CK19" s="50">
        <v>1</v>
      </c>
      <c r="CL19" s="50">
        <v>1</v>
      </c>
      <c r="CM19" s="50">
        <v>1</v>
      </c>
      <c r="CN19" s="50">
        <v>3</v>
      </c>
      <c r="CO19" s="50">
        <f>IF(OR($D19="4",$E19="4"),INDEX([14]NamesElementary!$J$1:$J$65536,MATCH($A19,[14]NamesElementary!$A$1:$A$65536,0),1),INDEX([14]Names!$W$1:$W$65602,MATCH($A19,[14]Names!$F$1:$F$65602,0),1))</f>
        <v>9</v>
      </c>
      <c r="CP19" s="312">
        <f t="shared" si="58"/>
        <v>1.2</v>
      </c>
      <c r="CQ19" s="87">
        <f t="shared" si="52"/>
        <v>1.1150377561073679</v>
      </c>
      <c r="CR19" s="88">
        <f t="shared" si="53"/>
        <v>1.2365959919080913</v>
      </c>
      <c r="CS19" s="89" t="str">
        <f t="shared" si="54"/>
        <v>(3,2,1,1,1,3)</v>
      </c>
      <c r="CU19" s="52">
        <f>IF(CI19=1,'[14]SDG^2 values'!$B$4,IF(CI19=2,'[14]SDG^2 values'!$C$4,IF(CI19=3,'[14]SDG^2 values'!$D$4,IF(CI19=4,'[14]SDG^2 values'!$E$4,IF(CI19=5,'[14]SDG^2 values'!$F$4,1)))))</f>
        <v>1.1000000000000001</v>
      </c>
      <c r="CV19" s="52">
        <f>IF(CJ19=1,'[14]SDG^2 values'!$B$5,IF(CJ19=2,'[14]SDG^2 values'!$C$5,IF(CJ19=3,'[14]SDG^2 values'!$D$5,IF(CJ19=4,'[14]SDG^2 values'!$E$5,IF(CJ19=5,'[14]SDG^2 values'!$F$5,1)))))</f>
        <v>1.02</v>
      </c>
      <c r="CW19" s="52">
        <f>IF(CK19=1,'[14]SDG^2 values'!$B$6,IF(CK19=2,'[14]SDG^2 values'!$C$6,IF(CK19=3,'[14]SDG^2 values'!$D$6,IF(CK19=4,'[14]SDG^2 values'!$E$6,IF(CK19=5,'[14]SDG^2 values'!$F$6,1)))))</f>
        <v>1</v>
      </c>
      <c r="CX19" s="52">
        <f>IF(CL19=1,'[14]SDG^2 values'!$B$7,IF(CL19=2,'[14]SDG^2 values'!$C$7,IF(CL19=3,'[14]SDG^2 values'!$D$7,IF(CL19=4,'[14]SDG^2 values'!$E$7,IF(CL19=5,'[14]SDG^2 values'!$F$7,1)))))</f>
        <v>1</v>
      </c>
      <c r="CY19" s="52">
        <f>IF(CM19=1,'[14]SDG^2 values'!$B$8,IF(CM19=2,'[14]SDG^2 values'!$C$8,IF(CM19=3,'[14]SDG^2 values'!$D$8,IF(CM19=4,'[14]SDG^2 values'!$E$8,IF(CM19=5,'[14]SDG^2 values'!$F$8,1)))))</f>
        <v>1</v>
      </c>
      <c r="CZ19" s="52">
        <f>IF(CN19=1,'[14]SDG^2 values'!$B$9,IF(CN19=2,'[14]SDG^2 values'!$C$9,IF(CN19=3,'[14]SDG^2 values'!$D$9,IF(CN19=4,'[14]SDG^2 values'!$E$9,IF(CN19=5,'[14]SDG^2 values'!$F$9,1)))))</f>
        <v>1.05</v>
      </c>
    </row>
    <row r="20" spans="1:104" ht="48" customHeight="1" outlineLevel="1">
      <c r="A20" s="120">
        <v>32066</v>
      </c>
      <c r="B20" s="168" t="s">
        <v>525</v>
      </c>
      <c r="C20" s="151"/>
      <c r="D20" s="152" t="s">
        <v>526</v>
      </c>
      <c r="E20" s="153" t="s">
        <v>402</v>
      </c>
      <c r="F20" s="144" t="str">
        <f>IF(OR(D20="4",E20="4"),INDEX([14]NamesElementary!$B$1:$B$65536,MATCH(A20,[14]NamesElementary!$A$1:$A$65536,0),1),INDEX([14]Names!$J$1:$J$65602,MATCH(A20,[14]Names!$F$1:$F$65602,0),1))</f>
        <v>3kWp slanted-roof installation, ribbon-Si, panel, mounted, on roof</v>
      </c>
      <c r="G20" s="125" t="str">
        <f>IF(OR(D20="4",E20="4"),"-",INDEX([14]Names!$K$1:$K$65602,MATCH(A20,[14]Names!$F$1:$F$65602,0),1))</f>
        <v>CH</v>
      </c>
      <c r="H20" s="154" t="str">
        <f>IF(OR(D20="4",E20="4"),INDEX([14]NamesElementary!$D$1:$D$65536,MATCH($A20,[14]NamesElementary!$A$1:$A$65536,0),1),"-")</f>
        <v>-</v>
      </c>
      <c r="I20" s="123" t="str">
        <f>IF(OR(D20="4",E20="4"),INDEX([14]NamesElementary!$E$1:$E$65536,MATCH($A20,[14]NamesElementary!$A$1:$A$65536,0),1),"-")</f>
        <v>-</v>
      </c>
      <c r="J20" s="124">
        <f>IF(OR(D20="4",E20="4"),"-",INDEX([14]Names!$N$1:$N$65602,MATCH(A20,[14]Names!$F$1:$F$65602,0),1))</f>
        <v>1</v>
      </c>
      <c r="K20" s="125" t="str">
        <f>IF(OR(D20="4",E20="4"),INDEX([14]NamesElementary!$G$1:$G$65536,MATCH(A20,[14]NamesElementary!$A$1:$A$65536,0),1),INDEX([14]Names!$O$1:$O$65602,MATCH(A20,[14]Names!$F$1:$F$65602,0),1))</f>
        <v>unit</v>
      </c>
      <c r="L20" s="155">
        <v>0</v>
      </c>
      <c r="M20" s="29">
        <f t="shared" si="0"/>
        <v>1</v>
      </c>
      <c r="N20" s="1">
        <f t="shared" si="1"/>
        <v>1.2365959919080913</v>
      </c>
      <c r="O20" s="139" t="str">
        <f t="shared" si="2"/>
        <v>(3,2,1,1,1,3); yield at good installation, average is lower while optimum would be higher, basic uncertainty = 1.2</v>
      </c>
      <c r="P20" s="155">
        <v>0</v>
      </c>
      <c r="Q20" s="29">
        <f t="shared" si="3"/>
        <v>1</v>
      </c>
      <c r="R20" s="1">
        <f t="shared" si="4"/>
        <v>1.2365959919080913</v>
      </c>
      <c r="S20" s="139" t="str">
        <f t="shared" si="5"/>
        <v>(3,2,1,1,1,3); yield at good installation, average is lower while optimum would be higher, basic uncertainty = 1.2</v>
      </c>
      <c r="T20" s="155">
        <v>0</v>
      </c>
      <c r="U20" s="29">
        <f t="shared" si="6"/>
        <v>1</v>
      </c>
      <c r="V20" s="1">
        <f t="shared" si="7"/>
        <v>1.2365959919080913</v>
      </c>
      <c r="W20" s="139" t="str">
        <f t="shared" si="8"/>
        <v>(3,2,1,1,1,3); yield at good installation, average is lower while optimum would be higher, basic uncertainty = 1.2</v>
      </c>
      <c r="X20" s="155">
        <v>0</v>
      </c>
      <c r="Y20" s="29">
        <f t="shared" si="9"/>
        <v>1</v>
      </c>
      <c r="Z20" s="1">
        <f t="shared" si="10"/>
        <v>1.2365959919080913</v>
      </c>
      <c r="AA20" s="139" t="str">
        <f t="shared" si="11"/>
        <v>(3,2,1,1,1,3); yield at good installation, average is lower while optimum would be higher, basic uncertainty = 1.2</v>
      </c>
      <c r="AB20" s="155">
        <v>0</v>
      </c>
      <c r="AC20" s="29">
        <f t="shared" si="12"/>
        <v>1</v>
      </c>
      <c r="AD20" s="1">
        <f t="shared" si="13"/>
        <v>1.2365959919080913</v>
      </c>
      <c r="AE20" s="139" t="str">
        <f t="shared" si="14"/>
        <v>(3,2,1,1,1,3); yield at good installation, average is lower while optimum would be higher, basic uncertainty = 1.2</v>
      </c>
      <c r="AF20" s="155">
        <v>0</v>
      </c>
      <c r="AG20" s="29">
        <f t="shared" si="15"/>
        <v>1</v>
      </c>
      <c r="AH20" s="1">
        <f t="shared" si="16"/>
        <v>1.2365959919080913</v>
      </c>
      <c r="AI20" s="139" t="str">
        <f t="shared" si="17"/>
        <v>(3,2,1,1,1,3); yield at good installation, average is lower while optimum would be higher, basic uncertainty = 1.2</v>
      </c>
      <c r="AJ20" s="155">
        <v>0</v>
      </c>
      <c r="AK20" s="29">
        <f t="shared" si="18"/>
        <v>1</v>
      </c>
      <c r="AL20" s="1">
        <f t="shared" si="19"/>
        <v>1.2365959919080913</v>
      </c>
      <c r="AM20" s="31" t="str">
        <f t="shared" si="20"/>
        <v>(3,2,1,1,1,3); yield at good installation, average is lower while optimum would be higher, basic uncertainty = 1.2</v>
      </c>
      <c r="AN20" s="155">
        <v>0</v>
      </c>
      <c r="AO20" s="29">
        <f t="shared" si="21"/>
        <v>1</v>
      </c>
      <c r="AP20" s="1">
        <f t="shared" si="22"/>
        <v>1.2365959919080913</v>
      </c>
      <c r="AQ20" s="139" t="str">
        <f t="shared" si="23"/>
        <v>(3,2,1,1,1,3); yield at good installation, average is lower while optimum would be higher, basic uncertainty = 1.2</v>
      </c>
      <c r="AR20" s="155">
        <v>0</v>
      </c>
      <c r="AS20" s="29">
        <f t="shared" si="24"/>
        <v>1</v>
      </c>
      <c r="AT20" s="1">
        <f t="shared" si="25"/>
        <v>1.2365959919080913</v>
      </c>
      <c r="AU20" s="31" t="str">
        <f t="shared" si="26"/>
        <v>(3,2,1,1,1,3); yield at good installation, average is lower while optimum would be higher, basic uncertainty = 1.2</v>
      </c>
      <c r="AV20" s="155">
        <v>0</v>
      </c>
      <c r="AW20" s="29">
        <f t="shared" si="27"/>
        <v>1</v>
      </c>
      <c r="AX20" s="1">
        <f t="shared" si="28"/>
        <v>1.2365959919080913</v>
      </c>
      <c r="AY20" s="139" t="str">
        <f t="shared" si="29"/>
        <v>(3,2,1,1,1,3); yield at good installation, average is lower while optimum would be higher, basic uncertainty = 1.2</v>
      </c>
      <c r="AZ20" s="155" t="e">
        <f>1/(Schrägdach*3*lifetime)</f>
        <v>#REF!</v>
      </c>
      <c r="BA20" s="29">
        <f t="shared" si="30"/>
        <v>1</v>
      </c>
      <c r="BB20" s="1">
        <f t="shared" si="31"/>
        <v>1.2365959919080913</v>
      </c>
      <c r="BC20" s="139" t="str">
        <f t="shared" si="32"/>
        <v>(3,2,1,1,1,3); yield at good installation, average is lower while optimum would be higher, basic uncertainty = 1.2</v>
      </c>
      <c r="BD20" s="155">
        <v>0</v>
      </c>
      <c r="BE20" s="29">
        <f t="shared" si="33"/>
        <v>1</v>
      </c>
      <c r="BF20" s="1">
        <f t="shared" si="34"/>
        <v>1.2365959919080913</v>
      </c>
      <c r="BG20" s="139" t="str">
        <f t="shared" si="35"/>
        <v>(3,2,1,1,1,3); yield at good installation, average is lower while optimum would be higher, basic uncertainty = 1.2</v>
      </c>
      <c r="BH20" s="29">
        <f t="shared" si="36"/>
        <v>1</v>
      </c>
      <c r="BI20" s="1">
        <f t="shared" si="37"/>
        <v>1.2365959919080913</v>
      </c>
      <c r="BJ20" s="139" t="str">
        <f t="shared" si="38"/>
        <v>(3,2,1,1,1,3); yield at good installation, average is lower while optimum would be higher, basic uncertainty = 1.2</v>
      </c>
      <c r="BK20" s="155">
        <v>0</v>
      </c>
      <c r="BL20" s="29">
        <f t="shared" si="39"/>
        <v>1</v>
      </c>
      <c r="BM20" s="1">
        <f t="shared" si="40"/>
        <v>1.2365959919080913</v>
      </c>
      <c r="BN20" s="139" t="str">
        <f t="shared" si="41"/>
        <v>(3,2,1,1,1,3); yield at good installation, average is lower while optimum would be higher, basic uncertainty = 1.2</v>
      </c>
      <c r="BO20" s="155">
        <v>0</v>
      </c>
      <c r="BP20" s="29">
        <f t="shared" si="42"/>
        <v>1</v>
      </c>
      <c r="BQ20" s="1">
        <f t="shared" si="43"/>
        <v>1.2365959919080913</v>
      </c>
      <c r="BR20" s="139" t="str">
        <f t="shared" si="44"/>
        <v>(3,2,1,1,1,3); yield at good installation, average is lower while optimum would be higher, basic uncertainty = 1.2</v>
      </c>
      <c r="BS20" s="155">
        <v>0</v>
      </c>
      <c r="BT20" s="29">
        <f t="shared" si="45"/>
        <v>1</v>
      </c>
      <c r="BU20" s="1">
        <f t="shared" si="46"/>
        <v>1.2365959919080913</v>
      </c>
      <c r="BV20" s="139" t="str">
        <f t="shared" si="47"/>
        <v>(3,2,1,1,1,3); yield at good installation, average is lower while optimum would be higher, basic uncertainty = 1.2</v>
      </c>
      <c r="BW20" s="155">
        <v>0</v>
      </c>
      <c r="BX20" s="29">
        <f t="shared" si="48"/>
        <v>1</v>
      </c>
      <c r="BY20" s="1">
        <f t="shared" si="49"/>
        <v>1.2365959919080913</v>
      </c>
      <c r="BZ20" s="31" t="str">
        <f t="shared" si="50"/>
        <v>(3,2,1,1,1,3); yield at good installation, average is lower while optimum would be higher, basic uncertainty = 1.2</v>
      </c>
      <c r="CA20" s="155" t="e">
        <f>1/(#REF!*3*lifetime)*CE20</f>
        <v>#REF!</v>
      </c>
      <c r="CB20" s="29">
        <v>1</v>
      </c>
      <c r="CC20" s="1">
        <f>EXP(SQRT((LN(CR20)^2)+(LN(CR$27)^2)))</f>
        <v>1.2365959919080913</v>
      </c>
      <c r="CD20" s="31" t="str">
        <f t="shared" si="55"/>
        <v>(3,2,1,1,1,3); average yield, estimation for share of technologies. Basic uncertainty = 1.2</v>
      </c>
      <c r="CE20" s="287" t="e">
        <f>#REF!</f>
        <v>#REF!</v>
      </c>
      <c r="CF20" s="289" t="e">
        <f>#REF!</f>
        <v>#REF!</v>
      </c>
      <c r="CG20" s="287" t="e">
        <f>#REF!</f>
        <v>#REF!</v>
      </c>
      <c r="CH20" s="115" t="str">
        <f t="shared" si="56"/>
        <v>yield at good installation, average is lower while optimum would be higher, basic uncertainty = 1.2</v>
      </c>
      <c r="CI20" s="10">
        <f t="shared" si="57"/>
        <v>3</v>
      </c>
      <c r="CJ20" s="50">
        <v>2</v>
      </c>
      <c r="CK20" s="50">
        <v>1</v>
      </c>
      <c r="CL20" s="50">
        <v>1</v>
      </c>
      <c r="CM20" s="50">
        <v>1</v>
      </c>
      <c r="CN20" s="50">
        <v>3</v>
      </c>
      <c r="CO20" s="50">
        <f>IF(OR($D20="4",$E20="4"),INDEX([14]NamesElementary!$J$1:$J$65536,MATCH($A20,[14]NamesElementary!$A$1:$A$65536,0),1),INDEX([14]Names!$W$1:$W$65602,MATCH($A20,[14]Names!$F$1:$F$65602,0),1))</f>
        <v>9</v>
      </c>
      <c r="CP20" s="312">
        <f t="shared" si="58"/>
        <v>1.2</v>
      </c>
      <c r="CQ20" s="87">
        <f t="shared" ref="CQ20:CQ27" si="59">EXP(SQRT((LN(CU20)^2)+(LN(CV20)^2)+(LN(CW20)^2)+(LN(CX20)^2)+(LN(CY20)^2)+(LN(CZ20)^2)))</f>
        <v>1.1150377561073679</v>
      </c>
      <c r="CR20" s="88">
        <f t="shared" ref="CR20:CR27" si="60">EXP(SQRT((LN(CU20)^2)+(LN(CV20)^2)+(LN(CW20)^2)+(LN(CX20)^2)+(LN(CY20)^2)+(LN(CZ20)^2)+LN(CP20)^2))</f>
        <v>1.2365959919080913</v>
      </c>
      <c r="CS20" s="89" t="str">
        <f t="shared" ref="CS20:CS27" si="61">CONCATENATE("(",CI20,",",CJ20,",",CK20,",",CL20,",",CM20,",",CN20,")")</f>
        <v>(3,2,1,1,1,3)</v>
      </c>
      <c r="CU20" s="52">
        <f>IF(CI20=1,'[14]SDG^2 values'!$B$4,IF(CI20=2,'[14]SDG^2 values'!$C$4,IF(CI20=3,'[14]SDG^2 values'!$D$4,IF(CI20=4,'[14]SDG^2 values'!$E$4,IF(CI20=5,'[14]SDG^2 values'!$F$4,1)))))</f>
        <v>1.1000000000000001</v>
      </c>
      <c r="CV20" s="52">
        <f>IF(CJ20=1,'[14]SDG^2 values'!$B$5,IF(CJ20=2,'[14]SDG^2 values'!$C$5,IF(CJ20=3,'[14]SDG^2 values'!$D$5,IF(CJ20=4,'[14]SDG^2 values'!$E$5,IF(CJ20=5,'[14]SDG^2 values'!$F$5,1)))))</f>
        <v>1.02</v>
      </c>
      <c r="CW20" s="52">
        <f>IF(CK20=1,'[14]SDG^2 values'!$B$6,IF(CK20=2,'[14]SDG^2 values'!$C$6,IF(CK20=3,'[14]SDG^2 values'!$D$6,IF(CK20=4,'[14]SDG^2 values'!$E$6,IF(CK20=5,'[14]SDG^2 values'!$F$6,1)))))</f>
        <v>1</v>
      </c>
      <c r="CX20" s="52">
        <f>IF(CL20=1,'[14]SDG^2 values'!$B$7,IF(CL20=2,'[14]SDG^2 values'!$C$7,IF(CL20=3,'[14]SDG^2 values'!$D$7,IF(CL20=4,'[14]SDG^2 values'!$E$7,IF(CL20=5,'[14]SDG^2 values'!$F$7,1)))))</f>
        <v>1</v>
      </c>
      <c r="CY20" s="52">
        <f>IF(CM20=1,'[14]SDG^2 values'!$B$8,IF(CM20=2,'[14]SDG^2 values'!$C$8,IF(CM20=3,'[14]SDG^2 values'!$D$8,IF(CM20=4,'[14]SDG^2 values'!$E$8,IF(CM20=5,'[14]SDG^2 values'!$F$8,1)))))</f>
        <v>1</v>
      </c>
      <c r="CZ20" s="52">
        <f>IF(CN20=1,'[14]SDG^2 values'!$B$9,IF(CN20=2,'[14]SDG^2 values'!$C$9,IF(CN20=3,'[14]SDG^2 values'!$D$9,IF(CN20=4,'[14]SDG^2 values'!$E$9,IF(CN20=5,'[14]SDG^2 values'!$F$9,1)))))</f>
        <v>1.05</v>
      </c>
    </row>
    <row r="21" spans="1:104" ht="48" customHeight="1" outlineLevel="1">
      <c r="A21" s="120">
        <v>32068</v>
      </c>
      <c r="B21" s="168" t="s">
        <v>525</v>
      </c>
      <c r="C21" s="151"/>
      <c r="D21" s="152" t="s">
        <v>526</v>
      </c>
      <c r="E21" s="153" t="s">
        <v>402</v>
      </c>
      <c r="F21" s="144" t="str">
        <f>IF(OR(D21="4",E21="4"),INDEX([14]NamesElementary!$B$1:$B$65536,MATCH(A21,[14]NamesElementary!$A$1:$A$65536,0),1),INDEX([14]Names!$J$1:$J$65602,MATCH(A21,[14]Names!$F$1:$F$65602,0),1))</f>
        <v>3kWp slanted-roof installation, ribbon-Si, laminated, integrated, on roof</v>
      </c>
      <c r="G21" s="125" t="str">
        <f>IF(OR(D21="4",E21="4"),"-",INDEX([14]Names!$K$1:$K$65602,MATCH(A21,[14]Names!$F$1:$F$65602,0),1))</f>
        <v>CH</v>
      </c>
      <c r="H21" s="154" t="str">
        <f>IF(OR(D21="4",E21="4"),INDEX([14]NamesElementary!$D$1:$D$65536,MATCH($A21,[14]NamesElementary!$A$1:$A$65536,0),1),"-")</f>
        <v>-</v>
      </c>
      <c r="I21" s="123" t="str">
        <f>IF(OR(D21="4",E21="4"),INDEX([14]NamesElementary!$E$1:$E$65536,MATCH($A21,[14]NamesElementary!$A$1:$A$65536,0),1),"-")</f>
        <v>-</v>
      </c>
      <c r="J21" s="124">
        <f>IF(OR(D21="4",E21="4"),"-",INDEX([14]Names!$N$1:$N$65602,MATCH(A21,[14]Names!$F$1:$F$65602,0),1))</f>
        <v>1</v>
      </c>
      <c r="K21" s="125" t="str">
        <f>IF(OR(D21="4",E21="4"),INDEX([14]NamesElementary!$G$1:$G$65536,MATCH(A21,[14]NamesElementary!$A$1:$A$65536,0),1),INDEX([14]Names!$O$1:$O$65602,MATCH(A21,[14]Names!$F$1:$F$65602,0),1))</f>
        <v>unit</v>
      </c>
      <c r="L21" s="155">
        <v>0</v>
      </c>
      <c r="M21" s="29">
        <f t="shared" si="0"/>
        <v>1</v>
      </c>
      <c r="N21" s="1">
        <f t="shared" si="1"/>
        <v>1.2365959919080913</v>
      </c>
      <c r="O21" s="139" t="str">
        <f t="shared" si="2"/>
        <v>(3,2,1,1,1,3); yield at good installation, average is lower while optimum would be higher, basic uncertainty = 1.2</v>
      </c>
      <c r="P21" s="155">
        <v>0</v>
      </c>
      <c r="Q21" s="29">
        <f t="shared" si="3"/>
        <v>1</v>
      </c>
      <c r="R21" s="1">
        <f t="shared" si="4"/>
        <v>1.2365959919080913</v>
      </c>
      <c r="S21" s="139" t="str">
        <f t="shared" si="5"/>
        <v>(3,2,1,1,1,3); yield at good installation, average is lower while optimum would be higher, basic uncertainty = 1.2</v>
      </c>
      <c r="T21" s="155">
        <v>0</v>
      </c>
      <c r="U21" s="29">
        <f t="shared" si="6"/>
        <v>1</v>
      </c>
      <c r="V21" s="1">
        <f t="shared" si="7"/>
        <v>1.2365959919080913</v>
      </c>
      <c r="W21" s="139" t="str">
        <f t="shared" si="8"/>
        <v>(3,2,1,1,1,3); yield at good installation, average is lower while optimum would be higher, basic uncertainty = 1.2</v>
      </c>
      <c r="X21" s="155">
        <v>0</v>
      </c>
      <c r="Y21" s="29">
        <f t="shared" si="9"/>
        <v>1</v>
      </c>
      <c r="Z21" s="1">
        <f t="shared" si="10"/>
        <v>1.2365959919080913</v>
      </c>
      <c r="AA21" s="139" t="str">
        <f t="shared" si="11"/>
        <v>(3,2,1,1,1,3); yield at good installation, average is lower while optimum would be higher, basic uncertainty = 1.2</v>
      </c>
      <c r="AB21" s="155">
        <v>0</v>
      </c>
      <c r="AC21" s="29">
        <f t="shared" si="12"/>
        <v>1</v>
      </c>
      <c r="AD21" s="1">
        <f t="shared" si="13"/>
        <v>1.2365959919080913</v>
      </c>
      <c r="AE21" s="139" t="str">
        <f t="shared" si="14"/>
        <v>(3,2,1,1,1,3); yield at good installation, average is lower while optimum would be higher, basic uncertainty = 1.2</v>
      </c>
      <c r="AF21" s="155">
        <v>0</v>
      </c>
      <c r="AG21" s="29">
        <f t="shared" si="15"/>
        <v>1</v>
      </c>
      <c r="AH21" s="1">
        <f t="shared" si="16"/>
        <v>1.2365959919080913</v>
      </c>
      <c r="AI21" s="139" t="str">
        <f t="shared" si="17"/>
        <v>(3,2,1,1,1,3); yield at good installation, average is lower while optimum would be higher, basic uncertainty = 1.2</v>
      </c>
      <c r="AJ21" s="155">
        <v>0</v>
      </c>
      <c r="AK21" s="29">
        <f t="shared" si="18"/>
        <v>1</v>
      </c>
      <c r="AL21" s="1">
        <f t="shared" si="19"/>
        <v>1.2365959919080913</v>
      </c>
      <c r="AM21" s="31" t="str">
        <f t="shared" si="20"/>
        <v>(3,2,1,1,1,3); yield at good installation, average is lower while optimum would be higher, basic uncertainty = 1.2</v>
      </c>
      <c r="AN21" s="155">
        <v>0</v>
      </c>
      <c r="AO21" s="29">
        <f t="shared" si="21"/>
        <v>1</v>
      </c>
      <c r="AP21" s="1">
        <f t="shared" si="22"/>
        <v>1.2365959919080913</v>
      </c>
      <c r="AQ21" s="139" t="str">
        <f t="shared" si="23"/>
        <v>(3,2,1,1,1,3); yield at good installation, average is lower while optimum would be higher, basic uncertainty = 1.2</v>
      </c>
      <c r="AR21" s="155">
        <v>0</v>
      </c>
      <c r="AS21" s="29">
        <f t="shared" si="24"/>
        <v>1</v>
      </c>
      <c r="AT21" s="1">
        <f t="shared" si="25"/>
        <v>1.2365959919080913</v>
      </c>
      <c r="AU21" s="31" t="str">
        <f t="shared" si="26"/>
        <v>(3,2,1,1,1,3); yield at good installation, average is lower while optimum would be higher, basic uncertainty = 1.2</v>
      </c>
      <c r="AV21" s="155">
        <v>0</v>
      </c>
      <c r="AW21" s="29">
        <f t="shared" si="27"/>
        <v>1</v>
      </c>
      <c r="AX21" s="1">
        <f t="shared" si="28"/>
        <v>1.2365959919080913</v>
      </c>
      <c r="AY21" s="139" t="str">
        <f t="shared" si="29"/>
        <v>(3,2,1,1,1,3); yield at good installation, average is lower while optimum would be higher, basic uncertainty = 1.2</v>
      </c>
      <c r="AZ21" s="155">
        <v>0</v>
      </c>
      <c r="BA21" s="29">
        <f t="shared" si="30"/>
        <v>1</v>
      </c>
      <c r="BB21" s="1">
        <f t="shared" si="31"/>
        <v>1.2365959919080913</v>
      </c>
      <c r="BC21" s="139" t="str">
        <f t="shared" si="32"/>
        <v>(3,2,1,1,1,3); yield at good installation, average is lower while optimum would be higher, basic uncertainty = 1.2</v>
      </c>
      <c r="BD21" s="155" t="e">
        <f>1/(Schrägdach*3*lifetime)</f>
        <v>#REF!</v>
      </c>
      <c r="BE21" s="29">
        <f t="shared" si="33"/>
        <v>1</v>
      </c>
      <c r="BF21" s="1">
        <f t="shared" si="34"/>
        <v>1.2365959919080913</v>
      </c>
      <c r="BG21" s="139" t="str">
        <f t="shared" si="35"/>
        <v>(3,2,1,1,1,3); yield at good installation, average is lower while optimum would be higher, basic uncertainty = 1.2</v>
      </c>
      <c r="BH21" s="29">
        <f t="shared" si="36"/>
        <v>1</v>
      </c>
      <c r="BI21" s="1">
        <f t="shared" si="37"/>
        <v>1.2365959919080913</v>
      </c>
      <c r="BJ21" s="139" t="str">
        <f t="shared" si="38"/>
        <v>(3,2,1,1,1,3); yield at good installation, average is lower while optimum would be higher, basic uncertainty = 1.2</v>
      </c>
      <c r="BK21" s="155">
        <v>0</v>
      </c>
      <c r="BL21" s="29">
        <f t="shared" si="39"/>
        <v>1</v>
      </c>
      <c r="BM21" s="1">
        <f t="shared" si="40"/>
        <v>1.2365959919080913</v>
      </c>
      <c r="BN21" s="139" t="str">
        <f t="shared" si="41"/>
        <v>(3,2,1,1,1,3); yield at good installation, average is lower while optimum would be higher, basic uncertainty = 1.2</v>
      </c>
      <c r="BO21" s="155">
        <v>0</v>
      </c>
      <c r="BP21" s="29">
        <f t="shared" si="42"/>
        <v>1</v>
      </c>
      <c r="BQ21" s="1">
        <f t="shared" si="43"/>
        <v>1.2365959919080913</v>
      </c>
      <c r="BR21" s="139" t="str">
        <f t="shared" si="44"/>
        <v>(3,2,1,1,1,3); yield at good installation, average is lower while optimum would be higher, basic uncertainty = 1.2</v>
      </c>
      <c r="BS21" s="155">
        <v>0</v>
      </c>
      <c r="BT21" s="29">
        <f t="shared" si="45"/>
        <v>1</v>
      </c>
      <c r="BU21" s="1">
        <f t="shared" si="46"/>
        <v>1.2365959919080913</v>
      </c>
      <c r="BV21" s="139" t="str">
        <f t="shared" si="47"/>
        <v>(3,2,1,1,1,3); yield at good installation, average is lower while optimum would be higher, basic uncertainty = 1.2</v>
      </c>
      <c r="BW21" s="155">
        <v>0</v>
      </c>
      <c r="BX21" s="29">
        <f t="shared" si="48"/>
        <v>1</v>
      </c>
      <c r="BY21" s="1">
        <f t="shared" si="49"/>
        <v>1.2365959919080913</v>
      </c>
      <c r="BZ21" s="31" t="str">
        <f t="shared" si="50"/>
        <v>(3,2,1,1,1,3); yield at good installation, average is lower while optimum would be higher, basic uncertainty = 1.2</v>
      </c>
      <c r="CA21" s="155" t="e">
        <f>1/(#REF!*3*lifetime)*CE21</f>
        <v>#REF!</v>
      </c>
      <c r="CB21" s="29">
        <v>1</v>
      </c>
      <c r="CC21" s="1">
        <f>EXP(SQRT((LN(CR21)^2)+(LN(CR$27)^2)))</f>
        <v>1.2365959919080913</v>
      </c>
      <c r="CD21" s="31" t="str">
        <f t="shared" si="55"/>
        <v>(3,2,1,1,1,3); average yield, estimation for share of technologies. Basic uncertainty = 1.2</v>
      </c>
      <c r="CE21" s="287" t="e">
        <f>#REF!</f>
        <v>#REF!</v>
      </c>
      <c r="CF21" s="289" t="e">
        <f>#REF!</f>
        <v>#REF!</v>
      </c>
      <c r="CG21" s="287" t="e">
        <f>#REF!</f>
        <v>#REF!</v>
      </c>
      <c r="CH21" s="115" t="str">
        <f t="shared" si="56"/>
        <v>yield at good installation, average is lower while optimum would be higher, basic uncertainty = 1.2</v>
      </c>
      <c r="CI21" s="10">
        <f t="shared" si="57"/>
        <v>3</v>
      </c>
      <c r="CJ21" s="50">
        <v>2</v>
      </c>
      <c r="CK21" s="50">
        <v>1</v>
      </c>
      <c r="CL21" s="50">
        <v>1</v>
      </c>
      <c r="CM21" s="50">
        <v>1</v>
      </c>
      <c r="CN21" s="50">
        <v>3</v>
      </c>
      <c r="CO21" s="50">
        <f>IF(OR($D21="4",$E21="4"),INDEX([14]NamesElementary!$J$1:$J$65536,MATCH($A21,[14]NamesElementary!$A$1:$A$65536,0),1),INDEX([14]Names!$W$1:$W$65602,MATCH($A21,[14]Names!$F$1:$F$65602,0),1))</f>
        <v>9</v>
      </c>
      <c r="CP21" s="312">
        <f t="shared" si="58"/>
        <v>1.2</v>
      </c>
      <c r="CQ21" s="87">
        <f t="shared" si="59"/>
        <v>1.1150377561073679</v>
      </c>
      <c r="CR21" s="88">
        <f t="shared" si="60"/>
        <v>1.2365959919080913</v>
      </c>
      <c r="CS21" s="89" t="str">
        <f t="shared" si="61"/>
        <v>(3,2,1,1,1,3)</v>
      </c>
      <c r="CU21" s="52">
        <f>IF(CI21=1,'[14]SDG^2 values'!$B$4,IF(CI21=2,'[14]SDG^2 values'!$C$4,IF(CI21=3,'[14]SDG^2 values'!$D$4,IF(CI21=4,'[14]SDG^2 values'!$E$4,IF(CI21=5,'[14]SDG^2 values'!$F$4,1)))))</f>
        <v>1.1000000000000001</v>
      </c>
      <c r="CV21" s="52">
        <f>IF(CJ21=1,'[14]SDG^2 values'!$B$5,IF(CJ21=2,'[14]SDG^2 values'!$C$5,IF(CJ21=3,'[14]SDG^2 values'!$D$5,IF(CJ21=4,'[14]SDG^2 values'!$E$5,IF(CJ21=5,'[14]SDG^2 values'!$F$5,1)))))</f>
        <v>1.02</v>
      </c>
      <c r="CW21" s="52">
        <f>IF(CK21=1,'[14]SDG^2 values'!$B$6,IF(CK21=2,'[14]SDG^2 values'!$C$6,IF(CK21=3,'[14]SDG^2 values'!$D$6,IF(CK21=4,'[14]SDG^2 values'!$E$6,IF(CK21=5,'[14]SDG^2 values'!$F$6,1)))))</f>
        <v>1</v>
      </c>
      <c r="CX21" s="52">
        <f>IF(CL21=1,'[14]SDG^2 values'!$B$7,IF(CL21=2,'[14]SDG^2 values'!$C$7,IF(CL21=3,'[14]SDG^2 values'!$D$7,IF(CL21=4,'[14]SDG^2 values'!$E$7,IF(CL21=5,'[14]SDG^2 values'!$F$7,1)))))</f>
        <v>1</v>
      </c>
      <c r="CY21" s="52">
        <f>IF(CM21=1,'[14]SDG^2 values'!$B$8,IF(CM21=2,'[14]SDG^2 values'!$C$8,IF(CM21=3,'[14]SDG^2 values'!$D$8,IF(CM21=4,'[14]SDG^2 values'!$E$8,IF(CM21=5,'[14]SDG^2 values'!$F$8,1)))))</f>
        <v>1</v>
      </c>
      <c r="CZ21" s="52">
        <f>IF(CN21=1,'[14]SDG^2 values'!$B$9,IF(CN21=2,'[14]SDG^2 values'!$C$9,IF(CN21=3,'[14]SDG^2 values'!$D$9,IF(CN21=4,'[14]SDG^2 values'!$E$9,IF(CN21=5,'[14]SDG^2 values'!$F$9,1)))))</f>
        <v>1.05</v>
      </c>
    </row>
    <row r="22" spans="1:104" ht="48" customHeight="1" outlineLevel="1">
      <c r="A22" s="417">
        <v>32076</v>
      </c>
      <c r="B22" s="168" t="s">
        <v>525</v>
      </c>
      <c r="C22" s="151"/>
      <c r="D22" s="152" t="s">
        <v>526</v>
      </c>
      <c r="E22" s="153" t="s">
        <v>402</v>
      </c>
      <c r="F22" s="144" t="str">
        <f>IF(OR(D22="4",E22="4"),INDEX([14]NamesElementary!$B$1:$B$65536,MATCH(A22,[14]NamesElementary!$A$1:$A$65536,0),1),INDEX([14]Names!$J$1:$J$65602,MATCH(A22,[14]Names!$F$1:$F$65602,0),1))</f>
        <v>3kWp slanted-roof installation, CdTe, laminated, integrated, on roof</v>
      </c>
      <c r="G22" s="125" t="str">
        <f>IF(OR(D22="4",E22="4"),"-",INDEX([14]Names!$K$1:$K$65602,MATCH(A22,[14]Names!$F$1:$F$65602,0),1))</f>
        <v>CH</v>
      </c>
      <c r="H22" s="154" t="str">
        <f>IF(OR(D22="4",E22="4"),INDEX([14]NamesElementary!$D$1:$D$65536,MATCH($A22,[14]NamesElementary!$A$1:$A$65536,0),1),"-")</f>
        <v>-</v>
      </c>
      <c r="I22" s="123" t="str">
        <f>IF(OR(D22="4",E22="4"),INDEX([14]NamesElementary!$E$1:$E$65536,MATCH($A22,[14]NamesElementary!$A$1:$A$65536,0),1),"-")</f>
        <v>-</v>
      </c>
      <c r="J22" s="124">
        <f>IF(OR(D22="4",E22="4"),"-",INDEX([14]Names!$N$1:$N$65602,MATCH(A22,[14]Names!$F$1:$F$65602,0),1))</f>
        <v>1</v>
      </c>
      <c r="K22" s="125" t="str">
        <f>IF(OR(D22="4",E22="4"),INDEX([14]NamesElementary!$G$1:$G$65536,MATCH(A22,[14]NamesElementary!$A$1:$A$65536,0),1),INDEX([14]Names!$O$1:$O$65602,MATCH(A22,[14]Names!$F$1:$F$65602,0),1))</f>
        <v>unit</v>
      </c>
      <c r="L22" s="155">
        <v>0</v>
      </c>
      <c r="M22" s="29">
        <f t="shared" si="0"/>
        <v>1</v>
      </c>
      <c r="N22" s="1">
        <f t="shared" si="1"/>
        <v>1.2365959919080913</v>
      </c>
      <c r="O22" s="139" t="str">
        <f t="shared" si="2"/>
        <v>(3,2,1,1,1,3); yield at good installation, average is lower while optimum would be higher, basic uncertainty = 1.2</v>
      </c>
      <c r="P22" s="155">
        <v>0</v>
      </c>
      <c r="Q22" s="29">
        <f t="shared" si="3"/>
        <v>1</v>
      </c>
      <c r="R22" s="1">
        <f t="shared" si="4"/>
        <v>1.2365959919080913</v>
      </c>
      <c r="S22" s="139" t="str">
        <f t="shared" si="5"/>
        <v>(3,2,1,1,1,3); yield at good installation, average is lower while optimum would be higher, basic uncertainty = 1.2</v>
      </c>
      <c r="T22" s="155">
        <v>0</v>
      </c>
      <c r="U22" s="29">
        <f t="shared" si="6"/>
        <v>1</v>
      </c>
      <c r="V22" s="1">
        <f t="shared" si="7"/>
        <v>1.2365959919080913</v>
      </c>
      <c r="W22" s="139" t="str">
        <f t="shared" si="8"/>
        <v>(3,2,1,1,1,3); yield at good installation, average is lower while optimum would be higher, basic uncertainty = 1.2</v>
      </c>
      <c r="X22" s="155">
        <v>0</v>
      </c>
      <c r="Y22" s="29">
        <f t="shared" si="9"/>
        <v>1</v>
      </c>
      <c r="Z22" s="1">
        <f t="shared" si="10"/>
        <v>1.2365959919080913</v>
      </c>
      <c r="AA22" s="139" t="str">
        <f t="shared" si="11"/>
        <v>(3,2,1,1,1,3); yield at good installation, average is lower while optimum would be higher, basic uncertainty = 1.2</v>
      </c>
      <c r="AB22" s="155">
        <v>0</v>
      </c>
      <c r="AC22" s="29">
        <f t="shared" si="12"/>
        <v>1</v>
      </c>
      <c r="AD22" s="1">
        <f t="shared" si="13"/>
        <v>1.2365959919080913</v>
      </c>
      <c r="AE22" s="139" t="str">
        <f t="shared" si="14"/>
        <v>(3,2,1,1,1,3); yield at good installation, average is lower while optimum would be higher, basic uncertainty = 1.2</v>
      </c>
      <c r="AF22" s="155">
        <v>0</v>
      </c>
      <c r="AG22" s="29">
        <f t="shared" si="15"/>
        <v>1</v>
      </c>
      <c r="AH22" s="1">
        <f t="shared" si="16"/>
        <v>1.2365959919080913</v>
      </c>
      <c r="AI22" s="139" t="str">
        <f t="shared" si="17"/>
        <v>(3,2,1,1,1,3); yield at good installation, average is lower while optimum would be higher, basic uncertainty = 1.2</v>
      </c>
      <c r="AJ22" s="155">
        <v>0</v>
      </c>
      <c r="AK22" s="29">
        <f t="shared" si="18"/>
        <v>1</v>
      </c>
      <c r="AL22" s="1">
        <f t="shared" si="19"/>
        <v>1.2365959919080913</v>
      </c>
      <c r="AM22" s="31" t="str">
        <f t="shared" si="20"/>
        <v>(3,2,1,1,1,3); yield at good installation, average is lower while optimum would be higher, basic uncertainty = 1.2</v>
      </c>
      <c r="AN22" s="155">
        <v>0</v>
      </c>
      <c r="AO22" s="29">
        <f t="shared" si="21"/>
        <v>1</v>
      </c>
      <c r="AP22" s="1">
        <f t="shared" si="22"/>
        <v>1.2365959919080913</v>
      </c>
      <c r="AQ22" s="139" t="str">
        <f t="shared" si="23"/>
        <v>(3,2,1,1,1,3); yield at good installation, average is lower while optimum would be higher, basic uncertainty = 1.2</v>
      </c>
      <c r="AR22" s="155">
        <v>0</v>
      </c>
      <c r="AS22" s="29">
        <f t="shared" si="24"/>
        <v>1</v>
      </c>
      <c r="AT22" s="1">
        <f t="shared" si="25"/>
        <v>1.2365959919080913</v>
      </c>
      <c r="AU22" s="31" t="str">
        <f t="shared" si="26"/>
        <v>(3,2,1,1,1,3); yield at good installation, average is lower while optimum would be higher, basic uncertainty = 1.2</v>
      </c>
      <c r="AV22" s="155">
        <v>0</v>
      </c>
      <c r="AW22" s="29">
        <f t="shared" si="27"/>
        <v>1</v>
      </c>
      <c r="AX22" s="1">
        <f t="shared" si="28"/>
        <v>1.2365959919080913</v>
      </c>
      <c r="AY22" s="139" t="str">
        <f t="shared" si="29"/>
        <v>(3,2,1,1,1,3); yield at good installation, average is lower while optimum would be higher, basic uncertainty = 1.2</v>
      </c>
      <c r="AZ22" s="155">
        <v>0</v>
      </c>
      <c r="BA22" s="29">
        <f t="shared" si="30"/>
        <v>1</v>
      </c>
      <c r="BB22" s="1">
        <f t="shared" si="31"/>
        <v>1.2365959919080913</v>
      </c>
      <c r="BC22" s="139" t="str">
        <f t="shared" si="32"/>
        <v>(3,2,1,1,1,3); yield at good installation, average is lower while optimum would be higher, basic uncertainty = 1.2</v>
      </c>
      <c r="BD22" s="155">
        <v>0</v>
      </c>
      <c r="BE22" s="29">
        <f t="shared" si="33"/>
        <v>1</v>
      </c>
      <c r="BF22" s="1">
        <f t="shared" si="34"/>
        <v>1.2365959919080913</v>
      </c>
      <c r="BG22" s="139" t="str">
        <f t="shared" si="35"/>
        <v>(3,2,1,1,1,3); yield at good installation, average is lower while optimum would be higher, basic uncertainty = 1.2</v>
      </c>
      <c r="BH22" s="29">
        <f t="shared" si="36"/>
        <v>1</v>
      </c>
      <c r="BI22" s="1">
        <f t="shared" si="37"/>
        <v>1.2365959919080913</v>
      </c>
      <c r="BJ22" s="139" t="str">
        <f t="shared" si="38"/>
        <v>(3,2,1,1,1,3); yield at good installation, average is lower while optimum would be higher, basic uncertainty = 1.2</v>
      </c>
      <c r="BK22" s="155" t="e">
        <f>1/(Schrägdach*3*lifetime)</f>
        <v>#REF!</v>
      </c>
      <c r="BL22" s="29">
        <f t="shared" si="39"/>
        <v>1</v>
      </c>
      <c r="BM22" s="1">
        <f t="shared" si="40"/>
        <v>1.2365959919080913</v>
      </c>
      <c r="BN22" s="139" t="str">
        <f t="shared" si="41"/>
        <v>(3,2,1,1,1,3); yield at good installation, average is lower while optimum would be higher, basic uncertainty = 1.2</v>
      </c>
      <c r="BO22" s="155">
        <v>0</v>
      </c>
      <c r="BP22" s="29">
        <f t="shared" si="42"/>
        <v>1</v>
      </c>
      <c r="BQ22" s="1">
        <f t="shared" si="43"/>
        <v>1.2365959919080913</v>
      </c>
      <c r="BR22" s="139" t="str">
        <f t="shared" si="44"/>
        <v>(3,2,1,1,1,3); yield at good installation, average is lower while optimum would be higher, basic uncertainty = 1.2</v>
      </c>
      <c r="BS22" s="155">
        <v>0</v>
      </c>
      <c r="BT22" s="29">
        <f t="shared" si="45"/>
        <v>1</v>
      </c>
      <c r="BU22" s="1">
        <f t="shared" si="46"/>
        <v>1.2365959919080913</v>
      </c>
      <c r="BV22" s="139" t="str">
        <f t="shared" si="47"/>
        <v>(3,2,1,1,1,3); yield at good installation, average is lower while optimum would be higher, basic uncertainty = 1.2</v>
      </c>
      <c r="BW22" s="155">
        <v>0</v>
      </c>
      <c r="BX22" s="29">
        <f t="shared" si="48"/>
        <v>1</v>
      </c>
      <c r="BY22" s="1">
        <f t="shared" si="49"/>
        <v>1.2365959919080913</v>
      </c>
      <c r="BZ22" s="31" t="str">
        <f t="shared" si="50"/>
        <v>(3,2,1,1,1,3); yield at good installation, average is lower while optimum would be higher, basic uncertainty = 1.2</v>
      </c>
      <c r="CA22" s="155" t="e">
        <f>1/(#REF!*3*lifetime)*CE22</f>
        <v>#REF!</v>
      </c>
      <c r="CB22" s="29">
        <v>1</v>
      </c>
      <c r="CC22" s="1">
        <f t="shared" si="51"/>
        <v>1.2365959919080913</v>
      </c>
      <c r="CD22" s="31" t="str">
        <f t="shared" si="55"/>
        <v>(3,2,1,1,1,3); average yield, estimation for share of technologies. Basic uncertainty = 1.2</v>
      </c>
      <c r="CE22" s="287" t="e">
        <f>#REF!</f>
        <v>#REF!</v>
      </c>
      <c r="CF22" s="289" t="e">
        <f>#REF!</f>
        <v>#REF!</v>
      </c>
      <c r="CG22" s="287" t="e">
        <f>#REF!</f>
        <v>#REF!</v>
      </c>
      <c r="CH22" s="115" t="str">
        <f t="shared" si="56"/>
        <v>yield at good installation, average is lower while optimum would be higher, basic uncertainty = 1.2</v>
      </c>
      <c r="CI22" s="10">
        <f t="shared" si="57"/>
        <v>3</v>
      </c>
      <c r="CJ22" s="50">
        <v>2</v>
      </c>
      <c r="CK22" s="50">
        <v>1</v>
      </c>
      <c r="CL22" s="50">
        <v>1</v>
      </c>
      <c r="CM22" s="50">
        <v>1</v>
      </c>
      <c r="CN22" s="50">
        <v>3</v>
      </c>
      <c r="CO22" s="50">
        <f>IF(OR($D22="4",$E22="4"),INDEX([14]NamesElementary!$J$1:$J$65536,MATCH($A22,[14]NamesElementary!$A$1:$A$65536,0),1),INDEX([14]Names!$W$1:$W$65602,MATCH($A22,[14]Names!$F$1:$F$65602,0),1))</f>
        <v>9</v>
      </c>
      <c r="CP22" s="312">
        <f t="shared" si="58"/>
        <v>1.2</v>
      </c>
      <c r="CQ22" s="87">
        <f t="shared" si="59"/>
        <v>1.1150377561073679</v>
      </c>
      <c r="CR22" s="88">
        <f t="shared" si="60"/>
        <v>1.2365959919080913</v>
      </c>
      <c r="CS22" s="89" t="str">
        <f t="shared" si="61"/>
        <v>(3,2,1,1,1,3)</v>
      </c>
      <c r="CU22" s="52">
        <f>IF(CI22=1,'[14]SDG^2 values'!$B$4,IF(CI22=2,'[14]SDG^2 values'!$C$4,IF(CI22=3,'[14]SDG^2 values'!$D$4,IF(CI22=4,'[14]SDG^2 values'!$E$4,IF(CI22=5,'[14]SDG^2 values'!$F$4,1)))))</f>
        <v>1.1000000000000001</v>
      </c>
      <c r="CV22" s="52">
        <f>IF(CJ22=1,'[14]SDG^2 values'!$B$5,IF(CJ22=2,'[14]SDG^2 values'!$C$5,IF(CJ22=3,'[14]SDG^2 values'!$D$5,IF(CJ22=4,'[14]SDG^2 values'!$E$5,IF(CJ22=5,'[14]SDG^2 values'!$F$5,1)))))</f>
        <v>1.02</v>
      </c>
      <c r="CW22" s="52">
        <f>IF(CK22=1,'[14]SDG^2 values'!$B$6,IF(CK22=2,'[14]SDG^2 values'!$C$6,IF(CK22=3,'[14]SDG^2 values'!$D$6,IF(CK22=4,'[14]SDG^2 values'!$E$6,IF(CK22=5,'[14]SDG^2 values'!$F$6,1)))))</f>
        <v>1</v>
      </c>
      <c r="CX22" s="52">
        <f>IF(CL22=1,'[14]SDG^2 values'!$B$7,IF(CL22=2,'[14]SDG^2 values'!$C$7,IF(CL22=3,'[14]SDG^2 values'!$D$7,IF(CL22=4,'[14]SDG^2 values'!$E$7,IF(CL22=5,'[14]SDG^2 values'!$F$7,1)))))</f>
        <v>1</v>
      </c>
      <c r="CY22" s="52">
        <f>IF(CM22=1,'[14]SDG^2 values'!$B$8,IF(CM22=2,'[14]SDG^2 values'!$C$8,IF(CM22=3,'[14]SDG^2 values'!$D$8,IF(CM22=4,'[14]SDG^2 values'!$E$8,IF(CM22=5,'[14]SDG^2 values'!$F$8,1)))))</f>
        <v>1</v>
      </c>
      <c r="CZ22" s="52">
        <f>IF(CN22=1,'[14]SDG^2 values'!$B$9,IF(CN22=2,'[14]SDG^2 values'!$C$9,IF(CN22=3,'[14]SDG^2 values'!$D$9,IF(CN22=4,'[14]SDG^2 values'!$E$9,IF(CN22=5,'[14]SDG^2 values'!$F$9,1)))))</f>
        <v>1.05</v>
      </c>
    </row>
    <row r="23" spans="1:104" ht="48" customHeight="1" outlineLevel="1">
      <c r="A23" s="120">
        <v>32080</v>
      </c>
      <c r="B23" s="168" t="s">
        <v>525</v>
      </c>
      <c r="C23" s="151"/>
      <c r="D23" s="152" t="s">
        <v>526</v>
      </c>
      <c r="E23" s="153" t="s">
        <v>402</v>
      </c>
      <c r="F23" s="144" t="str">
        <f>IF(OR(D23="4",E23="4"),INDEX([14]NamesElementary!$B$1:$B$65536,MATCH(A23,[14]NamesElementary!$A$1:$A$65536,0),1),INDEX([14]Names!$J$1:$J$65602,MATCH(A23,[14]Names!$F$1:$F$65602,0),1))</f>
        <v>3kWp slanted-roof installation, CIS, panel, mounted, on roof</v>
      </c>
      <c r="G23" s="125" t="str">
        <f>IF(OR(D23="4",E23="4"),"-",INDEX([14]Names!$K$1:$K$65602,MATCH(A23,[14]Names!$F$1:$F$65602,0),1))</f>
        <v>CH</v>
      </c>
      <c r="H23" s="154" t="str">
        <f>IF(OR(D23="4",E23="4"),INDEX([14]NamesElementary!$D$1:$D$65536,MATCH($A23,[14]NamesElementary!$A$1:$A$65536,0),1),"-")</f>
        <v>-</v>
      </c>
      <c r="I23" s="123" t="str">
        <f>IF(OR(D23="4",E23="4"),INDEX([14]NamesElementary!$E$1:$E$65536,MATCH($A23,[14]NamesElementary!$A$1:$A$65536,0),1),"-")</f>
        <v>-</v>
      </c>
      <c r="J23" s="124">
        <f>IF(OR(D23="4",E23="4"),"-",INDEX([14]Names!$N$1:$N$65602,MATCH(A23,[14]Names!$F$1:$F$65602,0),1))</f>
        <v>1</v>
      </c>
      <c r="K23" s="125" t="str">
        <f>IF(OR(D23="4",E23="4"),INDEX([14]NamesElementary!$G$1:$G$65536,MATCH(A23,[14]NamesElementary!$A$1:$A$65536,0),1),INDEX([14]Names!$O$1:$O$65602,MATCH(A23,[14]Names!$F$1:$F$65602,0),1))</f>
        <v>unit</v>
      </c>
      <c r="L23" s="155">
        <v>0</v>
      </c>
      <c r="M23" s="29">
        <f t="shared" si="0"/>
        <v>1</v>
      </c>
      <c r="N23" s="1">
        <f t="shared" si="1"/>
        <v>1.2365959919080913</v>
      </c>
      <c r="O23" s="139" t="str">
        <f t="shared" si="2"/>
        <v>(3,2,1,1,1,3); yield at good installation, average is lower while optimum would be higher, basic uncertainty = 1.2</v>
      </c>
      <c r="P23" s="155">
        <v>0</v>
      </c>
      <c r="Q23" s="29">
        <f t="shared" si="3"/>
        <v>1</v>
      </c>
      <c r="R23" s="1">
        <f t="shared" si="4"/>
        <v>1.2365959919080913</v>
      </c>
      <c r="S23" s="139" t="str">
        <f t="shared" si="5"/>
        <v>(3,2,1,1,1,3); yield at good installation, average is lower while optimum would be higher, basic uncertainty = 1.2</v>
      </c>
      <c r="T23" s="155">
        <v>0</v>
      </c>
      <c r="U23" s="29">
        <f t="shared" si="6"/>
        <v>1</v>
      </c>
      <c r="V23" s="1">
        <f t="shared" si="7"/>
        <v>1.2365959919080913</v>
      </c>
      <c r="W23" s="139" t="str">
        <f t="shared" si="8"/>
        <v>(3,2,1,1,1,3); yield at good installation, average is lower while optimum would be higher, basic uncertainty = 1.2</v>
      </c>
      <c r="X23" s="155">
        <v>0</v>
      </c>
      <c r="Y23" s="29">
        <f t="shared" si="9"/>
        <v>1</v>
      </c>
      <c r="Z23" s="1">
        <f t="shared" si="10"/>
        <v>1.2365959919080913</v>
      </c>
      <c r="AA23" s="139" t="str">
        <f t="shared" si="11"/>
        <v>(3,2,1,1,1,3); yield at good installation, average is lower while optimum would be higher, basic uncertainty = 1.2</v>
      </c>
      <c r="AB23" s="155">
        <v>0</v>
      </c>
      <c r="AC23" s="29">
        <f t="shared" si="12"/>
        <v>1</v>
      </c>
      <c r="AD23" s="1">
        <f t="shared" si="13"/>
        <v>1.2365959919080913</v>
      </c>
      <c r="AE23" s="139" t="str">
        <f t="shared" si="14"/>
        <v>(3,2,1,1,1,3); yield at good installation, average is lower while optimum would be higher, basic uncertainty = 1.2</v>
      </c>
      <c r="AF23" s="155">
        <v>0</v>
      </c>
      <c r="AG23" s="29">
        <f t="shared" si="15"/>
        <v>1</v>
      </c>
      <c r="AH23" s="1">
        <f t="shared" si="16"/>
        <v>1.2365959919080913</v>
      </c>
      <c r="AI23" s="139" t="str">
        <f t="shared" si="17"/>
        <v>(3,2,1,1,1,3); yield at good installation, average is lower while optimum would be higher, basic uncertainty = 1.2</v>
      </c>
      <c r="AJ23" s="155">
        <v>0</v>
      </c>
      <c r="AK23" s="29">
        <f t="shared" si="18"/>
        <v>1</v>
      </c>
      <c r="AL23" s="1">
        <f t="shared" si="19"/>
        <v>1.2365959919080913</v>
      </c>
      <c r="AM23" s="31" t="str">
        <f t="shared" si="20"/>
        <v>(3,2,1,1,1,3); yield at good installation, average is lower while optimum would be higher, basic uncertainty = 1.2</v>
      </c>
      <c r="AN23" s="155">
        <v>0</v>
      </c>
      <c r="AO23" s="29">
        <f t="shared" si="21"/>
        <v>1</v>
      </c>
      <c r="AP23" s="1">
        <f t="shared" si="22"/>
        <v>1.2365959919080913</v>
      </c>
      <c r="AQ23" s="139" t="str">
        <f t="shared" si="23"/>
        <v>(3,2,1,1,1,3); yield at good installation, average is lower while optimum would be higher, basic uncertainty = 1.2</v>
      </c>
      <c r="AR23" s="155">
        <v>0</v>
      </c>
      <c r="AS23" s="29">
        <f t="shared" si="24"/>
        <v>1</v>
      </c>
      <c r="AT23" s="1">
        <f t="shared" si="25"/>
        <v>1.2365959919080913</v>
      </c>
      <c r="AU23" s="31" t="str">
        <f t="shared" si="26"/>
        <v>(3,2,1,1,1,3); yield at good installation, average is lower while optimum would be higher, basic uncertainty = 1.2</v>
      </c>
      <c r="AV23" s="155">
        <v>0</v>
      </c>
      <c r="AW23" s="29">
        <f t="shared" si="27"/>
        <v>1</v>
      </c>
      <c r="AX23" s="1">
        <f t="shared" si="28"/>
        <v>1.2365959919080913</v>
      </c>
      <c r="AY23" s="139" t="str">
        <f t="shared" si="29"/>
        <v>(3,2,1,1,1,3); yield at good installation, average is lower while optimum would be higher, basic uncertainty = 1.2</v>
      </c>
      <c r="AZ23" s="155">
        <v>0</v>
      </c>
      <c r="BA23" s="29">
        <f t="shared" si="30"/>
        <v>1</v>
      </c>
      <c r="BB23" s="1">
        <f t="shared" si="31"/>
        <v>1.2365959919080913</v>
      </c>
      <c r="BC23" s="139" t="str">
        <f t="shared" si="32"/>
        <v>(3,2,1,1,1,3); yield at good installation, average is lower while optimum would be higher, basic uncertainty = 1.2</v>
      </c>
      <c r="BD23" s="155">
        <v>0</v>
      </c>
      <c r="BE23" s="29">
        <f t="shared" si="33"/>
        <v>1</v>
      </c>
      <c r="BF23" s="1">
        <f t="shared" si="34"/>
        <v>1.2365959919080913</v>
      </c>
      <c r="BG23" s="139" t="str">
        <f t="shared" si="35"/>
        <v>(3,2,1,1,1,3); yield at good installation, average is lower while optimum would be higher, basic uncertainty = 1.2</v>
      </c>
      <c r="BH23" s="29">
        <f t="shared" si="36"/>
        <v>1</v>
      </c>
      <c r="BI23" s="1">
        <f t="shared" si="37"/>
        <v>1.2365959919080913</v>
      </c>
      <c r="BJ23" s="139" t="str">
        <f t="shared" si="38"/>
        <v>(3,2,1,1,1,3); yield at good installation, average is lower while optimum would be higher, basic uncertainty = 1.2</v>
      </c>
      <c r="BK23" s="155">
        <v>0</v>
      </c>
      <c r="BL23" s="29">
        <f t="shared" si="39"/>
        <v>1</v>
      </c>
      <c r="BM23" s="1">
        <f t="shared" si="40"/>
        <v>1.2365959919080913</v>
      </c>
      <c r="BN23" s="139" t="str">
        <f t="shared" si="41"/>
        <v>(3,2,1,1,1,3); yield at good installation, average is lower while optimum would be higher, basic uncertainty = 1.2</v>
      </c>
      <c r="BO23" s="155" t="e">
        <f>1/(Schrägdach*3*lifetime)</f>
        <v>#REF!</v>
      </c>
      <c r="BP23" s="29">
        <f t="shared" si="42"/>
        <v>1</v>
      </c>
      <c r="BQ23" s="1">
        <f t="shared" si="43"/>
        <v>1.2365959919080913</v>
      </c>
      <c r="BR23" s="139" t="str">
        <f t="shared" si="44"/>
        <v>(3,2,1,1,1,3); yield at good installation, average is lower while optimum would be higher, basic uncertainty = 1.2</v>
      </c>
      <c r="BS23" s="155">
        <v>0</v>
      </c>
      <c r="BT23" s="29">
        <f t="shared" si="45"/>
        <v>1</v>
      </c>
      <c r="BU23" s="1">
        <f t="shared" si="46"/>
        <v>1.2365959919080913</v>
      </c>
      <c r="BV23" s="139" t="str">
        <f t="shared" si="47"/>
        <v>(3,2,1,1,1,3); yield at good installation, average is lower while optimum would be higher, basic uncertainty = 1.2</v>
      </c>
      <c r="BW23" s="155">
        <v>0</v>
      </c>
      <c r="BX23" s="29">
        <f t="shared" si="48"/>
        <v>1</v>
      </c>
      <c r="BY23" s="1">
        <f t="shared" si="49"/>
        <v>1.2365959919080913</v>
      </c>
      <c r="BZ23" s="31" t="str">
        <f t="shared" si="50"/>
        <v>(3,2,1,1,1,3); yield at good installation, average is lower while optimum would be higher, basic uncertainty = 1.2</v>
      </c>
      <c r="CA23" s="155" t="e">
        <f>1/(#REF!*3*lifetime)*CE23</f>
        <v>#REF!</v>
      </c>
      <c r="CB23" s="29">
        <v>1</v>
      </c>
      <c r="CC23" s="1">
        <f t="shared" si="51"/>
        <v>1.2365959919080913</v>
      </c>
      <c r="CD23" s="31" t="str">
        <f t="shared" si="55"/>
        <v>(3,2,1,1,1,3); average yield, estimation for share of technologies. Basic uncertainty = 1.2</v>
      </c>
      <c r="CE23" s="287" t="e">
        <f>#REF!</f>
        <v>#REF!</v>
      </c>
      <c r="CF23" s="289" t="e">
        <f>#REF!</f>
        <v>#REF!</v>
      </c>
      <c r="CG23" s="287" t="e">
        <f>#REF!</f>
        <v>#REF!</v>
      </c>
      <c r="CH23" s="115" t="str">
        <f t="shared" si="56"/>
        <v>yield at good installation, average is lower while optimum would be higher, basic uncertainty = 1.2</v>
      </c>
      <c r="CI23" s="10">
        <f t="shared" si="57"/>
        <v>3</v>
      </c>
      <c r="CJ23" s="50">
        <v>2</v>
      </c>
      <c r="CK23" s="50">
        <v>1</v>
      </c>
      <c r="CL23" s="50">
        <v>1</v>
      </c>
      <c r="CM23" s="50">
        <v>1</v>
      </c>
      <c r="CN23" s="50">
        <v>3</v>
      </c>
      <c r="CO23" s="50">
        <f>IF(OR($D23="4",$E23="4"),INDEX([14]NamesElementary!$J$1:$J$65536,MATCH($A23,[14]NamesElementary!$A$1:$A$65536,0),1),INDEX([14]Names!$W$1:$W$65602,MATCH($A23,[14]Names!$F$1:$F$65602,0),1))</f>
        <v>9</v>
      </c>
      <c r="CP23" s="312">
        <f t="shared" si="58"/>
        <v>1.2</v>
      </c>
      <c r="CQ23" s="87">
        <f t="shared" si="59"/>
        <v>1.1150377561073679</v>
      </c>
      <c r="CR23" s="88">
        <f t="shared" si="60"/>
        <v>1.2365959919080913</v>
      </c>
      <c r="CS23" s="89" t="str">
        <f t="shared" si="61"/>
        <v>(3,2,1,1,1,3)</v>
      </c>
      <c r="CU23" s="52">
        <f>IF(CI23=1,'[14]SDG^2 values'!$B$4,IF(CI23=2,'[14]SDG^2 values'!$C$4,IF(CI23=3,'[14]SDG^2 values'!$D$4,IF(CI23=4,'[14]SDG^2 values'!$E$4,IF(CI23=5,'[14]SDG^2 values'!$F$4,1)))))</f>
        <v>1.1000000000000001</v>
      </c>
      <c r="CV23" s="52">
        <f>IF(CJ23=1,'[14]SDG^2 values'!$B$5,IF(CJ23=2,'[14]SDG^2 values'!$C$5,IF(CJ23=3,'[14]SDG^2 values'!$D$5,IF(CJ23=4,'[14]SDG^2 values'!$E$5,IF(CJ23=5,'[14]SDG^2 values'!$F$5,1)))))</f>
        <v>1.02</v>
      </c>
      <c r="CW23" s="52">
        <f>IF(CK23=1,'[14]SDG^2 values'!$B$6,IF(CK23=2,'[14]SDG^2 values'!$C$6,IF(CK23=3,'[14]SDG^2 values'!$D$6,IF(CK23=4,'[14]SDG^2 values'!$E$6,IF(CK23=5,'[14]SDG^2 values'!$F$6,1)))))</f>
        <v>1</v>
      </c>
      <c r="CX23" s="52">
        <f>IF(CL23=1,'[14]SDG^2 values'!$B$7,IF(CL23=2,'[14]SDG^2 values'!$C$7,IF(CL23=3,'[14]SDG^2 values'!$D$7,IF(CL23=4,'[14]SDG^2 values'!$E$7,IF(CL23=5,'[14]SDG^2 values'!$F$7,1)))))</f>
        <v>1</v>
      </c>
      <c r="CY23" s="52">
        <f>IF(CM23=1,'[14]SDG^2 values'!$B$8,IF(CM23=2,'[14]SDG^2 values'!$C$8,IF(CM23=3,'[14]SDG^2 values'!$D$8,IF(CM23=4,'[14]SDG^2 values'!$E$8,IF(CM23=5,'[14]SDG^2 values'!$F$8,1)))))</f>
        <v>1</v>
      </c>
      <c r="CZ23" s="52">
        <f>IF(CN23=1,'[14]SDG^2 values'!$B$9,IF(CN23=2,'[14]SDG^2 values'!$C$9,IF(CN23=3,'[14]SDG^2 values'!$D$9,IF(CN23=4,'[14]SDG^2 values'!$E$9,IF(CN23=5,'[14]SDG^2 values'!$F$9,1)))))</f>
        <v>1.05</v>
      </c>
    </row>
    <row r="24" spans="1:104" ht="48" customHeight="1" outlineLevel="1">
      <c r="A24" s="120">
        <v>32130</v>
      </c>
      <c r="B24" s="168" t="s">
        <v>525</v>
      </c>
      <c r="C24" s="151"/>
      <c r="D24" s="152" t="s">
        <v>526</v>
      </c>
      <c r="E24" s="153" t="s">
        <v>402</v>
      </c>
      <c r="F24" s="144" t="str">
        <f>IF(OR(D24="4",E24="4"),INDEX([14]NamesElementary!$B$1:$B$65536,MATCH(A24,[14]NamesElementary!$A$1:$A$65536,0),1),INDEX([14]Names!$J$1:$J$65602,MATCH(A24,[14]Names!$F$1:$F$65602,0),1))</f>
        <v>3kWp slanted-roof installation, a-Si, laminated, integrated, on roof</v>
      </c>
      <c r="G24" s="125" t="str">
        <f>IF(OR(D24="4",E24="4"),"-",INDEX([14]Names!$K$1:$K$65602,MATCH(A24,[14]Names!$F$1:$F$65602,0),1))</f>
        <v>CH</v>
      </c>
      <c r="H24" s="154" t="str">
        <f>IF(OR(D24="4",E24="4"),INDEX([14]NamesElementary!$D$1:$D$65536,MATCH($A24,[14]NamesElementary!$A$1:$A$65536,0),1),"-")</f>
        <v>-</v>
      </c>
      <c r="I24" s="123" t="str">
        <f>IF(OR(D24="4",E24="4"),INDEX([14]NamesElementary!$E$1:$E$65536,MATCH($A24,[14]NamesElementary!$A$1:$A$65536,0),1),"-")</f>
        <v>-</v>
      </c>
      <c r="J24" s="124">
        <f>IF(OR(D24="4",E24="4"),"-",INDEX([14]Names!$N$1:$N$65602,MATCH(A24,[14]Names!$F$1:$F$65602,0),1))</f>
        <v>1</v>
      </c>
      <c r="K24" s="125" t="str">
        <f>IF(OR(D24="4",E24="4"),INDEX([14]NamesElementary!$G$1:$G$65536,MATCH(A24,[14]NamesElementary!$A$1:$A$65536,0),1),INDEX([14]Names!$O$1:$O$65602,MATCH(A24,[14]Names!$F$1:$F$65602,0),1))</f>
        <v>unit</v>
      </c>
      <c r="L24" s="155">
        <v>0</v>
      </c>
      <c r="M24" s="29">
        <f t="shared" si="0"/>
        <v>1</v>
      </c>
      <c r="N24" s="1">
        <f t="shared" si="1"/>
        <v>1.2365959919080913</v>
      </c>
      <c r="O24" s="139" t="str">
        <f t="shared" si="2"/>
        <v>(3,2,1,1,1,3); yield at good installation, average is lower while optimum would be higher, basic uncertainty = 1.2</v>
      </c>
      <c r="P24" s="155">
        <v>0</v>
      </c>
      <c r="Q24" s="29">
        <f t="shared" si="3"/>
        <v>1</v>
      </c>
      <c r="R24" s="1">
        <f t="shared" si="4"/>
        <v>1.2365959919080913</v>
      </c>
      <c r="S24" s="139" t="str">
        <f t="shared" si="5"/>
        <v>(3,2,1,1,1,3); yield at good installation, average is lower while optimum would be higher, basic uncertainty = 1.2</v>
      </c>
      <c r="T24" s="155">
        <v>0</v>
      </c>
      <c r="U24" s="29">
        <f t="shared" si="6"/>
        <v>1</v>
      </c>
      <c r="V24" s="1">
        <f t="shared" si="7"/>
        <v>1.2365959919080913</v>
      </c>
      <c r="W24" s="139" t="str">
        <f t="shared" si="8"/>
        <v>(3,2,1,1,1,3); yield at good installation, average is lower while optimum would be higher, basic uncertainty = 1.2</v>
      </c>
      <c r="X24" s="155">
        <v>0</v>
      </c>
      <c r="Y24" s="29">
        <f t="shared" si="9"/>
        <v>1</v>
      </c>
      <c r="Z24" s="1">
        <f t="shared" si="10"/>
        <v>1.2365959919080913</v>
      </c>
      <c r="AA24" s="139" t="str">
        <f t="shared" si="11"/>
        <v>(3,2,1,1,1,3); yield at good installation, average is lower while optimum would be higher, basic uncertainty = 1.2</v>
      </c>
      <c r="AB24" s="155">
        <v>0</v>
      </c>
      <c r="AC24" s="29">
        <f t="shared" si="12"/>
        <v>1</v>
      </c>
      <c r="AD24" s="1">
        <f t="shared" si="13"/>
        <v>1.2365959919080913</v>
      </c>
      <c r="AE24" s="139" t="str">
        <f t="shared" si="14"/>
        <v>(3,2,1,1,1,3); yield at good installation, average is lower while optimum would be higher, basic uncertainty = 1.2</v>
      </c>
      <c r="AF24" s="155">
        <v>0</v>
      </c>
      <c r="AG24" s="29">
        <f t="shared" si="15"/>
        <v>1</v>
      </c>
      <c r="AH24" s="1">
        <f t="shared" si="16"/>
        <v>1.2365959919080913</v>
      </c>
      <c r="AI24" s="139" t="str">
        <f t="shared" si="17"/>
        <v>(3,2,1,1,1,3); yield at good installation, average is lower while optimum would be higher, basic uncertainty = 1.2</v>
      </c>
      <c r="AJ24" s="155">
        <v>0</v>
      </c>
      <c r="AK24" s="29">
        <f t="shared" si="18"/>
        <v>1</v>
      </c>
      <c r="AL24" s="1">
        <f t="shared" si="19"/>
        <v>1.2365959919080913</v>
      </c>
      <c r="AM24" s="31" t="str">
        <f t="shared" si="20"/>
        <v>(3,2,1,1,1,3); yield at good installation, average is lower while optimum would be higher, basic uncertainty = 1.2</v>
      </c>
      <c r="AN24" s="155">
        <v>0</v>
      </c>
      <c r="AO24" s="29">
        <f t="shared" si="21"/>
        <v>1</v>
      </c>
      <c r="AP24" s="1">
        <f t="shared" si="22"/>
        <v>1.2365959919080913</v>
      </c>
      <c r="AQ24" s="139" t="str">
        <f t="shared" si="23"/>
        <v>(3,2,1,1,1,3); yield at good installation, average is lower while optimum would be higher, basic uncertainty = 1.2</v>
      </c>
      <c r="AR24" s="155">
        <v>0</v>
      </c>
      <c r="AS24" s="29">
        <f t="shared" si="24"/>
        <v>1</v>
      </c>
      <c r="AT24" s="1">
        <f t="shared" si="25"/>
        <v>1.2365959919080913</v>
      </c>
      <c r="AU24" s="31" t="str">
        <f t="shared" si="26"/>
        <v>(3,2,1,1,1,3); yield at good installation, average is lower while optimum would be higher, basic uncertainty = 1.2</v>
      </c>
      <c r="AV24" s="155">
        <v>0</v>
      </c>
      <c r="AW24" s="29">
        <f t="shared" si="27"/>
        <v>1</v>
      </c>
      <c r="AX24" s="1">
        <f t="shared" si="28"/>
        <v>1.2365959919080913</v>
      </c>
      <c r="AY24" s="139" t="str">
        <f t="shared" si="29"/>
        <v>(3,2,1,1,1,3); yield at good installation, average is lower while optimum would be higher, basic uncertainty = 1.2</v>
      </c>
      <c r="AZ24" s="155">
        <v>0</v>
      </c>
      <c r="BA24" s="29">
        <f t="shared" si="30"/>
        <v>1</v>
      </c>
      <c r="BB24" s="1">
        <f t="shared" si="31"/>
        <v>1.2365959919080913</v>
      </c>
      <c r="BC24" s="139" t="str">
        <f t="shared" si="32"/>
        <v>(3,2,1,1,1,3); yield at good installation, average is lower while optimum would be higher, basic uncertainty = 1.2</v>
      </c>
      <c r="BD24" s="155">
        <v>0</v>
      </c>
      <c r="BE24" s="29">
        <f t="shared" si="33"/>
        <v>1</v>
      </c>
      <c r="BF24" s="1">
        <f t="shared" si="34"/>
        <v>1.2365959919080913</v>
      </c>
      <c r="BG24" s="139" t="str">
        <f t="shared" si="35"/>
        <v>(3,2,1,1,1,3); yield at good installation, average is lower while optimum would be higher, basic uncertainty = 1.2</v>
      </c>
      <c r="BH24" s="29">
        <f t="shared" si="36"/>
        <v>1</v>
      </c>
      <c r="BI24" s="1">
        <f t="shared" si="37"/>
        <v>1.2365959919080913</v>
      </c>
      <c r="BJ24" s="139" t="str">
        <f t="shared" si="38"/>
        <v>(3,2,1,1,1,3); yield at good installation, average is lower while optimum would be higher, basic uncertainty = 1.2</v>
      </c>
      <c r="BK24" s="155">
        <v>0</v>
      </c>
      <c r="BL24" s="29">
        <f t="shared" si="39"/>
        <v>1</v>
      </c>
      <c r="BM24" s="1">
        <f t="shared" si="40"/>
        <v>1.2365959919080913</v>
      </c>
      <c r="BN24" s="139" t="str">
        <f t="shared" si="41"/>
        <v>(3,2,1,1,1,3); yield at good installation, average is lower while optimum would be higher, basic uncertainty = 1.2</v>
      </c>
      <c r="BO24" s="155">
        <v>0</v>
      </c>
      <c r="BP24" s="29">
        <f t="shared" si="42"/>
        <v>1</v>
      </c>
      <c r="BQ24" s="1">
        <f t="shared" si="43"/>
        <v>1.2365959919080913</v>
      </c>
      <c r="BR24" s="139" t="str">
        <f t="shared" si="44"/>
        <v>(3,2,1,1,1,3); yield at good installation, average is lower while optimum would be higher, basic uncertainty = 1.2</v>
      </c>
      <c r="BS24" s="155" t="e">
        <f>1/(Schrägdach*3*lifetime)</f>
        <v>#REF!</v>
      </c>
      <c r="BT24" s="29">
        <f t="shared" si="45"/>
        <v>1</v>
      </c>
      <c r="BU24" s="1">
        <f t="shared" si="46"/>
        <v>1.2365959919080913</v>
      </c>
      <c r="BV24" s="139" t="str">
        <f t="shared" si="47"/>
        <v>(3,2,1,1,1,3); yield at good installation, average is lower while optimum would be higher, basic uncertainty = 1.2</v>
      </c>
      <c r="BW24" s="155">
        <v>0</v>
      </c>
      <c r="BX24" s="29">
        <f t="shared" si="48"/>
        <v>1</v>
      </c>
      <c r="BY24" s="1">
        <f t="shared" si="49"/>
        <v>1.2365959919080913</v>
      </c>
      <c r="BZ24" s="31" t="str">
        <f t="shared" si="50"/>
        <v>(3,2,1,1,1,3); yield at good installation, average is lower while optimum would be higher, basic uncertainty = 1.2</v>
      </c>
      <c r="CA24" s="155" t="e">
        <f>1/(#REF!*3*lifetime)*CE24</f>
        <v>#REF!</v>
      </c>
      <c r="CB24" s="29">
        <v>1</v>
      </c>
      <c r="CC24" s="1">
        <f>EXP(SQRT((LN(CR24)^2)+(LN(CR$27)^2)))</f>
        <v>1.2365959919080913</v>
      </c>
      <c r="CD24" s="31" t="str">
        <f t="shared" si="55"/>
        <v>(3,2,1,1,1,3); average yield, estimation for share of technologies. Basic uncertainty = 1.2</v>
      </c>
      <c r="CE24" s="287" t="e">
        <f>#REF!</f>
        <v>#REF!</v>
      </c>
      <c r="CF24" s="289" t="e">
        <f>#REF!</f>
        <v>#REF!</v>
      </c>
      <c r="CG24" s="287" t="e">
        <f>#REF!</f>
        <v>#REF!</v>
      </c>
      <c r="CH24" s="115" t="str">
        <f t="shared" si="56"/>
        <v>yield at good installation, average is lower while optimum would be higher, basic uncertainty = 1.2</v>
      </c>
      <c r="CI24" s="10">
        <f t="shared" si="57"/>
        <v>3</v>
      </c>
      <c r="CJ24" s="50">
        <v>2</v>
      </c>
      <c r="CK24" s="50">
        <v>1</v>
      </c>
      <c r="CL24" s="50">
        <v>1</v>
      </c>
      <c r="CM24" s="50">
        <v>1</v>
      </c>
      <c r="CN24" s="50">
        <v>3</v>
      </c>
      <c r="CO24" s="50">
        <f>IF(OR($D24="4",$E24="4"),INDEX([14]NamesElementary!$J$1:$J$65536,MATCH($A24,[14]NamesElementary!$A$1:$A$65536,0),1),INDEX([14]Names!$W$1:$W$65602,MATCH($A24,[14]Names!$F$1:$F$65602,0),1))</f>
        <v>9</v>
      </c>
      <c r="CP24" s="312">
        <f>CP23</f>
        <v>1.2</v>
      </c>
      <c r="CQ24" s="87">
        <f>EXP(SQRT((LN(CU24)^2)+(LN(CV24)^2)+(LN(CW24)^2)+(LN(CX24)^2)+(LN(CY24)^2)+(LN(CZ24)^2)))</f>
        <v>1.1150377561073679</v>
      </c>
      <c r="CR24" s="88">
        <f>EXP(SQRT((LN(CU24)^2)+(LN(CV24)^2)+(LN(CW24)^2)+(LN(CX24)^2)+(LN(CY24)^2)+(LN(CZ24)^2)+LN(CP24)^2))</f>
        <v>1.2365959919080913</v>
      </c>
      <c r="CS24" s="89" t="str">
        <f>CONCATENATE("(",CI24,",",CJ24,",",CK24,",",CL24,",",CM24,",",CN24,")")</f>
        <v>(3,2,1,1,1,3)</v>
      </c>
      <c r="CU24" s="52">
        <f>IF(CI24=1,'[14]SDG^2 values'!$B$4,IF(CI24=2,'[14]SDG^2 values'!$C$4,IF(CI24=3,'[14]SDG^2 values'!$D$4,IF(CI24=4,'[14]SDG^2 values'!$E$4,IF(CI24=5,'[14]SDG^2 values'!$F$4,1)))))</f>
        <v>1.1000000000000001</v>
      </c>
      <c r="CV24" s="52">
        <f>IF(CJ24=1,'[14]SDG^2 values'!$B$5,IF(CJ24=2,'[14]SDG^2 values'!$C$5,IF(CJ24=3,'[14]SDG^2 values'!$D$5,IF(CJ24=4,'[14]SDG^2 values'!$E$5,IF(CJ24=5,'[14]SDG^2 values'!$F$5,1)))))</f>
        <v>1.02</v>
      </c>
      <c r="CW24" s="52">
        <f>IF(CK24=1,'[14]SDG^2 values'!$B$6,IF(CK24=2,'[14]SDG^2 values'!$C$6,IF(CK24=3,'[14]SDG^2 values'!$D$6,IF(CK24=4,'[14]SDG^2 values'!$E$6,IF(CK24=5,'[14]SDG^2 values'!$F$6,1)))))</f>
        <v>1</v>
      </c>
      <c r="CX24" s="52">
        <f>IF(CL24=1,'[14]SDG^2 values'!$B$7,IF(CL24=2,'[14]SDG^2 values'!$C$7,IF(CL24=3,'[14]SDG^2 values'!$D$7,IF(CL24=4,'[14]SDG^2 values'!$E$7,IF(CL24=5,'[14]SDG^2 values'!$F$7,1)))))</f>
        <v>1</v>
      </c>
      <c r="CY24" s="52">
        <f>IF(CM24=1,'[14]SDG^2 values'!$B$8,IF(CM24=2,'[14]SDG^2 values'!$C$8,IF(CM24=3,'[14]SDG^2 values'!$D$8,IF(CM24=4,'[14]SDG^2 values'!$E$8,IF(CM24=5,'[14]SDG^2 values'!$F$8,1)))))</f>
        <v>1</v>
      </c>
      <c r="CZ24" s="52">
        <f>IF(CN24=1,'[14]SDG^2 values'!$B$9,IF(CN24=2,'[14]SDG^2 values'!$C$9,IF(CN24=3,'[14]SDG^2 values'!$D$9,IF(CN24=4,'[14]SDG^2 values'!$E$9,IF(CN24=5,'[14]SDG^2 values'!$F$9,1)))))</f>
        <v>1.05</v>
      </c>
    </row>
    <row r="25" spans="1:104" ht="48" customHeight="1" outlineLevel="1">
      <c r="A25" s="120">
        <v>32131</v>
      </c>
      <c r="B25" s="168" t="s">
        <v>525</v>
      </c>
      <c r="C25" s="151"/>
      <c r="D25" s="152" t="s">
        <v>526</v>
      </c>
      <c r="E25" s="153" t="s">
        <v>402</v>
      </c>
      <c r="F25" s="144" t="str">
        <f>IF(OR(D25="4",E25="4"),INDEX([14]NamesElementary!$B$1:$B$65536,MATCH(A25,[14]NamesElementary!$A$1:$A$65536,0),1),INDEX([14]Names!$J$1:$J$65602,MATCH(A25,[14]Names!$F$1:$F$65602,0),1))</f>
        <v>3kWp slanted-roof installation, a-Si, panel, mounted, on roof</v>
      </c>
      <c r="G25" s="125" t="str">
        <f>IF(OR(D25="4",E25="4"),"-",INDEX([14]Names!$K$1:$K$65602,MATCH(A25,[14]Names!$F$1:$F$65602,0),1))</f>
        <v>CH</v>
      </c>
      <c r="H25" s="154" t="str">
        <f>IF(OR(D25="4",E25="4"),INDEX([14]NamesElementary!$D$1:$D$65536,MATCH($A25,[14]NamesElementary!$A$1:$A$65536,0),1),"-")</f>
        <v>-</v>
      </c>
      <c r="I25" s="123" t="str">
        <f>IF(OR(D25="4",E25="4"),INDEX([14]NamesElementary!$E$1:$E$65536,MATCH($A25,[14]NamesElementary!$A$1:$A$65536,0),1),"-")</f>
        <v>-</v>
      </c>
      <c r="J25" s="124">
        <f>IF(OR(D25="4",E25="4"),"-",INDEX([14]Names!$N$1:$N$65602,MATCH(A25,[14]Names!$F$1:$F$65602,0),1))</f>
        <v>1</v>
      </c>
      <c r="K25" s="125" t="str">
        <f>IF(OR(D25="4",E25="4"),INDEX([14]NamesElementary!$G$1:$G$65536,MATCH(A25,[14]NamesElementary!$A$1:$A$65536,0),1),INDEX([14]Names!$O$1:$O$65602,MATCH(A25,[14]Names!$F$1:$F$65602,0),1))</f>
        <v>unit</v>
      </c>
      <c r="L25" s="155">
        <v>0</v>
      </c>
      <c r="M25" s="29">
        <f t="shared" si="0"/>
        <v>1</v>
      </c>
      <c r="N25" s="1">
        <f t="shared" si="1"/>
        <v>1.2365959919080913</v>
      </c>
      <c r="O25" s="139" t="str">
        <f t="shared" si="2"/>
        <v>(3,2,1,1,1,3); yield at good installation, average is lower while optimum would be higher, basic uncertainty = 1.2</v>
      </c>
      <c r="P25" s="155">
        <v>0</v>
      </c>
      <c r="Q25" s="29">
        <f t="shared" si="3"/>
        <v>1</v>
      </c>
      <c r="R25" s="1">
        <f t="shared" si="4"/>
        <v>1.2365959919080913</v>
      </c>
      <c r="S25" s="139" t="str">
        <f t="shared" si="5"/>
        <v>(3,2,1,1,1,3); yield at good installation, average is lower while optimum would be higher, basic uncertainty = 1.2</v>
      </c>
      <c r="T25" s="155">
        <v>0</v>
      </c>
      <c r="U25" s="29">
        <f t="shared" si="6"/>
        <v>1</v>
      </c>
      <c r="V25" s="1">
        <f t="shared" si="7"/>
        <v>1.2365959919080913</v>
      </c>
      <c r="W25" s="139" t="str">
        <f t="shared" si="8"/>
        <v>(3,2,1,1,1,3); yield at good installation, average is lower while optimum would be higher, basic uncertainty = 1.2</v>
      </c>
      <c r="X25" s="155">
        <v>0</v>
      </c>
      <c r="Y25" s="29">
        <f t="shared" si="9"/>
        <v>1</v>
      </c>
      <c r="Z25" s="1">
        <f t="shared" si="10"/>
        <v>1.2365959919080913</v>
      </c>
      <c r="AA25" s="139" t="str">
        <f t="shared" si="11"/>
        <v>(3,2,1,1,1,3); yield at good installation, average is lower while optimum would be higher, basic uncertainty = 1.2</v>
      </c>
      <c r="AB25" s="155">
        <v>0</v>
      </c>
      <c r="AC25" s="29">
        <f t="shared" si="12"/>
        <v>1</v>
      </c>
      <c r="AD25" s="1">
        <f t="shared" si="13"/>
        <v>1.2365959919080913</v>
      </c>
      <c r="AE25" s="139" t="str">
        <f t="shared" si="14"/>
        <v>(3,2,1,1,1,3); yield at good installation, average is lower while optimum would be higher, basic uncertainty = 1.2</v>
      </c>
      <c r="AF25" s="155">
        <v>0</v>
      </c>
      <c r="AG25" s="29">
        <f t="shared" si="15"/>
        <v>1</v>
      </c>
      <c r="AH25" s="1">
        <f t="shared" si="16"/>
        <v>1.2365959919080913</v>
      </c>
      <c r="AI25" s="139" t="str">
        <f t="shared" si="17"/>
        <v>(3,2,1,1,1,3); yield at good installation, average is lower while optimum would be higher, basic uncertainty = 1.2</v>
      </c>
      <c r="AJ25" s="155">
        <v>0</v>
      </c>
      <c r="AK25" s="29">
        <f t="shared" si="18"/>
        <v>1</v>
      </c>
      <c r="AL25" s="1">
        <f t="shared" si="19"/>
        <v>1.2365959919080913</v>
      </c>
      <c r="AM25" s="31" t="str">
        <f t="shared" si="20"/>
        <v>(3,2,1,1,1,3); yield at good installation, average is lower while optimum would be higher, basic uncertainty = 1.2</v>
      </c>
      <c r="AN25" s="155">
        <v>0</v>
      </c>
      <c r="AO25" s="29">
        <f t="shared" si="21"/>
        <v>1</v>
      </c>
      <c r="AP25" s="1">
        <f t="shared" si="22"/>
        <v>1.2365959919080913</v>
      </c>
      <c r="AQ25" s="139" t="str">
        <f t="shared" si="23"/>
        <v>(3,2,1,1,1,3); yield at good installation, average is lower while optimum would be higher, basic uncertainty = 1.2</v>
      </c>
      <c r="AR25" s="155">
        <v>0</v>
      </c>
      <c r="AS25" s="29">
        <f t="shared" si="24"/>
        <v>1</v>
      </c>
      <c r="AT25" s="1">
        <f t="shared" si="25"/>
        <v>1.2365959919080913</v>
      </c>
      <c r="AU25" s="31" t="str">
        <f t="shared" si="26"/>
        <v>(3,2,1,1,1,3); yield at good installation, average is lower while optimum would be higher, basic uncertainty = 1.2</v>
      </c>
      <c r="AV25" s="155">
        <v>0</v>
      </c>
      <c r="AW25" s="29">
        <f t="shared" si="27"/>
        <v>1</v>
      </c>
      <c r="AX25" s="1">
        <f t="shared" si="28"/>
        <v>1.2365959919080913</v>
      </c>
      <c r="AY25" s="139" t="str">
        <f t="shared" si="29"/>
        <v>(3,2,1,1,1,3); yield at good installation, average is lower while optimum would be higher, basic uncertainty = 1.2</v>
      </c>
      <c r="AZ25" s="155">
        <v>0</v>
      </c>
      <c r="BA25" s="29">
        <f t="shared" si="30"/>
        <v>1</v>
      </c>
      <c r="BB25" s="1">
        <f t="shared" si="31"/>
        <v>1.2365959919080913</v>
      </c>
      <c r="BC25" s="139" t="str">
        <f t="shared" si="32"/>
        <v>(3,2,1,1,1,3); yield at good installation, average is lower while optimum would be higher, basic uncertainty = 1.2</v>
      </c>
      <c r="BD25" s="155">
        <v>0</v>
      </c>
      <c r="BE25" s="29">
        <f t="shared" si="33"/>
        <v>1</v>
      </c>
      <c r="BF25" s="1">
        <f t="shared" si="34"/>
        <v>1.2365959919080913</v>
      </c>
      <c r="BG25" s="139" t="str">
        <f t="shared" si="35"/>
        <v>(3,2,1,1,1,3); yield at good installation, average is lower while optimum would be higher, basic uncertainty = 1.2</v>
      </c>
      <c r="BH25" s="29">
        <f t="shared" si="36"/>
        <v>1</v>
      </c>
      <c r="BI25" s="1">
        <f t="shared" si="37"/>
        <v>1.2365959919080913</v>
      </c>
      <c r="BJ25" s="139" t="str">
        <f t="shared" si="38"/>
        <v>(3,2,1,1,1,3); yield at good installation, average is lower while optimum would be higher, basic uncertainty = 1.2</v>
      </c>
      <c r="BK25" s="155">
        <v>0</v>
      </c>
      <c r="BL25" s="29">
        <f t="shared" si="39"/>
        <v>1</v>
      </c>
      <c r="BM25" s="1">
        <f t="shared" si="40"/>
        <v>1.2365959919080913</v>
      </c>
      <c r="BN25" s="139" t="str">
        <f t="shared" si="41"/>
        <v>(3,2,1,1,1,3); yield at good installation, average is lower while optimum would be higher, basic uncertainty = 1.2</v>
      </c>
      <c r="BO25" s="155">
        <v>0</v>
      </c>
      <c r="BP25" s="29">
        <f t="shared" si="42"/>
        <v>1</v>
      </c>
      <c r="BQ25" s="1">
        <f t="shared" si="43"/>
        <v>1.2365959919080913</v>
      </c>
      <c r="BR25" s="139" t="str">
        <f t="shared" si="44"/>
        <v>(3,2,1,1,1,3); yield at good installation, average is lower while optimum would be higher, basic uncertainty = 1.2</v>
      </c>
      <c r="BS25" s="155">
        <v>0</v>
      </c>
      <c r="BT25" s="29">
        <f t="shared" si="45"/>
        <v>1</v>
      </c>
      <c r="BU25" s="1">
        <f t="shared" si="46"/>
        <v>1.2365959919080913</v>
      </c>
      <c r="BV25" s="139" t="str">
        <f t="shared" si="47"/>
        <v>(3,2,1,1,1,3); yield at good installation, average is lower while optimum would be higher, basic uncertainty = 1.2</v>
      </c>
      <c r="BW25" s="155" t="e">
        <f>1/(Schrägdach*3*lifetime)</f>
        <v>#REF!</v>
      </c>
      <c r="BX25" s="29">
        <f t="shared" si="48"/>
        <v>1</v>
      </c>
      <c r="BY25" s="1">
        <f t="shared" si="49"/>
        <v>1.2365959919080913</v>
      </c>
      <c r="BZ25" s="31" t="str">
        <f t="shared" si="50"/>
        <v>(3,2,1,1,1,3); yield at good installation, average is lower while optimum would be higher, basic uncertainty = 1.2</v>
      </c>
      <c r="CA25" s="155" t="e">
        <f>1/(#REF!*3*lifetime)*CE25</f>
        <v>#REF!</v>
      </c>
      <c r="CB25" s="29">
        <v>1</v>
      </c>
      <c r="CC25" s="1">
        <f>EXP(SQRT((LN(CR25)^2)+(LN(CR$27)^2)))</f>
        <v>1.2365959919080913</v>
      </c>
      <c r="CD25" s="31" t="str">
        <f t="shared" si="55"/>
        <v>(3,2,1,1,1,3); average yield, estimation for share of technologies. Basic uncertainty = 1.2</v>
      </c>
      <c r="CE25" s="287" t="e">
        <f>#REF!</f>
        <v>#REF!</v>
      </c>
      <c r="CF25" s="289" t="e">
        <f>#REF!</f>
        <v>#REF!</v>
      </c>
      <c r="CG25" s="287" t="e">
        <f>#REF!</f>
        <v>#REF!</v>
      </c>
      <c r="CH25" s="115" t="str">
        <f t="shared" si="56"/>
        <v>yield at good installation, average is lower while optimum would be higher, basic uncertainty = 1.2</v>
      </c>
      <c r="CI25" s="10">
        <f t="shared" si="57"/>
        <v>3</v>
      </c>
      <c r="CJ25" s="50">
        <v>2</v>
      </c>
      <c r="CK25" s="50">
        <v>1</v>
      </c>
      <c r="CL25" s="50">
        <v>1</v>
      </c>
      <c r="CM25" s="50">
        <v>1</v>
      </c>
      <c r="CN25" s="50">
        <v>3</v>
      </c>
      <c r="CO25" s="50">
        <f>IF(OR($D25="4",$E25="4"),INDEX([14]NamesElementary!$J$1:$J$65536,MATCH($A25,[14]NamesElementary!$A$1:$A$65536,0),1),INDEX([14]Names!$W$1:$W$65602,MATCH($A25,[14]Names!$F$1:$F$65602,0),1))</f>
        <v>9</v>
      </c>
      <c r="CP25" s="312">
        <f>CP24</f>
        <v>1.2</v>
      </c>
      <c r="CQ25" s="87">
        <f>EXP(SQRT((LN(CU25)^2)+(LN(CV25)^2)+(LN(CW25)^2)+(LN(CX25)^2)+(LN(CY25)^2)+(LN(CZ25)^2)))</f>
        <v>1.1150377561073679</v>
      </c>
      <c r="CR25" s="88">
        <f>EXP(SQRT((LN(CU25)^2)+(LN(CV25)^2)+(LN(CW25)^2)+(LN(CX25)^2)+(LN(CY25)^2)+(LN(CZ25)^2)+LN(CP25)^2))</f>
        <v>1.2365959919080913</v>
      </c>
      <c r="CS25" s="89" t="str">
        <f>CONCATENATE("(",CI25,",",CJ25,",",CK25,",",CL25,",",CM25,",",CN25,")")</f>
        <v>(3,2,1,1,1,3)</v>
      </c>
      <c r="CU25" s="52">
        <f>IF(CI25=1,'[14]SDG^2 values'!$B$4,IF(CI25=2,'[14]SDG^2 values'!$C$4,IF(CI25=3,'[14]SDG^2 values'!$D$4,IF(CI25=4,'[14]SDG^2 values'!$E$4,IF(CI25=5,'[14]SDG^2 values'!$F$4,1)))))</f>
        <v>1.1000000000000001</v>
      </c>
      <c r="CV25" s="52">
        <f>IF(CJ25=1,'[14]SDG^2 values'!$B$5,IF(CJ25=2,'[14]SDG^2 values'!$C$5,IF(CJ25=3,'[14]SDG^2 values'!$D$5,IF(CJ25=4,'[14]SDG^2 values'!$E$5,IF(CJ25=5,'[14]SDG^2 values'!$F$5,1)))))</f>
        <v>1.02</v>
      </c>
      <c r="CW25" s="52">
        <f>IF(CK25=1,'[14]SDG^2 values'!$B$6,IF(CK25=2,'[14]SDG^2 values'!$C$6,IF(CK25=3,'[14]SDG^2 values'!$D$6,IF(CK25=4,'[14]SDG^2 values'!$E$6,IF(CK25=5,'[14]SDG^2 values'!$F$6,1)))))</f>
        <v>1</v>
      </c>
      <c r="CX25" s="52">
        <f>IF(CL25=1,'[14]SDG^2 values'!$B$7,IF(CL25=2,'[14]SDG^2 values'!$C$7,IF(CL25=3,'[14]SDG^2 values'!$D$7,IF(CL25=4,'[14]SDG^2 values'!$E$7,IF(CL25=5,'[14]SDG^2 values'!$F$7,1)))))</f>
        <v>1</v>
      </c>
      <c r="CY25" s="52">
        <f>IF(CM25=1,'[14]SDG^2 values'!$B$8,IF(CM25=2,'[14]SDG^2 values'!$C$8,IF(CM25=3,'[14]SDG^2 values'!$D$8,IF(CM25=4,'[14]SDG^2 values'!$E$8,IF(CM25=5,'[14]SDG^2 values'!$F$8,1)))))</f>
        <v>1</v>
      </c>
      <c r="CZ25" s="52">
        <f>IF(CN25=1,'[14]SDG^2 values'!$B$9,IF(CN25=2,'[14]SDG^2 values'!$C$9,IF(CN25=3,'[14]SDG^2 values'!$D$9,IF(CN25=4,'[14]SDG^2 values'!$E$9,IF(CN25=5,'[14]SDG^2 values'!$F$9,1)))))</f>
        <v>1.05</v>
      </c>
    </row>
    <row r="26" spans="1:104">
      <c r="A26" s="156"/>
      <c r="B26" s="163" t="s">
        <v>692</v>
      </c>
      <c r="C26" s="151"/>
      <c r="D26" s="153" t="s">
        <v>402</v>
      </c>
      <c r="E26" s="152">
        <v>4</v>
      </c>
      <c r="F26" s="126" t="s">
        <v>324</v>
      </c>
      <c r="G26" s="125" t="s">
        <v>402</v>
      </c>
      <c r="H26" s="126" t="s">
        <v>325</v>
      </c>
      <c r="I26" s="126" t="s">
        <v>685</v>
      </c>
      <c r="J26" s="124" t="s">
        <v>402</v>
      </c>
      <c r="K26" s="125" t="s">
        <v>677</v>
      </c>
      <c r="L26" s="155" t="e">
        <f>L7-3.6</f>
        <v>#REF!</v>
      </c>
      <c r="M26" s="29">
        <f t="shared" si="0"/>
        <v>1</v>
      </c>
      <c r="N26" s="1">
        <f t="shared" si="1"/>
        <v>1.05</v>
      </c>
      <c r="O26" s="139" t="str">
        <f t="shared" si="2"/>
        <v>(1,na,na,na,na,na); Calculation</v>
      </c>
      <c r="P26" s="155" t="e">
        <f>P7-3.6</f>
        <v>#REF!</v>
      </c>
      <c r="Q26" s="29">
        <f t="shared" si="3"/>
        <v>1</v>
      </c>
      <c r="R26" s="1">
        <f t="shared" si="4"/>
        <v>1.05</v>
      </c>
      <c r="S26" s="139" t="str">
        <f t="shared" si="5"/>
        <v>(1,na,na,na,na,na); Calculation</v>
      </c>
      <c r="T26" s="155" t="e">
        <f>T7-3.6</f>
        <v>#REF!</v>
      </c>
      <c r="U26" s="29">
        <f t="shared" si="6"/>
        <v>1</v>
      </c>
      <c r="V26" s="1">
        <f t="shared" si="7"/>
        <v>1.05</v>
      </c>
      <c r="W26" s="139" t="str">
        <f t="shared" si="8"/>
        <v>(1,na,na,na,na,na); Calculation</v>
      </c>
      <c r="X26" s="155" t="e">
        <f>X7-3.6</f>
        <v>#REF!</v>
      </c>
      <c r="Y26" s="29">
        <f t="shared" si="9"/>
        <v>1</v>
      </c>
      <c r="Z26" s="1">
        <f t="shared" si="10"/>
        <v>1.05</v>
      </c>
      <c r="AA26" s="139" t="str">
        <f t="shared" si="11"/>
        <v>(1,na,na,na,na,na); Calculation</v>
      </c>
      <c r="AB26" s="155" t="e">
        <f>AB7-3.6</f>
        <v>#REF!</v>
      </c>
      <c r="AC26" s="29">
        <f t="shared" si="12"/>
        <v>1</v>
      </c>
      <c r="AD26" s="1">
        <f t="shared" si="13"/>
        <v>1.05</v>
      </c>
      <c r="AE26" s="139" t="str">
        <f t="shared" si="14"/>
        <v>(1,na,na,na,na,na); Calculation</v>
      </c>
      <c r="AF26" s="155" t="e">
        <f>AF7-3.6</f>
        <v>#REF!</v>
      </c>
      <c r="AG26" s="29">
        <f t="shared" si="15"/>
        <v>1</v>
      </c>
      <c r="AH26" s="1">
        <f t="shared" si="16"/>
        <v>1.05</v>
      </c>
      <c r="AI26" s="139" t="str">
        <f t="shared" si="17"/>
        <v>(1,na,na,na,na,na); Calculation</v>
      </c>
      <c r="AJ26" s="155" t="e">
        <f>AJ7-3.6</f>
        <v>#REF!</v>
      </c>
      <c r="AK26" s="29">
        <f t="shared" si="18"/>
        <v>1</v>
      </c>
      <c r="AL26" s="1">
        <f t="shared" si="19"/>
        <v>1.05</v>
      </c>
      <c r="AM26" s="31" t="str">
        <f t="shared" si="20"/>
        <v>(1,na,na,na,na,na); Calculation</v>
      </c>
      <c r="AN26" s="155" t="e">
        <f>AN7-3.6</f>
        <v>#REF!</v>
      </c>
      <c r="AO26" s="29">
        <f t="shared" si="21"/>
        <v>1</v>
      </c>
      <c r="AP26" s="1">
        <f t="shared" si="22"/>
        <v>1.05</v>
      </c>
      <c r="AQ26" s="139" t="str">
        <f t="shared" si="23"/>
        <v>(1,na,na,na,na,na); Calculation</v>
      </c>
      <c r="AR26" s="155" t="e">
        <f>AR7-3.6</f>
        <v>#REF!</v>
      </c>
      <c r="AS26" s="29">
        <f t="shared" si="24"/>
        <v>1</v>
      </c>
      <c r="AT26" s="1">
        <f t="shared" si="25"/>
        <v>1.05</v>
      </c>
      <c r="AU26" s="31" t="str">
        <f t="shared" si="26"/>
        <v>(1,na,na,na,na,na); Calculation</v>
      </c>
      <c r="AV26" s="155" t="e">
        <f>AV7-3.6</f>
        <v>#REF!</v>
      </c>
      <c r="AW26" s="29">
        <f t="shared" si="27"/>
        <v>1</v>
      </c>
      <c r="AX26" s="1">
        <f t="shared" si="28"/>
        <v>1.05</v>
      </c>
      <c r="AY26" s="139" t="str">
        <f t="shared" si="29"/>
        <v>(1,na,na,na,na,na); Calculation</v>
      </c>
      <c r="AZ26" s="155" t="e">
        <f>AZ7-3.6</f>
        <v>#REF!</v>
      </c>
      <c r="BA26" s="29">
        <f t="shared" si="30"/>
        <v>1</v>
      </c>
      <c r="BB26" s="1">
        <f t="shared" si="31"/>
        <v>1.05</v>
      </c>
      <c r="BC26" s="139" t="str">
        <f t="shared" si="32"/>
        <v>(1,na,na,na,na,na); Calculation</v>
      </c>
      <c r="BD26" s="155" t="e">
        <f>BD7-3.6</f>
        <v>#REF!</v>
      </c>
      <c r="BE26" s="29">
        <f t="shared" si="33"/>
        <v>1</v>
      </c>
      <c r="BF26" s="1">
        <f t="shared" si="34"/>
        <v>1.05</v>
      </c>
      <c r="BG26" s="139" t="str">
        <f t="shared" si="35"/>
        <v>(1,na,na,na,na,na); Calculation</v>
      </c>
      <c r="BH26" s="29">
        <f t="shared" si="36"/>
        <v>1</v>
      </c>
      <c r="BI26" s="1">
        <f t="shared" si="37"/>
        <v>1.05</v>
      </c>
      <c r="BJ26" s="139" t="str">
        <f t="shared" si="38"/>
        <v>(1,na,na,na,na,na); Calculation</v>
      </c>
      <c r="BK26" s="155" t="e">
        <f>BK7-3.6</f>
        <v>#REF!</v>
      </c>
      <c r="BL26" s="29">
        <f t="shared" si="39"/>
        <v>1</v>
      </c>
      <c r="BM26" s="1">
        <f t="shared" si="40"/>
        <v>1.05</v>
      </c>
      <c r="BN26" s="139" t="str">
        <f t="shared" si="41"/>
        <v>(1,na,na,na,na,na); Calculation</v>
      </c>
      <c r="BO26" s="155" t="e">
        <f>BO7-3.6</f>
        <v>#REF!</v>
      </c>
      <c r="BP26" s="29">
        <f t="shared" si="42"/>
        <v>1</v>
      </c>
      <c r="BQ26" s="1">
        <f t="shared" si="43"/>
        <v>1.05</v>
      </c>
      <c r="BR26" s="139" t="str">
        <f t="shared" si="44"/>
        <v>(1,na,na,na,na,na); Calculation</v>
      </c>
      <c r="BS26" s="155" t="e">
        <f>BS7-3.6</f>
        <v>#REF!</v>
      </c>
      <c r="BT26" s="29">
        <f t="shared" si="45"/>
        <v>1</v>
      </c>
      <c r="BU26" s="1">
        <f t="shared" si="46"/>
        <v>1.05</v>
      </c>
      <c r="BV26" s="139" t="str">
        <f t="shared" si="47"/>
        <v>(1,na,na,na,na,na); Calculation</v>
      </c>
      <c r="BW26" s="155" t="e">
        <f>BW7-3.6</f>
        <v>#REF!</v>
      </c>
      <c r="BX26" s="29">
        <f t="shared" si="48"/>
        <v>1</v>
      </c>
      <c r="BY26" s="1">
        <f t="shared" si="49"/>
        <v>1.05</v>
      </c>
      <c r="BZ26" s="31" t="str">
        <f t="shared" si="50"/>
        <v>(1,na,na,na,na,na); Calculation</v>
      </c>
      <c r="CA26" s="155" t="e">
        <f>CA7-3.6</f>
        <v>#REF!</v>
      </c>
      <c r="CB26" s="29">
        <v>1</v>
      </c>
      <c r="CC26" s="1">
        <f>EXP(SQRT((LN(CR26)^2)+(LN(CR$27)^2)))</f>
        <v>1.05</v>
      </c>
      <c r="CD26" s="31" t="str">
        <f>CS26&amp;"; "&amp;CH26</f>
        <v>(1,na,na,na,na,na); Calculation</v>
      </c>
      <c r="CE26" s="180"/>
      <c r="CF26" s="180"/>
      <c r="CG26" s="180"/>
      <c r="CH26" s="115" t="s">
        <v>401</v>
      </c>
      <c r="CI26" s="152">
        <v>1</v>
      </c>
      <c r="CJ26" s="152" t="s">
        <v>271</v>
      </c>
      <c r="CK26" s="152" t="s">
        <v>271</v>
      </c>
      <c r="CL26" s="152" t="s">
        <v>271</v>
      </c>
      <c r="CM26" s="152" t="s">
        <v>271</v>
      </c>
      <c r="CN26" s="152" t="s">
        <v>271</v>
      </c>
      <c r="CO26" s="50">
        <v>13</v>
      </c>
      <c r="CP26" s="51">
        <f>INDEX([14]BasicUncertainty!$H$1:$H$65536,MATCH(CO26,[14]BasicUncertainty!$B$1:$B$65536,0),1)</f>
        <v>1.05</v>
      </c>
      <c r="CQ26" s="87">
        <f t="shared" si="59"/>
        <v>1</v>
      </c>
      <c r="CR26" s="88">
        <f t="shared" si="60"/>
        <v>1.05</v>
      </c>
      <c r="CS26" s="89" t="str">
        <f t="shared" si="61"/>
        <v>(1,na,na,na,na,na)</v>
      </c>
      <c r="CU26" s="52">
        <f>IF(CI26=1,'[14]SDG^2 values'!$B$4,IF(CI26=2,'[14]SDG^2 values'!$C$4,IF(CI26=3,'[14]SDG^2 values'!$D$4,IF(CI26=4,'[14]SDG^2 values'!$E$4,IF(CI26=5,'[14]SDG^2 values'!$F$4,1)))))</f>
        <v>1</v>
      </c>
      <c r="CV26" s="52">
        <f>IF(CJ26=1,'[14]SDG^2 values'!$B$5,IF(CJ26=2,'[14]SDG^2 values'!$C$5,IF(CJ26=3,'[14]SDG^2 values'!$D$5,IF(CJ26=4,'[14]SDG^2 values'!$E$5,IF(CJ26=5,'[14]SDG^2 values'!$F$5,1)))))</f>
        <v>1</v>
      </c>
      <c r="CW26" s="52">
        <f>IF(CK26=1,'[14]SDG^2 values'!$B$6,IF(CK26=2,'[14]SDG^2 values'!$C$6,IF(CK26=3,'[14]SDG^2 values'!$D$6,IF(CK26=4,'[14]SDG^2 values'!$E$6,IF(CK26=5,'[14]SDG^2 values'!$F$6,1)))))</f>
        <v>1</v>
      </c>
      <c r="CX26" s="52">
        <f>IF(CL26=1,'[14]SDG^2 values'!$B$7,IF(CL26=2,'[14]SDG^2 values'!$C$7,IF(CL26=3,'[14]SDG^2 values'!$D$7,IF(CL26=4,'[14]SDG^2 values'!$E$7,IF(CL26=5,'[14]SDG^2 values'!$F$7,1)))))</f>
        <v>1</v>
      </c>
      <c r="CY26" s="52">
        <f>IF(CM26=1,'[14]SDG^2 values'!$B$8,IF(CM26=2,'[14]SDG^2 values'!$C$8,IF(CM26=3,'[14]SDG^2 values'!$D$8,IF(CM26=4,'[14]SDG^2 values'!$E$8,IF(CM26=5,'[14]SDG^2 values'!$F$8,1)))))</f>
        <v>1</v>
      </c>
      <c r="CZ26" s="52">
        <f>IF(CN26=1,'[14]SDG^2 values'!$B$9,IF(CN26=2,'[14]SDG^2 values'!$C$9,IF(CN26=3,'[14]SDG^2 values'!$D$9,IF(CN26=4,'[14]SDG^2 values'!$E$9,IF(CN26=5,'[14]SDG^2 values'!$F$9,1)))))</f>
        <v>1</v>
      </c>
    </row>
    <row r="27" spans="1:104" ht="24" outlineLevel="1">
      <c r="A27" s="5">
        <v>1459</v>
      </c>
      <c r="B27" s="168" t="s">
        <v>523</v>
      </c>
      <c r="C27" s="169"/>
      <c r="D27" s="11" t="s">
        <v>402</v>
      </c>
      <c r="E27" s="170">
        <v>0</v>
      </c>
      <c r="F27" s="145" t="str">
        <f>IF(OR(D27="4",E27="4"),INDEX([14]NamesElementary!$B$1:$B$65536,MATCH(A27,[14]NamesElementary!$A$1:$A$65536,0),1),INDEX([14]Names!$J$1:$J$65602,MATCH(A27,[14]Names!$F$1:$F$65602,0),1))</f>
        <v>electricity, PV, at 3kWp facade, single-Si, laminated, integrated</v>
      </c>
      <c r="G27" s="16" t="str">
        <f>IF(OR(D27="4",E27="4"),"-",INDEX([14]Names!$K$1:$K$65602,MATCH(A27,[14]Names!$F$1:$F$65602,0),1))</f>
        <v>CH</v>
      </c>
      <c r="H27" s="14" t="str">
        <f>IF(OR(D27="4",E27="4"),INDEX([14]NamesElementary!$D$1:$D$65536,MATCH($A27,[14]NamesElementary!$A$1:$A$65536,0),1),"-")</f>
        <v>-</v>
      </c>
      <c r="I27" s="14" t="str">
        <f>IF(OR(D27="4",E27="4"),INDEX([14]NamesElementary!$E$1:$E$65536,MATCH($A27,[14]NamesElementary!$A$1:$A$65536,0),1),"-")</f>
        <v>-</v>
      </c>
      <c r="J27" s="15">
        <f>IF(OR(D27="4",E27="4"),"-",INDEX([14]Names!$N$1:$N$65602,MATCH(A27,[14]Names!$F$1:$F$65602,0),1))</f>
        <v>0</v>
      </c>
      <c r="K27" s="16" t="str">
        <f>IF(OR(D27="4",E27="4"),INDEX([14]NamesElementary!$G$1:$G$65536,MATCH(A27,[14]NamesElementary!$A$1:$A$65536,0),1),INDEX([14]Names!$O$1:$O$65602,MATCH(A27,[14]Names!$F$1:$F$65602,0),1))</f>
        <v>kWh</v>
      </c>
      <c r="L27" s="149">
        <v>1</v>
      </c>
      <c r="M27" s="29"/>
      <c r="N27" s="1"/>
      <c r="O27" s="139"/>
      <c r="P27" s="149">
        <v>0</v>
      </c>
      <c r="Q27" s="29"/>
      <c r="R27" s="1"/>
      <c r="S27" s="139"/>
      <c r="T27" s="149">
        <v>0</v>
      </c>
      <c r="U27" s="29"/>
      <c r="V27" s="1"/>
      <c r="W27" s="139"/>
      <c r="X27" s="149">
        <v>0</v>
      </c>
      <c r="Y27" s="29"/>
      <c r="Z27" s="1"/>
      <c r="AA27" s="139"/>
      <c r="AB27" s="149">
        <v>0</v>
      </c>
      <c r="AC27" s="29"/>
      <c r="AD27" s="1"/>
      <c r="AE27" s="139"/>
      <c r="AF27" s="149">
        <v>0</v>
      </c>
      <c r="AG27" s="29"/>
      <c r="AH27" s="1"/>
      <c r="AI27" s="139"/>
      <c r="AJ27" s="149">
        <v>0</v>
      </c>
      <c r="AK27" s="29"/>
      <c r="AL27" s="1"/>
      <c r="AM27" s="31"/>
      <c r="AN27" s="149">
        <v>0</v>
      </c>
      <c r="AO27" s="29"/>
      <c r="AP27" s="1"/>
      <c r="AQ27" s="139"/>
      <c r="AR27" s="149">
        <v>0</v>
      </c>
      <c r="AS27" s="29"/>
      <c r="AT27" s="1"/>
      <c r="AU27" s="31"/>
      <c r="AV27" s="149">
        <v>0</v>
      </c>
      <c r="AW27" s="29"/>
      <c r="AX27" s="1"/>
      <c r="AY27" s="139"/>
      <c r="AZ27" s="149">
        <v>0</v>
      </c>
      <c r="BA27" s="29"/>
      <c r="BB27" s="1"/>
      <c r="BC27" s="139"/>
      <c r="BD27" s="149">
        <v>0</v>
      </c>
      <c r="BE27" s="29"/>
      <c r="BF27" s="1"/>
      <c r="BG27" s="139"/>
      <c r="BH27" s="29"/>
      <c r="BI27" s="1"/>
      <c r="BJ27" s="139"/>
      <c r="BK27" s="149">
        <v>0</v>
      </c>
      <c r="BL27" s="29"/>
      <c r="BM27" s="1"/>
      <c r="BN27" s="139"/>
      <c r="BO27" s="149">
        <v>0</v>
      </c>
      <c r="BP27" s="29"/>
      <c r="BQ27" s="1"/>
      <c r="BR27" s="139"/>
      <c r="BS27" s="149">
        <v>0</v>
      </c>
      <c r="BT27" s="29"/>
      <c r="BU27" s="1"/>
      <c r="BV27" s="139"/>
      <c r="BW27" s="149">
        <v>0</v>
      </c>
      <c r="BX27" s="29"/>
      <c r="BY27" s="1"/>
      <c r="BZ27" s="31"/>
      <c r="CA27" s="149">
        <v>0</v>
      </c>
      <c r="CB27" s="29"/>
      <c r="CC27" s="1"/>
      <c r="CD27" s="31"/>
      <c r="CE27" s="180"/>
      <c r="CF27" s="180"/>
      <c r="CG27" s="287" t="e">
        <f>CG10</f>
        <v>#REF!</v>
      </c>
      <c r="CH27" s="115"/>
      <c r="CI27" s="10">
        <v>1</v>
      </c>
      <c r="CJ27" s="50">
        <v>1</v>
      </c>
      <c r="CK27" s="50">
        <v>1</v>
      </c>
      <c r="CL27" s="50">
        <v>1</v>
      </c>
      <c r="CM27" s="50">
        <v>1</v>
      </c>
      <c r="CN27" s="50">
        <v>1</v>
      </c>
      <c r="CO27" s="50">
        <v>45</v>
      </c>
      <c r="CP27" s="51">
        <f>INDEX([14]BasicUncertainty!$A:$IV,MATCH(CO27,[14]BasicUncertainty!B$1:B$65536,0),8)</f>
        <v>1</v>
      </c>
      <c r="CQ27" s="87">
        <f t="shared" si="59"/>
        <v>1</v>
      </c>
      <c r="CR27" s="88">
        <f t="shared" si="60"/>
        <v>1</v>
      </c>
      <c r="CS27" s="89" t="str">
        <f t="shared" si="61"/>
        <v>(1,1,1,1,1,1)</v>
      </c>
      <c r="CU27" s="52">
        <f>IF(CI27=1,'[14]SDG^2 values'!$B$4,IF(CI27=2,'[14]SDG^2 values'!$C$4,IF(CI27=3,'[14]SDG^2 values'!$D$4,IF(CI27=4,'[14]SDG^2 values'!$E$4,IF(CI27=5,'[14]SDG^2 values'!$F$4,1)))))</f>
        <v>1</v>
      </c>
      <c r="CV27" s="52">
        <f>IF(CJ27=1,'[14]SDG^2 values'!$B$5,IF(CJ27=2,'[14]SDG^2 values'!$C$5,IF(CJ27=3,'[14]SDG^2 values'!$D$5,IF(CJ27=4,'[14]SDG^2 values'!$E$5,IF(CJ27=5,'[14]SDG^2 values'!$F$5,1)))))</f>
        <v>1</v>
      </c>
      <c r="CW27" s="52">
        <f>IF(CK27=1,'[14]SDG^2 values'!$B$6,IF(CK27=2,'[14]SDG^2 values'!$C$6,IF(CK27=3,'[14]SDG^2 values'!$D$6,IF(CK27=4,'[14]SDG^2 values'!$E$6,IF(CK27=5,'[14]SDG^2 values'!$F$6,1)))))</f>
        <v>1</v>
      </c>
      <c r="CX27" s="52">
        <f>IF(CL27=1,'[14]SDG^2 values'!$B$7,IF(CL27=2,'[14]SDG^2 values'!$C$7,IF(CL27=3,'[14]SDG^2 values'!$D$7,IF(CL27=4,'[14]SDG^2 values'!$E$7,IF(CL27=5,'[14]SDG^2 values'!$F$7,1)))))</f>
        <v>1</v>
      </c>
      <c r="CY27" s="52">
        <f>IF(CM27=1,'[14]SDG^2 values'!$B$8,IF(CM27=2,'[14]SDG^2 values'!$C$8,IF(CM27=3,'[14]SDG^2 values'!$D$8,IF(CM27=4,'[14]SDG^2 values'!$E$8,IF(CM27=5,'[14]SDG^2 values'!$F$8,1)))))</f>
        <v>1</v>
      </c>
      <c r="CZ27" s="52">
        <f>IF(CN27=1,'[14]SDG^2 values'!$B$9,IF(CN27=2,'[14]SDG^2 values'!$C$9,IF(CN27=3,'[14]SDG^2 values'!$D$9,IF(CN27=4,'[14]SDG^2 values'!$E$9,IF(CN27=5,'[14]SDG^2 values'!$F$9,1)))))</f>
        <v>1</v>
      </c>
    </row>
    <row r="28" spans="1:104" ht="24" outlineLevel="1">
      <c r="A28" s="6">
        <v>1460</v>
      </c>
      <c r="B28" s="168"/>
      <c r="C28" s="169"/>
      <c r="D28" s="11" t="s">
        <v>402</v>
      </c>
      <c r="E28" s="170">
        <v>0</v>
      </c>
      <c r="F28" s="145" t="str">
        <f>IF(OR(D28="4",E28="4"),INDEX([14]NamesElementary!$B$1:$B$65536,MATCH(A28,[14]NamesElementary!$A$1:$A$65536,0),1),INDEX([14]Names!$J$1:$J$65602,MATCH(A28,[14]Names!$F$1:$F$65602,0),1))</f>
        <v>electricity, PV, at 3kWp facade installation, single-Si, panel, mounted</v>
      </c>
      <c r="G28" s="16" t="str">
        <f>IF(OR(D28="4",E28="4"),"-",INDEX([14]Names!$K$1:$K$65602,MATCH(A28,[14]Names!$F$1:$F$65602,0),1))</f>
        <v>CH</v>
      </c>
      <c r="H28" s="14" t="str">
        <f>IF(OR(D28="4",E28="4"),INDEX([14]NamesElementary!$D$1:$D$65536,MATCH($A28,[14]NamesElementary!$A$1:$A$65536,0),1),"-")</f>
        <v>-</v>
      </c>
      <c r="I28" s="14" t="str">
        <f>IF(OR(D28="4",E28="4"),INDEX([14]NamesElementary!$E$1:$E$65536,MATCH($A28,[14]NamesElementary!$A$1:$A$65536,0),1),"-")</f>
        <v>-</v>
      </c>
      <c r="J28" s="15">
        <f>IF(OR(D28="4",E28="4"),"-",INDEX([14]Names!$N$1:$N$65602,MATCH(A28,[14]Names!$F$1:$F$65602,0),1))</f>
        <v>0</v>
      </c>
      <c r="K28" s="16" t="str">
        <f>IF(OR(D28="4",E28="4"),INDEX([14]NamesElementary!$G$1:$G$65536,MATCH(A28,[14]NamesElementary!$A$1:$A$65536,0),1),INDEX([14]Names!$O$1:$O$65602,MATCH(A28,[14]Names!$F$1:$F$65602,0),1))</f>
        <v>kWh</v>
      </c>
      <c r="L28" s="149">
        <v>0</v>
      </c>
      <c r="M28" s="40"/>
      <c r="N28" s="89"/>
      <c r="O28" s="202"/>
      <c r="P28" s="149">
        <f t="shared" ref="P28:P39" si="62">L27</f>
        <v>1</v>
      </c>
      <c r="Q28" s="40"/>
      <c r="R28" s="89"/>
      <c r="S28" s="202"/>
      <c r="T28" s="149">
        <v>0</v>
      </c>
      <c r="U28" s="40"/>
      <c r="V28" s="89"/>
      <c r="W28" s="202"/>
      <c r="X28" s="149">
        <v>0</v>
      </c>
      <c r="Y28" s="40"/>
      <c r="Z28" s="89"/>
      <c r="AA28" s="202"/>
      <c r="AB28" s="149">
        <v>0</v>
      </c>
      <c r="AC28" s="40"/>
      <c r="AD28" s="89"/>
      <c r="AE28" s="202"/>
      <c r="AF28" s="149">
        <v>0</v>
      </c>
      <c r="AG28" s="40"/>
      <c r="AH28" s="89"/>
      <c r="AI28" s="202"/>
      <c r="AJ28" s="149">
        <v>0</v>
      </c>
      <c r="AK28" s="40"/>
      <c r="AL28" s="89"/>
      <c r="AM28" s="193"/>
      <c r="AN28" s="149">
        <v>0</v>
      </c>
      <c r="AO28" s="40"/>
      <c r="AP28" s="89"/>
      <c r="AQ28" s="202"/>
      <c r="AR28" s="149">
        <v>0</v>
      </c>
      <c r="AS28" s="40"/>
      <c r="AT28" s="89"/>
      <c r="AU28" s="193"/>
      <c r="AV28" s="149">
        <v>0</v>
      </c>
      <c r="AW28" s="40"/>
      <c r="AX28" s="89"/>
      <c r="AY28" s="202"/>
      <c r="AZ28" s="149">
        <v>0</v>
      </c>
      <c r="BA28" s="40"/>
      <c r="BB28" s="89"/>
      <c r="BC28" s="202"/>
      <c r="BD28" s="149">
        <v>0</v>
      </c>
      <c r="BE28" s="40"/>
      <c r="BF28" s="89"/>
      <c r="BG28" s="202"/>
      <c r="BH28" s="40"/>
      <c r="BI28" s="89"/>
      <c r="BJ28" s="202"/>
      <c r="BK28" s="149">
        <v>0</v>
      </c>
      <c r="BL28" s="40"/>
      <c r="BM28" s="89"/>
      <c r="BN28" s="202"/>
      <c r="BO28" s="149">
        <v>0</v>
      </c>
      <c r="BP28" s="40"/>
      <c r="BQ28" s="89"/>
      <c r="BR28" s="202"/>
      <c r="BS28" s="149">
        <v>0</v>
      </c>
      <c r="BT28" s="40"/>
      <c r="BU28" s="89"/>
      <c r="BV28" s="202"/>
      <c r="BW28" s="149">
        <v>0</v>
      </c>
      <c r="BX28" s="40"/>
      <c r="BY28" s="89"/>
      <c r="BZ28" s="193"/>
      <c r="CA28" s="149">
        <v>0</v>
      </c>
      <c r="CB28" s="40"/>
      <c r="CC28" s="89"/>
      <c r="CD28" s="193"/>
      <c r="CE28" s="180"/>
      <c r="CF28" s="180"/>
      <c r="CG28" s="287" t="e">
        <f t="shared" ref="CG28:CG42" si="63">CG11</f>
        <v>#REF!</v>
      </c>
    </row>
    <row r="29" spans="1:104" ht="24" outlineLevel="1">
      <c r="A29" s="6">
        <v>1461</v>
      </c>
      <c r="B29" s="168"/>
      <c r="C29" s="169"/>
      <c r="D29" s="11" t="s">
        <v>402</v>
      </c>
      <c r="E29" s="170">
        <v>0</v>
      </c>
      <c r="F29" s="145" t="str">
        <f>IF(OR(D29="4",E29="4"),INDEX([14]NamesElementary!$B$1:$B$65536,MATCH(A29,[14]NamesElementary!$A$1:$A$65536,0),1),INDEX([14]Names!$J$1:$J$65602,MATCH(A29,[14]Names!$F$1:$F$65602,0),1))</f>
        <v>electricity, PV, at 3kWp facade, multi-Si, laminated, integrated</v>
      </c>
      <c r="G29" s="16" t="str">
        <f>IF(OR(D29="4",E29="4"),"-",INDEX([14]Names!$K$1:$K$65602,MATCH(A29,[14]Names!$F$1:$F$65602,0),1))</f>
        <v>CH</v>
      </c>
      <c r="H29" s="14" t="str">
        <f>IF(OR(D29="4",E29="4"),INDEX([14]NamesElementary!$D$1:$D$65536,MATCH($A29,[14]NamesElementary!$A$1:$A$65536,0),1),"-")</f>
        <v>-</v>
      </c>
      <c r="I29" s="14" t="str">
        <f>IF(OR(D29="4",E29="4"),INDEX([14]NamesElementary!$E$1:$E$65536,MATCH($A29,[14]NamesElementary!$A$1:$A$65536,0),1),"-")</f>
        <v>-</v>
      </c>
      <c r="J29" s="15">
        <f>IF(OR(D29="4",E29="4"),"-",INDEX([14]Names!$N$1:$N$65602,MATCH(A29,[14]Names!$F$1:$F$65602,0),1))</f>
        <v>0</v>
      </c>
      <c r="K29" s="16" t="str">
        <f>IF(OR(D29="4",E29="4"),INDEX([14]NamesElementary!$G$1:$G$65536,MATCH(A29,[14]NamesElementary!$A$1:$A$65536,0),1),INDEX([14]Names!$O$1:$O$65602,MATCH(A29,[14]Names!$F$1:$F$65602,0),1))</f>
        <v>kWh</v>
      </c>
      <c r="L29" s="149">
        <v>0</v>
      </c>
      <c r="M29" s="40"/>
      <c r="N29" s="89"/>
      <c r="O29" s="202"/>
      <c r="P29" s="149">
        <f t="shared" si="62"/>
        <v>0</v>
      </c>
      <c r="Q29" s="40"/>
      <c r="R29" s="89"/>
      <c r="S29" s="202"/>
      <c r="T29" s="149">
        <f>P28</f>
        <v>1</v>
      </c>
      <c r="U29" s="40"/>
      <c r="V29" s="89"/>
      <c r="W29" s="202"/>
      <c r="X29" s="149">
        <f>T28</f>
        <v>0</v>
      </c>
      <c r="Y29" s="40"/>
      <c r="Z29" s="89"/>
      <c r="AA29" s="202"/>
      <c r="AB29" s="149">
        <f>X28</f>
        <v>0</v>
      </c>
      <c r="AC29" s="40"/>
      <c r="AD29" s="89"/>
      <c r="AE29" s="202"/>
      <c r="AF29" s="149">
        <f t="shared" ref="AF29:AF39" si="64">AB28</f>
        <v>0</v>
      </c>
      <c r="AG29" s="40"/>
      <c r="AH29" s="89"/>
      <c r="AI29" s="202"/>
      <c r="AJ29" s="149">
        <f t="shared" ref="AJ29:AJ39" si="65">AF28</f>
        <v>0</v>
      </c>
      <c r="AK29" s="40"/>
      <c r="AL29" s="89"/>
      <c r="AM29" s="193"/>
      <c r="AN29" s="149">
        <f t="shared" ref="AN29:AN39" si="66">AJ28</f>
        <v>0</v>
      </c>
      <c r="AO29" s="40"/>
      <c r="AP29" s="89"/>
      <c r="AQ29" s="202"/>
      <c r="AR29" s="149">
        <f t="shared" ref="AR29:AR39" si="67">AN28</f>
        <v>0</v>
      </c>
      <c r="AS29" s="40"/>
      <c r="AT29" s="89"/>
      <c r="AU29" s="193"/>
      <c r="AV29" s="149">
        <f t="shared" ref="AV29:AV39" si="68">AR28</f>
        <v>0</v>
      </c>
      <c r="AW29" s="40"/>
      <c r="AX29" s="89"/>
      <c r="AY29" s="202"/>
      <c r="AZ29" s="149">
        <f t="shared" ref="AZ29:AZ39" si="69">AV28</f>
        <v>0</v>
      </c>
      <c r="BA29" s="40"/>
      <c r="BB29" s="89"/>
      <c r="BC29" s="202"/>
      <c r="BD29" s="149">
        <f t="shared" ref="BD29:BD39" si="70">AZ28</f>
        <v>0</v>
      </c>
      <c r="BE29" s="40"/>
      <c r="BF29" s="89"/>
      <c r="BG29" s="202"/>
      <c r="BH29" s="40"/>
      <c r="BI29" s="89"/>
      <c r="BJ29" s="202"/>
      <c r="BK29" s="149">
        <f t="shared" ref="BK29:BK36" si="71">AZ28</f>
        <v>0</v>
      </c>
      <c r="BL29" s="40"/>
      <c r="BM29" s="89"/>
      <c r="BN29" s="202"/>
      <c r="BO29" s="149">
        <v>0</v>
      </c>
      <c r="BP29" s="40"/>
      <c r="BQ29" s="89"/>
      <c r="BR29" s="202"/>
      <c r="BS29" s="149">
        <f>BO28</f>
        <v>0</v>
      </c>
      <c r="BT29" s="40"/>
      <c r="BU29" s="89"/>
      <c r="BV29" s="202"/>
      <c r="BW29" s="149">
        <f>BS28</f>
        <v>0</v>
      </c>
      <c r="BX29" s="40"/>
      <c r="BY29" s="89"/>
      <c r="BZ29" s="193"/>
      <c r="CA29" s="149">
        <v>0</v>
      </c>
      <c r="CB29" s="40"/>
      <c r="CC29" s="89"/>
      <c r="CD29" s="193"/>
      <c r="CE29" s="180"/>
      <c r="CF29" s="180"/>
      <c r="CG29" s="287" t="e">
        <f t="shared" si="63"/>
        <v>#REF!</v>
      </c>
    </row>
    <row r="30" spans="1:104" ht="24" outlineLevel="1">
      <c r="A30" s="6">
        <v>1462</v>
      </c>
      <c r="B30" s="168"/>
      <c r="C30" s="169"/>
      <c r="D30" s="11" t="s">
        <v>402</v>
      </c>
      <c r="E30" s="170">
        <v>0</v>
      </c>
      <c r="F30" s="145" t="str">
        <f>IF(OR(D30="4",E30="4"),INDEX([14]NamesElementary!$B$1:$B$65536,MATCH(A30,[14]NamesElementary!$A$1:$A$65536,0),1),INDEX([14]Names!$J$1:$J$65602,MATCH(A30,[14]Names!$F$1:$F$65602,0),1))</f>
        <v>electricity, PV, at 3kWp facade installation, multi-Si, panel, mounted</v>
      </c>
      <c r="G30" s="16" t="str">
        <f>IF(OR(D30="4",E30="4"),"-",INDEX([14]Names!$K$1:$K$65602,MATCH(A30,[14]Names!$F$1:$F$65602,0),1))</f>
        <v>CH</v>
      </c>
      <c r="H30" s="14" t="str">
        <f>IF(OR(D30="4",E30="4"),INDEX([14]NamesElementary!$D$1:$D$65536,MATCH($A30,[14]NamesElementary!$A$1:$A$65536,0),1),"-")</f>
        <v>-</v>
      </c>
      <c r="I30" s="14" t="str">
        <f>IF(OR(D30="4",E30="4"),INDEX([14]NamesElementary!$E$1:$E$65536,MATCH($A30,[14]NamesElementary!$A$1:$A$65536,0),1),"-")</f>
        <v>-</v>
      </c>
      <c r="J30" s="15">
        <f>IF(OR(D30="4",E30="4"),"-",INDEX([14]Names!$N$1:$N$65602,MATCH(A30,[14]Names!$F$1:$F$65602,0),1))</f>
        <v>0</v>
      </c>
      <c r="K30" s="16" t="str">
        <f>IF(OR(D30="4",E30="4"),INDEX([14]NamesElementary!$G$1:$G$65536,MATCH(A30,[14]NamesElementary!$A$1:$A$65536,0),1),INDEX([14]Names!$O$1:$O$65602,MATCH(A30,[14]Names!$F$1:$F$65602,0),1))</f>
        <v>kWh</v>
      </c>
      <c r="L30" s="149">
        <v>0</v>
      </c>
      <c r="M30" s="40"/>
      <c r="N30" s="89"/>
      <c r="O30" s="202"/>
      <c r="P30" s="149">
        <f t="shared" si="62"/>
        <v>0</v>
      </c>
      <c r="Q30" s="40"/>
      <c r="R30" s="89"/>
      <c r="S30" s="202"/>
      <c r="T30" s="149">
        <f>P29</f>
        <v>0</v>
      </c>
      <c r="U30" s="40"/>
      <c r="V30" s="89"/>
      <c r="W30" s="202"/>
      <c r="X30" s="149">
        <f>T29</f>
        <v>1</v>
      </c>
      <c r="Y30" s="40"/>
      <c r="Z30" s="89"/>
      <c r="AA30" s="202"/>
      <c r="AB30" s="149">
        <f>X29</f>
        <v>0</v>
      </c>
      <c r="AC30" s="40"/>
      <c r="AD30" s="89"/>
      <c r="AE30" s="202"/>
      <c r="AF30" s="149">
        <f t="shared" si="64"/>
        <v>0</v>
      </c>
      <c r="AG30" s="40"/>
      <c r="AH30" s="89"/>
      <c r="AI30" s="202"/>
      <c r="AJ30" s="149">
        <f t="shared" si="65"/>
        <v>0</v>
      </c>
      <c r="AK30" s="40"/>
      <c r="AL30" s="89"/>
      <c r="AM30" s="193"/>
      <c r="AN30" s="149">
        <f t="shared" si="66"/>
        <v>0</v>
      </c>
      <c r="AO30" s="40"/>
      <c r="AP30" s="89"/>
      <c r="AQ30" s="202"/>
      <c r="AR30" s="149">
        <f t="shared" si="67"/>
        <v>0</v>
      </c>
      <c r="AS30" s="40"/>
      <c r="AT30" s="89"/>
      <c r="AU30" s="193"/>
      <c r="AV30" s="149">
        <f t="shared" si="68"/>
        <v>0</v>
      </c>
      <c r="AW30" s="40"/>
      <c r="AX30" s="89"/>
      <c r="AY30" s="202"/>
      <c r="AZ30" s="149">
        <f t="shared" si="69"/>
        <v>0</v>
      </c>
      <c r="BA30" s="40"/>
      <c r="BB30" s="89"/>
      <c r="BC30" s="202"/>
      <c r="BD30" s="149">
        <f t="shared" si="70"/>
        <v>0</v>
      </c>
      <c r="BE30" s="40"/>
      <c r="BF30" s="89"/>
      <c r="BG30" s="202"/>
      <c r="BH30" s="40"/>
      <c r="BI30" s="89"/>
      <c r="BJ30" s="202"/>
      <c r="BK30" s="149">
        <f t="shared" si="71"/>
        <v>0</v>
      </c>
      <c r="BL30" s="40"/>
      <c r="BM30" s="89"/>
      <c r="BN30" s="202"/>
      <c r="BO30" s="149">
        <v>0</v>
      </c>
      <c r="BP30" s="40"/>
      <c r="BQ30" s="89"/>
      <c r="BR30" s="202"/>
      <c r="BS30" s="149">
        <v>0</v>
      </c>
      <c r="BT30" s="40"/>
      <c r="BU30" s="89"/>
      <c r="BV30" s="202"/>
      <c r="BW30" s="149">
        <f>BS29</f>
        <v>0</v>
      </c>
      <c r="BX30" s="40"/>
      <c r="BY30" s="89"/>
      <c r="BZ30" s="193"/>
      <c r="CA30" s="149">
        <v>0</v>
      </c>
      <c r="CB30" s="40"/>
      <c r="CC30" s="89"/>
      <c r="CD30" s="193"/>
      <c r="CG30" s="287" t="e">
        <f t="shared" si="63"/>
        <v>#REF!</v>
      </c>
    </row>
    <row r="31" spans="1:104" ht="24" outlineLevel="1">
      <c r="A31" s="6">
        <v>1463</v>
      </c>
      <c r="B31" s="168"/>
      <c r="C31" s="169"/>
      <c r="D31" s="11" t="s">
        <v>402</v>
      </c>
      <c r="E31" s="170">
        <v>0</v>
      </c>
      <c r="F31" s="145" t="str">
        <f>IF(OR(D31="4",E31="4"),INDEX([14]NamesElementary!$B$1:$B$65536,MATCH(A31,[14]NamesElementary!$A$1:$A$65536,0),1),INDEX([14]Names!$J$1:$J$65602,MATCH(A31,[14]Names!$F$1:$F$65602,0),1))</f>
        <v>electricity, PV, at 3kWp flat roof installation, single-Si</v>
      </c>
      <c r="G31" s="16" t="str">
        <f>IF(OR(D31="4",E31="4"),"-",INDEX([14]Names!$K$1:$K$65602,MATCH(A31,[14]Names!$F$1:$F$65602,0),1))</f>
        <v>CH</v>
      </c>
      <c r="H31" s="14" t="str">
        <f>IF(OR(D31="4",E31="4"),INDEX([14]NamesElementary!$D$1:$D$65536,MATCH($A31,[14]NamesElementary!$A$1:$A$65536,0),1),"-")</f>
        <v>-</v>
      </c>
      <c r="I31" s="14" t="str">
        <f>IF(OR(D31="4",E31="4"),INDEX([14]NamesElementary!$E$1:$E$65536,MATCH($A31,[14]NamesElementary!$A$1:$A$65536,0),1),"-")</f>
        <v>-</v>
      </c>
      <c r="J31" s="15">
        <f>IF(OR(D31="4",E31="4"),"-",INDEX([14]Names!$N$1:$N$65602,MATCH(A31,[14]Names!$F$1:$F$65602,0),1))</f>
        <v>0</v>
      </c>
      <c r="K31" s="16" t="str">
        <f>IF(OR(D31="4",E31="4"),INDEX([14]NamesElementary!$G$1:$G$65536,MATCH(A31,[14]NamesElementary!$A$1:$A$65536,0),1),INDEX([14]Names!$O$1:$O$65602,MATCH(A31,[14]Names!$F$1:$F$65602,0),1))</f>
        <v>kWh</v>
      </c>
      <c r="L31" s="149">
        <v>0</v>
      </c>
      <c r="M31" s="40"/>
      <c r="N31" s="89"/>
      <c r="O31" s="202"/>
      <c r="P31" s="149">
        <f t="shared" si="62"/>
        <v>0</v>
      </c>
      <c r="Q31" s="40"/>
      <c r="R31" s="89"/>
      <c r="S31" s="202"/>
      <c r="T31" s="149">
        <f>P30</f>
        <v>0</v>
      </c>
      <c r="U31" s="40"/>
      <c r="V31" s="89"/>
      <c r="W31" s="202"/>
      <c r="X31" s="149">
        <f>T30</f>
        <v>0</v>
      </c>
      <c r="Y31" s="40"/>
      <c r="Z31" s="89"/>
      <c r="AA31" s="202"/>
      <c r="AB31" s="149">
        <f>X30</f>
        <v>1</v>
      </c>
      <c r="AC31" s="40"/>
      <c r="AD31" s="89"/>
      <c r="AE31" s="202"/>
      <c r="AF31" s="149">
        <f t="shared" si="64"/>
        <v>0</v>
      </c>
      <c r="AG31" s="40"/>
      <c r="AH31" s="89"/>
      <c r="AI31" s="202"/>
      <c r="AJ31" s="149">
        <f t="shared" si="65"/>
        <v>0</v>
      </c>
      <c r="AK31" s="40"/>
      <c r="AL31" s="89"/>
      <c r="AM31" s="193"/>
      <c r="AN31" s="149">
        <f t="shared" si="66"/>
        <v>0</v>
      </c>
      <c r="AO31" s="40"/>
      <c r="AP31" s="89"/>
      <c r="AQ31" s="202"/>
      <c r="AR31" s="149">
        <f t="shared" si="67"/>
        <v>0</v>
      </c>
      <c r="AS31" s="40"/>
      <c r="AT31" s="89"/>
      <c r="AU31" s="193"/>
      <c r="AV31" s="149">
        <f t="shared" si="68"/>
        <v>0</v>
      </c>
      <c r="AW31" s="40"/>
      <c r="AX31" s="89"/>
      <c r="AY31" s="202"/>
      <c r="AZ31" s="149">
        <f t="shared" si="69"/>
        <v>0</v>
      </c>
      <c r="BA31" s="40"/>
      <c r="BB31" s="89"/>
      <c r="BC31" s="202"/>
      <c r="BD31" s="149">
        <f t="shared" si="70"/>
        <v>0</v>
      </c>
      <c r="BE31" s="40"/>
      <c r="BF31" s="89"/>
      <c r="BG31" s="202"/>
      <c r="BH31" s="40"/>
      <c r="BI31" s="89"/>
      <c r="BJ31" s="202"/>
      <c r="BK31" s="149">
        <f t="shared" si="71"/>
        <v>0</v>
      </c>
      <c r="BL31" s="40"/>
      <c r="BM31" s="89"/>
      <c r="BN31" s="202"/>
      <c r="BO31" s="149">
        <v>0</v>
      </c>
      <c r="BP31" s="40"/>
      <c r="BQ31" s="89"/>
      <c r="BR31" s="202"/>
      <c r="BS31" s="149">
        <v>0</v>
      </c>
      <c r="BT31" s="40"/>
      <c r="BU31" s="89"/>
      <c r="BV31" s="202"/>
      <c r="BW31" s="149">
        <v>0</v>
      </c>
      <c r="BX31" s="40"/>
      <c r="BY31" s="89"/>
      <c r="BZ31" s="193"/>
      <c r="CA31" s="149">
        <v>0</v>
      </c>
      <c r="CB31" s="40"/>
      <c r="CC31" s="89"/>
      <c r="CD31" s="193"/>
      <c r="CG31" s="287" t="e">
        <f t="shared" si="63"/>
        <v>#REF!</v>
      </c>
    </row>
    <row r="32" spans="1:104" ht="24" outlineLevel="1">
      <c r="A32" s="5">
        <v>1464</v>
      </c>
      <c r="B32" s="168"/>
      <c r="C32" s="169"/>
      <c r="D32" s="11" t="s">
        <v>402</v>
      </c>
      <c r="E32" s="170">
        <v>0</v>
      </c>
      <c r="F32" s="145" t="str">
        <f>IF(OR(D32="4",E32="4"),INDEX([14]NamesElementary!$B$1:$B$65536,MATCH(A32,[14]NamesElementary!$A$1:$A$65536,0),1),INDEX([14]Names!$J$1:$J$65602,MATCH(A32,[14]Names!$F$1:$F$65602,0),1))</f>
        <v>electricity, PV, at 3kWp flat roof installation, multi-Si</v>
      </c>
      <c r="G32" s="16" t="str">
        <f>IF(OR(D32="4",E32="4"),"-",INDEX([14]Names!$K$1:$K$65602,MATCH(A32,[14]Names!$F$1:$F$65602,0),1))</f>
        <v>CH</v>
      </c>
      <c r="H32" s="14" t="str">
        <f>IF(OR(D32="4",E32="4"),INDEX([14]NamesElementary!$D$1:$D$65536,MATCH($A32,[14]NamesElementary!$A$1:$A$65536,0),1),"-")</f>
        <v>-</v>
      </c>
      <c r="I32" s="14" t="str">
        <f>IF(OR(D32="4",E32="4"),INDEX([14]NamesElementary!$E$1:$E$65536,MATCH($A32,[14]NamesElementary!$A$1:$A$65536,0),1),"-")</f>
        <v>-</v>
      </c>
      <c r="J32" s="15">
        <f>IF(OR(D32="4",E32="4"),"-",INDEX([14]Names!$N$1:$N$65602,MATCH(A32,[14]Names!$F$1:$F$65602,0),1))</f>
        <v>0</v>
      </c>
      <c r="K32" s="16" t="str">
        <f>IF(OR(D32="4",E32="4"),INDEX([14]NamesElementary!$G$1:$G$65536,MATCH(A32,[14]NamesElementary!$A$1:$A$65536,0),1),INDEX([14]Names!$O$1:$O$65602,MATCH(A32,[14]Names!$F$1:$F$65602,0),1))</f>
        <v>kWh</v>
      </c>
      <c r="L32" s="149">
        <v>0</v>
      </c>
      <c r="M32" s="29"/>
      <c r="N32" s="1"/>
      <c r="O32" s="139"/>
      <c r="P32" s="149">
        <f t="shared" si="62"/>
        <v>0</v>
      </c>
      <c r="Q32" s="29"/>
      <c r="R32" s="1"/>
      <c r="S32" s="139"/>
      <c r="T32" s="149">
        <v>0</v>
      </c>
      <c r="U32" s="29"/>
      <c r="V32" s="1"/>
      <c r="W32" s="139"/>
      <c r="X32" s="149">
        <v>0</v>
      </c>
      <c r="Y32" s="29"/>
      <c r="Z32" s="1"/>
      <c r="AA32" s="139"/>
      <c r="AB32" s="149">
        <f t="shared" ref="AB32:AB38" si="72">X31</f>
        <v>0</v>
      </c>
      <c r="AC32" s="29"/>
      <c r="AD32" s="1"/>
      <c r="AE32" s="139"/>
      <c r="AF32" s="149">
        <f t="shared" si="64"/>
        <v>1</v>
      </c>
      <c r="AG32" s="29"/>
      <c r="AH32" s="1"/>
      <c r="AI32" s="139"/>
      <c r="AJ32" s="149">
        <f t="shared" si="65"/>
        <v>0</v>
      </c>
      <c r="AK32" s="29"/>
      <c r="AL32" s="1"/>
      <c r="AM32" s="31"/>
      <c r="AN32" s="149">
        <f t="shared" si="66"/>
        <v>0</v>
      </c>
      <c r="AO32" s="29"/>
      <c r="AP32" s="1"/>
      <c r="AQ32" s="139"/>
      <c r="AR32" s="149">
        <f t="shared" si="67"/>
        <v>0</v>
      </c>
      <c r="AS32" s="29"/>
      <c r="AT32" s="1"/>
      <c r="AU32" s="31"/>
      <c r="AV32" s="149">
        <f t="shared" si="68"/>
        <v>0</v>
      </c>
      <c r="AW32" s="29"/>
      <c r="AX32" s="1"/>
      <c r="AY32" s="139"/>
      <c r="AZ32" s="149">
        <f t="shared" si="69"/>
        <v>0</v>
      </c>
      <c r="BA32" s="29"/>
      <c r="BB32" s="1"/>
      <c r="BC32" s="139"/>
      <c r="BD32" s="149">
        <f t="shared" si="70"/>
        <v>0</v>
      </c>
      <c r="BE32" s="29"/>
      <c r="BF32" s="1"/>
      <c r="BG32" s="139"/>
      <c r="BH32" s="29"/>
      <c r="BI32" s="1"/>
      <c r="BJ32" s="139"/>
      <c r="BK32" s="149">
        <f t="shared" si="71"/>
        <v>0</v>
      </c>
      <c r="BL32" s="29"/>
      <c r="BM32" s="1"/>
      <c r="BN32" s="139"/>
      <c r="BO32" s="149">
        <v>0</v>
      </c>
      <c r="BP32" s="29"/>
      <c r="BQ32" s="1"/>
      <c r="BR32" s="139"/>
      <c r="BS32" s="149">
        <v>0</v>
      </c>
      <c r="BT32" s="29"/>
      <c r="BU32" s="1"/>
      <c r="BV32" s="139"/>
      <c r="BW32" s="149">
        <v>0</v>
      </c>
      <c r="BX32" s="29"/>
      <c r="BY32" s="1"/>
      <c r="BZ32" s="31"/>
      <c r="CA32" s="149">
        <v>0</v>
      </c>
      <c r="CB32" s="29"/>
      <c r="CC32" s="1"/>
      <c r="CD32" s="31"/>
      <c r="CG32" s="287" t="e">
        <f t="shared" si="63"/>
        <v>#REF!</v>
      </c>
      <c r="CH32" s="115"/>
      <c r="CI32" s="10"/>
      <c r="CJ32" s="50"/>
      <c r="CK32" s="50"/>
      <c r="CL32" s="50"/>
      <c r="CM32" s="50"/>
      <c r="CN32" s="50"/>
      <c r="CO32" s="50"/>
      <c r="CP32" s="51"/>
      <c r="CQ32" s="87"/>
      <c r="CR32" s="88"/>
      <c r="CS32" s="89"/>
      <c r="CU32" s="52"/>
      <c r="CV32" s="52"/>
      <c r="CW32" s="52"/>
      <c r="CX32" s="52"/>
      <c r="CY32" s="52"/>
      <c r="CZ32" s="52"/>
    </row>
    <row r="33" spans="1:85" ht="24" outlineLevel="1">
      <c r="A33" s="6">
        <v>1465</v>
      </c>
      <c r="B33" s="168"/>
      <c r="C33" s="169"/>
      <c r="D33" s="11" t="s">
        <v>402</v>
      </c>
      <c r="E33" s="170">
        <v>0</v>
      </c>
      <c r="F33" s="145" t="str">
        <f>IF(OR(D33="4",E33="4"),INDEX([14]NamesElementary!$B$1:$B$65536,MATCH(A33,[14]NamesElementary!$A$1:$A$65536,0),1),INDEX([14]Names!$J$1:$J$65602,MATCH(A33,[14]Names!$F$1:$F$65602,0),1))</f>
        <v>electricity, PV, at 3kWp slanted-roof, single-Si, laminated, integrated</v>
      </c>
      <c r="G33" s="16" t="str">
        <f>IF(OR(D33="4",E33="4"),"-",INDEX([14]Names!$K$1:$K$65602,MATCH(A33,[14]Names!$F$1:$F$65602,0),1))</f>
        <v>CH</v>
      </c>
      <c r="H33" s="14" t="str">
        <f>IF(OR(D33="4",E33="4"),INDEX([14]NamesElementary!$D$1:$D$65536,MATCH($A33,[14]NamesElementary!$A$1:$A$65536,0),1),"-")</f>
        <v>-</v>
      </c>
      <c r="I33" s="14" t="str">
        <f>IF(OR(D33="4",E33="4"),INDEX([14]NamesElementary!$E$1:$E$65536,MATCH($A33,[14]NamesElementary!$A$1:$A$65536,0),1),"-")</f>
        <v>-</v>
      </c>
      <c r="J33" s="15">
        <f>IF(OR(D33="4",E33="4"),"-",INDEX([14]Names!$N$1:$N$65602,MATCH(A33,[14]Names!$F$1:$F$65602,0),1))</f>
        <v>0</v>
      </c>
      <c r="K33" s="16" t="str">
        <f>IF(OR(D33="4",E33="4"),INDEX([14]NamesElementary!$G$1:$G$65536,MATCH(A33,[14]NamesElementary!$A$1:$A$65536,0),1),INDEX([14]Names!$O$1:$O$65602,MATCH(A33,[14]Names!$F$1:$F$65602,0),1))</f>
        <v>kWh</v>
      </c>
      <c r="L33" s="149">
        <v>0</v>
      </c>
      <c r="M33" s="40"/>
      <c r="N33" s="89"/>
      <c r="O33" s="202"/>
      <c r="P33" s="149">
        <f t="shared" si="62"/>
        <v>0</v>
      </c>
      <c r="Q33" s="40"/>
      <c r="R33" s="89"/>
      <c r="S33" s="202"/>
      <c r="T33" s="149">
        <v>0</v>
      </c>
      <c r="U33" s="40"/>
      <c r="V33" s="89"/>
      <c r="W33" s="202"/>
      <c r="X33" s="149">
        <v>0</v>
      </c>
      <c r="Y33" s="40"/>
      <c r="Z33" s="89"/>
      <c r="AA33" s="202"/>
      <c r="AB33" s="149">
        <f t="shared" si="72"/>
        <v>0</v>
      </c>
      <c r="AC33" s="40"/>
      <c r="AD33" s="89"/>
      <c r="AE33" s="202"/>
      <c r="AF33" s="149">
        <f t="shared" si="64"/>
        <v>0</v>
      </c>
      <c r="AG33" s="40"/>
      <c r="AH33" s="89"/>
      <c r="AI33" s="202"/>
      <c r="AJ33" s="149">
        <f t="shared" si="65"/>
        <v>1</v>
      </c>
      <c r="AK33" s="40"/>
      <c r="AL33" s="89"/>
      <c r="AM33" s="193"/>
      <c r="AN33" s="149">
        <f t="shared" si="66"/>
        <v>0</v>
      </c>
      <c r="AO33" s="40"/>
      <c r="AP33" s="89"/>
      <c r="AQ33" s="202"/>
      <c r="AR33" s="149">
        <f t="shared" si="67"/>
        <v>0</v>
      </c>
      <c r="AS33" s="40"/>
      <c r="AT33" s="89"/>
      <c r="AU33" s="193"/>
      <c r="AV33" s="149">
        <f t="shared" si="68"/>
        <v>0</v>
      </c>
      <c r="AW33" s="40"/>
      <c r="AX33" s="89"/>
      <c r="AY33" s="202"/>
      <c r="AZ33" s="149">
        <f t="shared" si="69"/>
        <v>0</v>
      </c>
      <c r="BA33" s="40"/>
      <c r="BB33" s="89"/>
      <c r="BC33" s="202"/>
      <c r="BD33" s="149">
        <f t="shared" si="70"/>
        <v>0</v>
      </c>
      <c r="BE33" s="40"/>
      <c r="BF33" s="89"/>
      <c r="BG33" s="202"/>
      <c r="BH33" s="40"/>
      <c r="BI33" s="89"/>
      <c r="BJ33" s="202"/>
      <c r="BK33" s="149">
        <f t="shared" si="71"/>
        <v>0</v>
      </c>
      <c r="BL33" s="40"/>
      <c r="BM33" s="89"/>
      <c r="BN33" s="202"/>
      <c r="BO33" s="149">
        <v>0</v>
      </c>
      <c r="BP33" s="40"/>
      <c r="BQ33" s="89"/>
      <c r="BR33" s="202"/>
      <c r="BS33" s="149">
        <v>0</v>
      </c>
      <c r="BT33" s="40"/>
      <c r="BU33" s="89"/>
      <c r="BV33" s="202"/>
      <c r="BW33" s="149">
        <v>0</v>
      </c>
      <c r="BX33" s="40"/>
      <c r="BY33" s="89"/>
      <c r="BZ33" s="193"/>
      <c r="CA33" s="149">
        <v>0</v>
      </c>
      <c r="CB33" s="40"/>
      <c r="CC33" s="89"/>
      <c r="CD33" s="193"/>
      <c r="CG33" s="287" t="e">
        <f t="shared" si="63"/>
        <v>#REF!</v>
      </c>
    </row>
    <row r="34" spans="1:85" ht="24" outlineLevel="1">
      <c r="A34" s="6">
        <v>1466</v>
      </c>
      <c r="B34" s="168"/>
      <c r="C34" s="169"/>
      <c r="D34" s="11" t="s">
        <v>402</v>
      </c>
      <c r="E34" s="170">
        <v>0</v>
      </c>
      <c r="F34" s="145" t="str">
        <f>IF(OR(D34="4",E34="4"),INDEX([14]NamesElementary!$B$1:$B$65536,MATCH(A34,[14]NamesElementary!$A$1:$A$65536,0),1),INDEX([14]Names!$J$1:$J$65602,MATCH(A34,[14]Names!$F$1:$F$65602,0),1))</f>
        <v>electricity, PV, at 3kWp slanted-roof, single-Si, panel, mounted</v>
      </c>
      <c r="G34" s="16" t="str">
        <f>IF(OR(D34="4",E34="4"),"-",INDEX([14]Names!$K$1:$K$65602,MATCH(A34,[14]Names!$F$1:$F$65602,0),1))</f>
        <v>CH</v>
      </c>
      <c r="H34" s="14" t="str">
        <f>IF(OR(D34="4",E34="4"),INDEX([14]NamesElementary!$D$1:$D$65536,MATCH($A34,[14]NamesElementary!$A$1:$A$65536,0),1),"-")</f>
        <v>-</v>
      </c>
      <c r="I34" s="14" t="str">
        <f>IF(OR(D34="4",E34="4"),INDEX([14]NamesElementary!$E$1:$E$65536,MATCH($A34,[14]NamesElementary!$A$1:$A$65536,0),1),"-")</f>
        <v>-</v>
      </c>
      <c r="J34" s="15">
        <f>IF(OR(D34="4",E34="4"),"-",INDEX([14]Names!$N$1:$N$65602,MATCH(A34,[14]Names!$F$1:$F$65602,0),1))</f>
        <v>0</v>
      </c>
      <c r="K34" s="16" t="str">
        <f>IF(OR(D34="4",E34="4"),INDEX([14]NamesElementary!$G$1:$G$65536,MATCH(A34,[14]NamesElementary!$A$1:$A$65536,0),1),INDEX([14]Names!$O$1:$O$65602,MATCH(A34,[14]Names!$F$1:$F$65602,0),1))</f>
        <v>kWh</v>
      </c>
      <c r="L34" s="149">
        <v>0</v>
      </c>
      <c r="M34" s="40"/>
      <c r="N34" s="89"/>
      <c r="O34" s="202"/>
      <c r="P34" s="149">
        <f t="shared" si="62"/>
        <v>0</v>
      </c>
      <c r="Q34" s="40"/>
      <c r="R34" s="89"/>
      <c r="S34" s="202"/>
      <c r="T34" s="149">
        <v>0</v>
      </c>
      <c r="U34" s="40"/>
      <c r="V34" s="89"/>
      <c r="W34" s="202"/>
      <c r="X34" s="149">
        <v>0</v>
      </c>
      <c r="Y34" s="40"/>
      <c r="Z34" s="89"/>
      <c r="AA34" s="202"/>
      <c r="AB34" s="149">
        <f t="shared" si="72"/>
        <v>0</v>
      </c>
      <c r="AC34" s="40"/>
      <c r="AD34" s="89"/>
      <c r="AE34" s="202"/>
      <c r="AF34" s="149">
        <f t="shared" si="64"/>
        <v>0</v>
      </c>
      <c r="AG34" s="40"/>
      <c r="AH34" s="89"/>
      <c r="AI34" s="202"/>
      <c r="AJ34" s="149">
        <f t="shared" si="65"/>
        <v>0</v>
      </c>
      <c r="AK34" s="40"/>
      <c r="AL34" s="89"/>
      <c r="AM34" s="193"/>
      <c r="AN34" s="149">
        <f t="shared" si="66"/>
        <v>1</v>
      </c>
      <c r="AO34" s="40"/>
      <c r="AP34" s="89"/>
      <c r="AQ34" s="202"/>
      <c r="AR34" s="149">
        <f t="shared" si="67"/>
        <v>0</v>
      </c>
      <c r="AS34" s="40"/>
      <c r="AT34" s="89"/>
      <c r="AU34" s="193"/>
      <c r="AV34" s="149">
        <f t="shared" si="68"/>
        <v>0</v>
      </c>
      <c r="AW34" s="40"/>
      <c r="AX34" s="89"/>
      <c r="AY34" s="202"/>
      <c r="AZ34" s="149">
        <f t="shared" si="69"/>
        <v>0</v>
      </c>
      <c r="BA34" s="40"/>
      <c r="BB34" s="89"/>
      <c r="BC34" s="202"/>
      <c r="BD34" s="149">
        <f t="shared" si="70"/>
        <v>0</v>
      </c>
      <c r="BE34" s="40"/>
      <c r="BF34" s="89"/>
      <c r="BG34" s="202"/>
      <c r="BH34" s="40"/>
      <c r="BI34" s="89"/>
      <c r="BJ34" s="202"/>
      <c r="BK34" s="149">
        <f t="shared" si="71"/>
        <v>0</v>
      </c>
      <c r="BL34" s="40"/>
      <c r="BM34" s="89"/>
      <c r="BN34" s="202"/>
      <c r="BO34" s="149">
        <v>0</v>
      </c>
      <c r="BP34" s="40"/>
      <c r="BQ34" s="89"/>
      <c r="BR34" s="202"/>
      <c r="BS34" s="149">
        <v>0</v>
      </c>
      <c r="BT34" s="40"/>
      <c r="BU34" s="89"/>
      <c r="BV34" s="202"/>
      <c r="BW34" s="149">
        <v>0</v>
      </c>
      <c r="BX34" s="40"/>
      <c r="BY34" s="89"/>
      <c r="BZ34" s="193"/>
      <c r="CA34" s="149">
        <v>0</v>
      </c>
      <c r="CB34" s="40"/>
      <c r="CC34" s="89"/>
      <c r="CD34" s="193"/>
      <c r="CG34" s="287" t="e">
        <f t="shared" si="63"/>
        <v>#REF!</v>
      </c>
    </row>
    <row r="35" spans="1:85" ht="24" outlineLevel="1">
      <c r="A35" s="6">
        <v>1467</v>
      </c>
      <c r="B35" s="168"/>
      <c r="C35" s="169"/>
      <c r="D35" s="11" t="s">
        <v>402</v>
      </c>
      <c r="E35" s="170">
        <v>0</v>
      </c>
      <c r="F35" s="145" t="str">
        <f>IF(OR(D35="4",E35="4"),INDEX([14]NamesElementary!$B$1:$B$65536,MATCH(A35,[14]NamesElementary!$A$1:$A$65536,0),1),INDEX([14]Names!$J$1:$J$65602,MATCH(A35,[14]Names!$F$1:$F$65602,0),1))</f>
        <v>electricity, PV, at 3kWp slanted-roof, multi-Si, laminated, integrated</v>
      </c>
      <c r="G35" s="16" t="str">
        <f>IF(OR(D35="4",E35="4"),"-",INDEX([14]Names!$K$1:$K$65602,MATCH(A35,[14]Names!$F$1:$F$65602,0),1))</f>
        <v>CH</v>
      </c>
      <c r="H35" s="14" t="str">
        <f>IF(OR(D35="4",E35="4"),INDEX([14]NamesElementary!$D$1:$D$65536,MATCH($A35,[14]NamesElementary!$A$1:$A$65536,0),1),"-")</f>
        <v>-</v>
      </c>
      <c r="I35" s="14" t="str">
        <f>IF(OR(D35="4",E35="4"),INDEX([14]NamesElementary!$E$1:$E$65536,MATCH($A35,[14]NamesElementary!$A$1:$A$65536,0),1),"-")</f>
        <v>-</v>
      </c>
      <c r="J35" s="15">
        <f>IF(OR(D35="4",E35="4"),"-",INDEX([14]Names!$N$1:$N$65602,MATCH(A35,[14]Names!$F$1:$F$65602,0),1))</f>
        <v>0</v>
      </c>
      <c r="K35" s="16" t="str">
        <f>IF(OR(D35="4",E35="4"),INDEX([14]NamesElementary!$G$1:$G$65536,MATCH(A35,[14]NamesElementary!$A$1:$A$65536,0),1),INDEX([14]Names!$O$1:$O$65602,MATCH(A35,[14]Names!$F$1:$F$65602,0),1))</f>
        <v>kWh</v>
      </c>
      <c r="L35" s="149">
        <v>0</v>
      </c>
      <c r="M35" s="40"/>
      <c r="N35" s="89"/>
      <c r="O35" s="202"/>
      <c r="P35" s="149">
        <f t="shared" si="62"/>
        <v>0</v>
      </c>
      <c r="Q35" s="40"/>
      <c r="R35" s="89"/>
      <c r="S35" s="202"/>
      <c r="T35" s="149">
        <v>0</v>
      </c>
      <c r="U35" s="40"/>
      <c r="V35" s="89"/>
      <c r="W35" s="202"/>
      <c r="X35" s="149">
        <v>0</v>
      </c>
      <c r="Y35" s="40"/>
      <c r="Z35" s="89"/>
      <c r="AA35" s="202"/>
      <c r="AB35" s="149">
        <f t="shared" si="72"/>
        <v>0</v>
      </c>
      <c r="AC35" s="40"/>
      <c r="AD35" s="89"/>
      <c r="AE35" s="202"/>
      <c r="AF35" s="149">
        <f t="shared" si="64"/>
        <v>0</v>
      </c>
      <c r="AG35" s="40"/>
      <c r="AH35" s="89"/>
      <c r="AI35" s="202"/>
      <c r="AJ35" s="149">
        <f t="shared" si="65"/>
        <v>0</v>
      </c>
      <c r="AK35" s="40"/>
      <c r="AL35" s="89"/>
      <c r="AM35" s="193"/>
      <c r="AN35" s="149">
        <f t="shared" si="66"/>
        <v>0</v>
      </c>
      <c r="AO35" s="40"/>
      <c r="AP35" s="89"/>
      <c r="AQ35" s="202"/>
      <c r="AR35" s="149">
        <f t="shared" si="67"/>
        <v>1</v>
      </c>
      <c r="AS35" s="40"/>
      <c r="AT35" s="89"/>
      <c r="AU35" s="193"/>
      <c r="AV35" s="149">
        <f t="shared" si="68"/>
        <v>0</v>
      </c>
      <c r="AW35" s="40"/>
      <c r="AX35" s="89"/>
      <c r="AY35" s="202"/>
      <c r="AZ35" s="149">
        <f t="shared" si="69"/>
        <v>0</v>
      </c>
      <c r="BA35" s="40"/>
      <c r="BB35" s="89"/>
      <c r="BC35" s="202"/>
      <c r="BD35" s="149">
        <f t="shared" si="70"/>
        <v>0</v>
      </c>
      <c r="BE35" s="40"/>
      <c r="BF35" s="89"/>
      <c r="BG35" s="202"/>
      <c r="BH35" s="40"/>
      <c r="BI35" s="89"/>
      <c r="BJ35" s="202"/>
      <c r="BK35" s="149">
        <f t="shared" si="71"/>
        <v>0</v>
      </c>
      <c r="BL35" s="40"/>
      <c r="BM35" s="89"/>
      <c r="BN35" s="202"/>
      <c r="BO35" s="149">
        <v>0</v>
      </c>
      <c r="BP35" s="40"/>
      <c r="BQ35" s="89"/>
      <c r="BR35" s="202"/>
      <c r="BS35" s="149">
        <v>0</v>
      </c>
      <c r="BT35" s="40"/>
      <c r="BU35" s="89"/>
      <c r="BV35" s="202"/>
      <c r="BW35" s="149">
        <v>0</v>
      </c>
      <c r="BX35" s="40"/>
      <c r="BY35" s="89"/>
      <c r="BZ35" s="193"/>
      <c r="CA35" s="149">
        <v>0</v>
      </c>
      <c r="CB35" s="40"/>
      <c r="CC35" s="89"/>
      <c r="CD35" s="193"/>
      <c r="CG35" s="287" t="e">
        <f t="shared" si="63"/>
        <v>#REF!</v>
      </c>
    </row>
    <row r="36" spans="1:85" ht="24" outlineLevel="1">
      <c r="A36" s="6">
        <v>1468</v>
      </c>
      <c r="B36" s="168"/>
      <c r="C36" s="169"/>
      <c r="D36" s="11" t="s">
        <v>402</v>
      </c>
      <c r="E36" s="170">
        <v>0</v>
      </c>
      <c r="F36" s="145" t="str">
        <f>IF(OR(D36="4",E36="4"),INDEX([14]NamesElementary!$B$1:$B$65536,MATCH(A36,[14]NamesElementary!$A$1:$A$65536,0),1),INDEX([14]Names!$J$1:$J$65602,MATCH(A36,[14]Names!$F$1:$F$65602,0),1))</f>
        <v>electricity, PV, at 3kWp slanted-roof, multi-Si, panel, mounted</v>
      </c>
      <c r="G36" s="16" t="str">
        <f>IF(OR(D36="4",E36="4"),"-",INDEX([14]Names!$K$1:$K$65602,MATCH(A36,[14]Names!$F$1:$F$65602,0),1))</f>
        <v>CH</v>
      </c>
      <c r="H36" s="14" t="str">
        <f>IF(OR(D36="4",E36="4"),INDEX([14]NamesElementary!$D$1:$D$65536,MATCH($A36,[14]NamesElementary!$A$1:$A$65536,0),1),"-")</f>
        <v>-</v>
      </c>
      <c r="I36" s="14" t="str">
        <f>IF(OR(D36="4",E36="4"),INDEX([14]NamesElementary!$E$1:$E$65536,MATCH($A36,[14]NamesElementary!$A$1:$A$65536,0),1),"-")</f>
        <v>-</v>
      </c>
      <c r="J36" s="15">
        <f>IF(OR(D36="4",E36="4"),"-",INDEX([14]Names!$N$1:$N$65602,MATCH(A36,[14]Names!$F$1:$F$65602,0),1))</f>
        <v>0</v>
      </c>
      <c r="K36" s="16" t="str">
        <f>IF(OR(D36="4",E36="4"),INDEX([14]NamesElementary!$G$1:$G$65536,MATCH(A36,[14]NamesElementary!$A$1:$A$65536,0),1),INDEX([14]Names!$O$1:$O$65602,MATCH(A36,[14]Names!$F$1:$F$65602,0),1))</f>
        <v>kWh</v>
      </c>
      <c r="L36" s="149">
        <v>0</v>
      </c>
      <c r="M36" s="40"/>
      <c r="N36" s="89"/>
      <c r="O36" s="202"/>
      <c r="P36" s="149">
        <f t="shared" si="62"/>
        <v>0</v>
      </c>
      <c r="Q36" s="40"/>
      <c r="R36" s="89"/>
      <c r="S36" s="202"/>
      <c r="T36" s="149">
        <v>0</v>
      </c>
      <c r="U36" s="40"/>
      <c r="V36" s="89"/>
      <c r="W36" s="202"/>
      <c r="X36" s="149">
        <v>0</v>
      </c>
      <c r="Y36" s="40"/>
      <c r="Z36" s="89"/>
      <c r="AA36" s="202"/>
      <c r="AB36" s="149">
        <f t="shared" si="72"/>
        <v>0</v>
      </c>
      <c r="AC36" s="40"/>
      <c r="AD36" s="89"/>
      <c r="AE36" s="202"/>
      <c r="AF36" s="149">
        <f t="shared" si="64"/>
        <v>0</v>
      </c>
      <c r="AG36" s="40"/>
      <c r="AH36" s="89"/>
      <c r="AI36" s="202"/>
      <c r="AJ36" s="149">
        <f t="shared" si="65"/>
        <v>0</v>
      </c>
      <c r="AK36" s="40"/>
      <c r="AL36" s="89"/>
      <c r="AM36" s="193"/>
      <c r="AN36" s="149">
        <f t="shared" si="66"/>
        <v>0</v>
      </c>
      <c r="AO36" s="40"/>
      <c r="AP36" s="89"/>
      <c r="AQ36" s="202"/>
      <c r="AR36" s="149">
        <f t="shared" si="67"/>
        <v>0</v>
      </c>
      <c r="AS36" s="40"/>
      <c r="AT36" s="89"/>
      <c r="AU36" s="193"/>
      <c r="AV36" s="149">
        <f t="shared" si="68"/>
        <v>1</v>
      </c>
      <c r="AW36" s="40"/>
      <c r="AX36" s="89"/>
      <c r="AY36" s="202"/>
      <c r="AZ36" s="149">
        <f t="shared" si="69"/>
        <v>0</v>
      </c>
      <c r="BA36" s="40"/>
      <c r="BB36" s="89"/>
      <c r="BC36" s="202"/>
      <c r="BD36" s="149">
        <f t="shared" si="70"/>
        <v>0</v>
      </c>
      <c r="BE36" s="40"/>
      <c r="BF36" s="89"/>
      <c r="BG36" s="202"/>
      <c r="BH36" s="40"/>
      <c r="BI36" s="89"/>
      <c r="BJ36" s="202"/>
      <c r="BK36" s="149">
        <f t="shared" si="71"/>
        <v>0</v>
      </c>
      <c r="BL36" s="40"/>
      <c r="BM36" s="89"/>
      <c r="BN36" s="202"/>
      <c r="BO36" s="149">
        <v>0</v>
      </c>
      <c r="BP36" s="40"/>
      <c r="BQ36" s="89"/>
      <c r="BR36" s="202"/>
      <c r="BS36" s="149">
        <v>0</v>
      </c>
      <c r="BT36" s="40"/>
      <c r="BU36" s="89"/>
      <c r="BV36" s="202"/>
      <c r="BW36" s="149">
        <v>0</v>
      </c>
      <c r="BX36" s="40"/>
      <c r="BY36" s="89"/>
      <c r="BZ36" s="193"/>
      <c r="CA36" s="149">
        <v>0</v>
      </c>
      <c r="CB36" s="40"/>
      <c r="CC36" s="89"/>
      <c r="CD36" s="193"/>
      <c r="CG36" s="287" t="e">
        <f t="shared" si="63"/>
        <v>#REF!</v>
      </c>
    </row>
    <row r="37" spans="1:85" ht="24" outlineLevel="1">
      <c r="A37" s="6">
        <f>AZ1</f>
        <v>32067</v>
      </c>
      <c r="B37" s="168"/>
      <c r="C37" s="169"/>
      <c r="D37" s="11" t="s">
        <v>402</v>
      </c>
      <c r="E37" s="170">
        <v>0</v>
      </c>
      <c r="F37" s="145" t="str">
        <f>IF(OR(D37="4",E37="4"),INDEX([14]NamesElementary!$B$1:$B$65536,MATCH(A37,[14]NamesElementary!$A$1:$A$65536,0),1),INDEX([14]Names!$J$1:$J$65602,MATCH(A37,[14]Names!$F$1:$F$65602,0),1))</f>
        <v>electricity, PV, at 3kWp slanted-roof, ribbon-Si, panel, mounted</v>
      </c>
      <c r="G37" s="16" t="str">
        <f>IF(OR(D37="4",E37="4"),"-",INDEX([14]Names!$K$1:$K$65602,MATCH(A37,[14]Names!$F$1:$F$65602,0),1))</f>
        <v>CH</v>
      </c>
      <c r="H37" s="14" t="str">
        <f>IF(OR(D37="4",E37="4"),INDEX([14]NamesElementary!$D$1:$D$65536,MATCH($A37,[14]NamesElementary!$A$1:$A$65536,0),1),"-")</f>
        <v>-</v>
      </c>
      <c r="I37" s="14" t="str">
        <f>IF(OR(D37="4",E37="4"),INDEX([14]NamesElementary!$E$1:$E$65536,MATCH($A37,[14]NamesElementary!$A$1:$A$65536,0),1),"-")</f>
        <v>-</v>
      </c>
      <c r="J37" s="15">
        <f>IF(OR(D37="4",E37="4"),"-",INDEX([14]Names!$N$1:$N$65602,MATCH(A37,[14]Names!$F$1:$F$65602,0),1))</f>
        <v>0</v>
      </c>
      <c r="K37" s="16" t="str">
        <f>IF(OR(D37="4",E37="4"),INDEX([14]NamesElementary!$G$1:$G$65536,MATCH(A37,[14]NamesElementary!$A$1:$A$65536,0),1),INDEX([14]Names!$O$1:$O$65602,MATCH(A37,[14]Names!$F$1:$F$65602,0),1))</f>
        <v>kWh</v>
      </c>
      <c r="L37" s="149">
        <v>0</v>
      </c>
      <c r="M37" s="40"/>
      <c r="N37" s="89"/>
      <c r="O37" s="202"/>
      <c r="P37" s="149">
        <f t="shared" si="62"/>
        <v>0</v>
      </c>
      <c r="Q37" s="40"/>
      <c r="R37" s="89"/>
      <c r="S37" s="202"/>
      <c r="T37" s="149">
        <v>0</v>
      </c>
      <c r="U37" s="40"/>
      <c r="V37" s="89"/>
      <c r="W37" s="202"/>
      <c r="X37" s="149">
        <v>0</v>
      </c>
      <c r="Y37" s="40"/>
      <c r="Z37" s="89"/>
      <c r="AA37" s="202"/>
      <c r="AB37" s="149">
        <f t="shared" si="72"/>
        <v>0</v>
      </c>
      <c r="AC37" s="40"/>
      <c r="AD37" s="89"/>
      <c r="AE37" s="202"/>
      <c r="AF37" s="149">
        <f t="shared" si="64"/>
        <v>0</v>
      </c>
      <c r="AG37" s="40"/>
      <c r="AH37" s="89"/>
      <c r="AI37" s="202"/>
      <c r="AJ37" s="149">
        <f t="shared" si="65"/>
        <v>0</v>
      </c>
      <c r="AK37" s="40"/>
      <c r="AL37" s="89"/>
      <c r="AM37" s="193"/>
      <c r="AN37" s="149">
        <f t="shared" si="66"/>
        <v>0</v>
      </c>
      <c r="AO37" s="40"/>
      <c r="AP37" s="89"/>
      <c r="AQ37" s="202"/>
      <c r="AR37" s="149">
        <f t="shared" si="67"/>
        <v>0</v>
      </c>
      <c r="AS37" s="40"/>
      <c r="AT37" s="89"/>
      <c r="AU37" s="193"/>
      <c r="AV37" s="149">
        <f t="shared" si="68"/>
        <v>0</v>
      </c>
      <c r="AW37" s="40"/>
      <c r="AX37" s="89"/>
      <c r="AY37" s="202"/>
      <c r="AZ37" s="149">
        <v>1</v>
      </c>
      <c r="BA37" s="40"/>
      <c r="BB37" s="89"/>
      <c r="BC37" s="202"/>
      <c r="BD37" s="149">
        <f t="shared" si="70"/>
        <v>0</v>
      </c>
      <c r="BE37" s="40"/>
      <c r="BF37" s="89"/>
      <c r="BG37" s="202"/>
      <c r="BH37" s="40"/>
      <c r="BI37" s="89"/>
      <c r="BJ37" s="202"/>
      <c r="BK37" s="149">
        <v>0</v>
      </c>
      <c r="BL37" s="40"/>
      <c r="BM37" s="89"/>
      <c r="BN37" s="202"/>
      <c r="BO37" s="149">
        <v>0</v>
      </c>
      <c r="BP37" s="40"/>
      <c r="BQ37" s="89"/>
      <c r="BR37" s="202"/>
      <c r="BS37" s="149">
        <v>0</v>
      </c>
      <c r="BT37" s="40"/>
      <c r="BU37" s="89"/>
      <c r="BV37" s="202"/>
      <c r="BW37" s="149">
        <v>0</v>
      </c>
      <c r="BX37" s="40"/>
      <c r="BY37" s="89"/>
      <c r="BZ37" s="193"/>
      <c r="CA37" s="149">
        <v>0</v>
      </c>
      <c r="CB37" s="40"/>
      <c r="CC37" s="89"/>
      <c r="CD37" s="193"/>
      <c r="CG37" s="287" t="e">
        <f t="shared" si="63"/>
        <v>#REF!</v>
      </c>
    </row>
    <row r="38" spans="1:85" ht="24" outlineLevel="1">
      <c r="A38" s="6">
        <f>BD1</f>
        <v>32125</v>
      </c>
      <c r="B38" s="168"/>
      <c r="C38" s="169"/>
      <c r="D38" s="11" t="s">
        <v>402</v>
      </c>
      <c r="E38" s="170">
        <v>0</v>
      </c>
      <c r="F38" s="145" t="str">
        <f>IF(OR(D38="4",E38="4"),INDEX([14]NamesElementary!$B$1:$B$65536,MATCH(A38,[14]NamesElementary!$A$1:$A$65536,0),1),INDEX([14]Names!$J$1:$J$65602,MATCH(A38,[14]Names!$F$1:$F$65602,0),1))</f>
        <v>electricity, PV, at 3kWp slanted-roof, ribbon-Si, lam., integrated</v>
      </c>
      <c r="G38" s="16" t="str">
        <f>IF(OR(D38="4",E38="4"),"-",INDEX([14]Names!$K$1:$K$65602,MATCH(A38,[14]Names!$F$1:$F$65602,0),1))</f>
        <v>CH</v>
      </c>
      <c r="H38" s="14" t="str">
        <f>IF(OR(D38="4",E38="4"),INDEX([14]NamesElementary!$D$1:$D$65536,MATCH($A38,[14]NamesElementary!$A$1:$A$65536,0),1),"-")</f>
        <v>-</v>
      </c>
      <c r="I38" s="14" t="str">
        <f>IF(OR(D38="4",E38="4"),INDEX([14]NamesElementary!$E$1:$E$65536,MATCH($A38,[14]NamesElementary!$A$1:$A$65536,0),1),"-")</f>
        <v>-</v>
      </c>
      <c r="J38" s="15">
        <f>IF(OR(D38="4",E38="4"),"-",INDEX([14]Names!$N$1:$N$65602,MATCH(A38,[14]Names!$F$1:$F$65602,0),1))</f>
        <v>0</v>
      </c>
      <c r="K38" s="16" t="str">
        <f>IF(OR(D38="4",E38="4"),INDEX([14]NamesElementary!$G$1:$G$65536,MATCH(A38,[14]NamesElementary!$A$1:$A$65536,0),1),INDEX([14]Names!$O$1:$O$65602,MATCH(A38,[14]Names!$F$1:$F$65602,0),1))</f>
        <v>kWh</v>
      </c>
      <c r="L38" s="149">
        <v>0</v>
      </c>
      <c r="M38" s="40"/>
      <c r="N38" s="89"/>
      <c r="O38" s="202"/>
      <c r="P38" s="149">
        <f t="shared" si="62"/>
        <v>0</v>
      </c>
      <c r="Q38" s="40"/>
      <c r="R38" s="89"/>
      <c r="S38" s="202"/>
      <c r="T38" s="149">
        <v>0</v>
      </c>
      <c r="U38" s="40"/>
      <c r="V38" s="89"/>
      <c r="W38" s="202"/>
      <c r="X38" s="149">
        <v>0</v>
      </c>
      <c r="Y38" s="40"/>
      <c r="Z38" s="89"/>
      <c r="AA38" s="202"/>
      <c r="AB38" s="149">
        <f t="shared" si="72"/>
        <v>0</v>
      </c>
      <c r="AC38" s="40"/>
      <c r="AD38" s="89"/>
      <c r="AE38" s="202"/>
      <c r="AF38" s="149">
        <f t="shared" si="64"/>
        <v>0</v>
      </c>
      <c r="AG38" s="40"/>
      <c r="AH38" s="89"/>
      <c r="AI38" s="202"/>
      <c r="AJ38" s="149">
        <f t="shared" si="65"/>
        <v>0</v>
      </c>
      <c r="AK38" s="40"/>
      <c r="AL38" s="89"/>
      <c r="AM38" s="193"/>
      <c r="AN38" s="149">
        <f t="shared" si="66"/>
        <v>0</v>
      </c>
      <c r="AO38" s="40"/>
      <c r="AP38" s="89"/>
      <c r="AQ38" s="202"/>
      <c r="AR38" s="149">
        <f t="shared" si="67"/>
        <v>0</v>
      </c>
      <c r="AS38" s="40"/>
      <c r="AT38" s="89"/>
      <c r="AU38" s="193"/>
      <c r="AV38" s="149">
        <f t="shared" si="68"/>
        <v>0</v>
      </c>
      <c r="AW38" s="40"/>
      <c r="AX38" s="89"/>
      <c r="AY38" s="202"/>
      <c r="AZ38" s="149">
        <f t="shared" si="69"/>
        <v>0</v>
      </c>
      <c r="BA38" s="40"/>
      <c r="BB38" s="89"/>
      <c r="BC38" s="202"/>
      <c r="BD38" s="149">
        <f t="shared" si="70"/>
        <v>1</v>
      </c>
      <c r="BE38" s="40"/>
      <c r="BF38" s="89"/>
      <c r="BG38" s="202"/>
      <c r="BH38" s="40"/>
      <c r="BI38" s="89"/>
      <c r="BJ38" s="202"/>
      <c r="BK38" s="149">
        <v>0</v>
      </c>
      <c r="BL38" s="40"/>
      <c r="BM38" s="89"/>
      <c r="BN38" s="202"/>
      <c r="BO38" s="149">
        <v>0</v>
      </c>
      <c r="BP38" s="40"/>
      <c r="BQ38" s="89"/>
      <c r="BR38" s="202"/>
      <c r="BS38" s="149">
        <v>0</v>
      </c>
      <c r="BT38" s="40"/>
      <c r="BU38" s="89"/>
      <c r="BV38" s="202"/>
      <c r="BW38" s="149">
        <v>0</v>
      </c>
      <c r="BX38" s="40"/>
      <c r="BY38" s="89"/>
      <c r="BZ38" s="193"/>
      <c r="CA38" s="149">
        <v>0</v>
      </c>
      <c r="CB38" s="40"/>
      <c r="CC38" s="89"/>
      <c r="CD38" s="193"/>
      <c r="CG38" s="287" t="e">
        <f t="shared" si="63"/>
        <v>#REF!</v>
      </c>
    </row>
    <row r="39" spans="1:85" ht="24" outlineLevel="1">
      <c r="A39" s="417">
        <v>32077</v>
      </c>
      <c r="B39" s="168"/>
      <c r="C39" s="169"/>
      <c r="D39" s="11" t="s">
        <v>402</v>
      </c>
      <c r="E39" s="170">
        <v>0</v>
      </c>
      <c r="F39" s="145" t="str">
        <f>IF(OR(D39="4",E39="4"),INDEX([14]NamesElementary!$B$1:$B$65536,MATCH(A39,[14]NamesElementary!$A$1:$A$65536,0),1),INDEX([14]Names!$J$1:$J$65602,MATCH(A39,[14]Names!$F$1:$F$65602,0),1))</f>
        <v>electricity, PV, at 3kWp slanted-roof, CdTe, laminated, integrated</v>
      </c>
      <c r="G39" s="16" t="str">
        <f>IF(OR(D39="4",E39="4"),"-",INDEX([14]Names!$K$1:$K$65602,MATCH(A39,[14]Names!$F$1:$F$65602,0),1))</f>
        <v>CH</v>
      </c>
      <c r="H39" s="14" t="str">
        <f>IF(OR(D39="4",E39="4"),INDEX([14]NamesElementary!$D$1:$D$65536,MATCH($A39,[14]NamesElementary!$A$1:$A$65536,0),1),"-")</f>
        <v>-</v>
      </c>
      <c r="I39" s="14" t="str">
        <f>IF(OR(D39="4",E39="4"),INDEX([14]NamesElementary!$E$1:$E$65536,MATCH($A39,[14]NamesElementary!$A$1:$A$65536,0),1),"-")</f>
        <v>-</v>
      </c>
      <c r="J39" s="15">
        <f>IF(OR(D39="4",E39="4"),"-",INDEX([14]Names!$N$1:$N$65602,MATCH(A39,[14]Names!$F$1:$F$65602,0),1))</f>
        <v>0</v>
      </c>
      <c r="K39" s="16" t="str">
        <f>IF(OR(D39="4",E39="4"),INDEX([14]NamesElementary!$G$1:$G$65536,MATCH(A39,[14]NamesElementary!$A$1:$A$65536,0),1),INDEX([14]Names!$O$1:$O$65602,MATCH(A39,[14]Names!$F$1:$F$65602,0),1))</f>
        <v>kWh</v>
      </c>
      <c r="L39" s="149">
        <v>0</v>
      </c>
      <c r="M39" s="40"/>
      <c r="N39" s="89"/>
      <c r="O39" s="202"/>
      <c r="P39" s="149">
        <f t="shared" si="62"/>
        <v>0</v>
      </c>
      <c r="Q39" s="40"/>
      <c r="R39" s="89"/>
      <c r="S39" s="202"/>
      <c r="T39" s="149">
        <v>0</v>
      </c>
      <c r="U39" s="40"/>
      <c r="V39" s="89"/>
      <c r="W39" s="202"/>
      <c r="X39" s="149">
        <v>0</v>
      </c>
      <c r="Y39" s="40"/>
      <c r="Z39" s="89"/>
      <c r="AA39" s="202"/>
      <c r="AB39" s="149">
        <f>X38</f>
        <v>0</v>
      </c>
      <c r="AC39" s="40"/>
      <c r="AD39" s="89"/>
      <c r="AE39" s="202"/>
      <c r="AF39" s="149">
        <f t="shared" si="64"/>
        <v>0</v>
      </c>
      <c r="AG39" s="40"/>
      <c r="AH39" s="89"/>
      <c r="AI39" s="202"/>
      <c r="AJ39" s="149">
        <f t="shared" si="65"/>
        <v>0</v>
      </c>
      <c r="AK39" s="40"/>
      <c r="AL39" s="89"/>
      <c r="AM39" s="193"/>
      <c r="AN39" s="149">
        <f t="shared" si="66"/>
        <v>0</v>
      </c>
      <c r="AO39" s="40"/>
      <c r="AP39" s="89"/>
      <c r="AQ39" s="202"/>
      <c r="AR39" s="149">
        <f t="shared" si="67"/>
        <v>0</v>
      </c>
      <c r="AS39" s="40"/>
      <c r="AT39" s="89"/>
      <c r="AU39" s="193"/>
      <c r="AV39" s="149">
        <f t="shared" si="68"/>
        <v>0</v>
      </c>
      <c r="AW39" s="40"/>
      <c r="AX39" s="89"/>
      <c r="AY39" s="202"/>
      <c r="AZ39" s="149">
        <f t="shared" si="69"/>
        <v>0</v>
      </c>
      <c r="BA39" s="40"/>
      <c r="BB39" s="89"/>
      <c r="BC39" s="202"/>
      <c r="BD39" s="149">
        <f t="shared" si="70"/>
        <v>0</v>
      </c>
      <c r="BE39" s="40"/>
      <c r="BF39" s="89"/>
      <c r="BG39" s="202"/>
      <c r="BH39" s="40"/>
      <c r="BI39" s="89"/>
      <c r="BJ39" s="202"/>
      <c r="BK39" s="149">
        <v>1</v>
      </c>
      <c r="BL39" s="40"/>
      <c r="BM39" s="89"/>
      <c r="BN39" s="202"/>
      <c r="BO39" s="149">
        <v>0</v>
      </c>
      <c r="BP39" s="40"/>
      <c r="BQ39" s="89"/>
      <c r="BR39" s="202"/>
      <c r="BS39" s="149">
        <v>0</v>
      </c>
      <c r="BT39" s="40"/>
      <c r="BU39" s="89"/>
      <c r="BV39" s="202"/>
      <c r="BW39" s="149">
        <v>0</v>
      </c>
      <c r="BX39" s="40"/>
      <c r="BY39" s="89"/>
      <c r="BZ39" s="193"/>
      <c r="CA39" s="149">
        <v>0</v>
      </c>
      <c r="CB39" s="40"/>
      <c r="CC39" s="89"/>
      <c r="CD39" s="193"/>
      <c r="CG39" s="287" t="e">
        <f t="shared" si="63"/>
        <v>#REF!</v>
      </c>
    </row>
    <row r="40" spans="1:85" ht="24" outlineLevel="1">
      <c r="A40" s="6">
        <f>BO1</f>
        <v>32081</v>
      </c>
      <c r="B40" s="168"/>
      <c r="C40" s="169"/>
      <c r="D40" s="11" t="s">
        <v>402</v>
      </c>
      <c r="E40" s="170">
        <v>0</v>
      </c>
      <c r="F40" s="145" t="str">
        <f>IF(OR(D40="4",E40="4"),INDEX([14]NamesElementary!$B$1:$B$65536,MATCH(A40,[14]NamesElementary!$A$1:$A$65536,0),1),INDEX([14]Names!$J$1:$J$65602,MATCH(A40,[14]Names!$F$1:$F$65602,0),1))</f>
        <v>electricity, PV, at 3kWp slanted-roof, CIS, panel, mounted</v>
      </c>
      <c r="G40" s="16" t="str">
        <f>IF(OR(D40="4",E40="4"),"-",INDEX([14]Names!$K$1:$K$65602,MATCH(A40,[14]Names!$F$1:$F$65602,0),1))</f>
        <v>CH</v>
      </c>
      <c r="H40" s="14" t="str">
        <f>IF(OR(D40="4",E40="4"),INDEX([14]NamesElementary!$D$1:$D$65536,MATCH($A40,[14]NamesElementary!$A$1:$A$65536,0),1),"-")</f>
        <v>-</v>
      </c>
      <c r="I40" s="14" t="str">
        <f>IF(OR(D40="4",E40="4"),INDEX([14]NamesElementary!$E$1:$E$65536,MATCH($A40,[14]NamesElementary!$A$1:$A$65536,0),1),"-")</f>
        <v>-</v>
      </c>
      <c r="J40" s="15">
        <f>IF(OR(D40="4",E40="4"),"-",INDEX([14]Names!$N$1:$N$65602,MATCH(A40,[14]Names!$F$1:$F$65602,0),1))</f>
        <v>0</v>
      </c>
      <c r="K40" s="16" t="str">
        <f>IF(OR(D40="4",E40="4"),INDEX([14]NamesElementary!$G$1:$G$65536,MATCH(A40,[14]NamesElementary!$A$1:$A$65536,0),1),INDEX([14]Names!$O$1:$O$65602,MATCH(A40,[14]Names!$F$1:$F$65602,0),1))</f>
        <v>kWh</v>
      </c>
      <c r="L40" s="149">
        <v>0</v>
      </c>
      <c r="M40" s="40"/>
      <c r="N40" s="89"/>
      <c r="O40" s="202"/>
      <c r="P40" s="149">
        <f>L39</f>
        <v>0</v>
      </c>
      <c r="Q40" s="40"/>
      <c r="R40" s="89"/>
      <c r="S40" s="202"/>
      <c r="T40" s="149">
        <v>0</v>
      </c>
      <c r="U40" s="40"/>
      <c r="V40" s="89"/>
      <c r="W40" s="202"/>
      <c r="X40" s="149">
        <v>0</v>
      </c>
      <c r="Y40" s="40"/>
      <c r="Z40" s="89"/>
      <c r="AA40" s="202"/>
      <c r="AB40" s="149">
        <f>X39</f>
        <v>0</v>
      </c>
      <c r="AC40" s="40"/>
      <c r="AD40" s="89"/>
      <c r="AE40" s="202"/>
      <c r="AF40" s="149">
        <f>AB39</f>
        <v>0</v>
      </c>
      <c r="AG40" s="40"/>
      <c r="AH40" s="89"/>
      <c r="AI40" s="202"/>
      <c r="AJ40" s="149">
        <f>AF39</f>
        <v>0</v>
      </c>
      <c r="AK40" s="40"/>
      <c r="AL40" s="89"/>
      <c r="AM40" s="193"/>
      <c r="AN40" s="149">
        <f>AJ39</f>
        <v>0</v>
      </c>
      <c r="AO40" s="40"/>
      <c r="AP40" s="89"/>
      <c r="AQ40" s="202"/>
      <c r="AR40" s="149">
        <f>AN39</f>
        <v>0</v>
      </c>
      <c r="AS40" s="40"/>
      <c r="AT40" s="89"/>
      <c r="AU40" s="193"/>
      <c r="AV40" s="149">
        <f>AR39</f>
        <v>0</v>
      </c>
      <c r="AW40" s="40"/>
      <c r="AX40" s="89"/>
      <c r="AY40" s="202"/>
      <c r="AZ40" s="149">
        <f>AV39</f>
        <v>0</v>
      </c>
      <c r="BA40" s="40"/>
      <c r="BB40" s="89"/>
      <c r="BC40" s="202"/>
      <c r="BD40" s="149">
        <f>AZ39</f>
        <v>0</v>
      </c>
      <c r="BE40" s="40"/>
      <c r="BF40" s="89"/>
      <c r="BG40" s="202"/>
      <c r="BH40" s="40"/>
      <c r="BI40" s="89"/>
      <c r="BJ40" s="202"/>
      <c r="BK40" s="149">
        <v>0</v>
      </c>
      <c r="BL40" s="40"/>
      <c r="BM40" s="89"/>
      <c r="BN40" s="202"/>
      <c r="BO40" s="149">
        <v>1</v>
      </c>
      <c r="BP40" s="40"/>
      <c r="BQ40" s="89"/>
      <c r="BR40" s="202"/>
      <c r="BS40" s="149">
        <v>0</v>
      </c>
      <c r="BT40" s="40"/>
      <c r="BU40" s="89"/>
      <c r="BV40" s="202"/>
      <c r="BW40" s="149">
        <v>0</v>
      </c>
      <c r="BX40" s="40"/>
      <c r="BY40" s="89"/>
      <c r="BZ40" s="193"/>
      <c r="CA40" s="149">
        <v>0</v>
      </c>
      <c r="CB40" s="40"/>
      <c r="CC40" s="89"/>
      <c r="CD40" s="193"/>
      <c r="CG40" s="287" t="e">
        <f t="shared" si="63"/>
        <v>#REF!</v>
      </c>
    </row>
    <row r="41" spans="1:85" ht="24" outlineLevel="1">
      <c r="A41" s="6">
        <f>BS1</f>
        <v>32133</v>
      </c>
      <c r="B41" s="168"/>
      <c r="C41" s="169"/>
      <c r="D41" s="11" t="s">
        <v>402</v>
      </c>
      <c r="E41" s="170">
        <v>0</v>
      </c>
      <c r="F41" s="145" t="str">
        <f>IF(OR(D41="4",E41="4"),INDEX([14]NamesElementary!$B$1:$B$65536,MATCH(A41,[14]NamesElementary!$A$1:$A$65536,0),1),INDEX([14]Names!$J$1:$J$65602,MATCH(A41,[14]Names!$F$1:$F$65602,0),1))</f>
        <v>electricity, PV, at 3kWp slanted-roof, a-Si, lam., integrated</v>
      </c>
      <c r="G41" s="16" t="str">
        <f>IF(OR(D41="4",E41="4"),"-",INDEX([14]Names!$K$1:$K$65602,MATCH(A41,[14]Names!$F$1:$F$65602,0),1))</f>
        <v>CH</v>
      </c>
      <c r="H41" s="14" t="str">
        <f>IF(OR(D41="4",E41="4"),INDEX([14]NamesElementary!$D$1:$D$65536,MATCH($A41,[14]NamesElementary!$A$1:$A$65536,0),1),"-")</f>
        <v>-</v>
      </c>
      <c r="I41" s="14" t="str">
        <f>IF(OR(D41="4",E41="4"),INDEX([14]NamesElementary!$E$1:$E$65536,MATCH($A41,[14]NamesElementary!$A$1:$A$65536,0),1),"-")</f>
        <v>-</v>
      </c>
      <c r="J41" s="15">
        <f>IF(OR(D41="4",E41="4"),"-",INDEX([14]Names!$N$1:$N$65602,MATCH(A41,[14]Names!$F$1:$F$65602,0),1))</f>
        <v>0</v>
      </c>
      <c r="K41" s="16" t="str">
        <f>IF(OR(D41="4",E41="4"),INDEX([14]NamesElementary!$G$1:$G$65536,MATCH(A41,[14]NamesElementary!$A$1:$A$65536,0),1),INDEX([14]Names!$O$1:$O$65602,MATCH(A41,[14]Names!$F$1:$F$65602,0),1))</f>
        <v>kWh</v>
      </c>
      <c r="L41" s="149">
        <v>0</v>
      </c>
      <c r="M41" s="40"/>
      <c r="N41" s="89"/>
      <c r="O41" s="202"/>
      <c r="P41" s="149">
        <f>L43</f>
        <v>0</v>
      </c>
      <c r="Q41" s="40"/>
      <c r="R41" s="89"/>
      <c r="S41" s="202"/>
      <c r="T41" s="149">
        <v>0</v>
      </c>
      <c r="U41" s="40"/>
      <c r="V41" s="89"/>
      <c r="W41" s="202"/>
      <c r="X41" s="149">
        <v>0</v>
      </c>
      <c r="Y41" s="40"/>
      <c r="Z41" s="89"/>
      <c r="AA41" s="202"/>
      <c r="AB41" s="149">
        <f>X43</f>
        <v>0</v>
      </c>
      <c r="AC41" s="40"/>
      <c r="AD41" s="89"/>
      <c r="AE41" s="202"/>
      <c r="AF41" s="149">
        <f>AB43</f>
        <v>0</v>
      </c>
      <c r="AG41" s="40"/>
      <c r="AH41" s="89"/>
      <c r="AI41" s="202"/>
      <c r="AJ41" s="149">
        <f>AF43</f>
        <v>0</v>
      </c>
      <c r="AK41" s="40"/>
      <c r="AL41" s="89"/>
      <c r="AM41" s="193"/>
      <c r="AN41" s="149">
        <f>AJ43</f>
        <v>0</v>
      </c>
      <c r="AO41" s="40"/>
      <c r="AP41" s="89"/>
      <c r="AQ41" s="202"/>
      <c r="AR41" s="149">
        <f>AN43</f>
        <v>0</v>
      </c>
      <c r="AS41" s="40"/>
      <c r="AT41" s="89"/>
      <c r="AU41" s="193"/>
      <c r="AV41" s="149">
        <f>AR43</f>
        <v>0</v>
      </c>
      <c r="AW41" s="40"/>
      <c r="AX41" s="89"/>
      <c r="AY41" s="202"/>
      <c r="AZ41" s="149">
        <f>AV43</f>
        <v>0</v>
      </c>
      <c r="BA41" s="40"/>
      <c r="BB41" s="89"/>
      <c r="BC41" s="202"/>
      <c r="BD41" s="149">
        <f>AZ43</f>
        <v>0</v>
      </c>
      <c r="BE41" s="40"/>
      <c r="BF41" s="89"/>
      <c r="BG41" s="202"/>
      <c r="BH41" s="40"/>
      <c r="BI41" s="89"/>
      <c r="BJ41" s="202"/>
      <c r="BK41" s="149">
        <v>0</v>
      </c>
      <c r="BL41" s="40"/>
      <c r="BM41" s="89"/>
      <c r="BN41" s="202"/>
      <c r="BO41" s="149">
        <v>0</v>
      </c>
      <c r="BP41" s="40"/>
      <c r="BQ41" s="89"/>
      <c r="BR41" s="202"/>
      <c r="BS41" s="149">
        <v>1</v>
      </c>
      <c r="BT41" s="40"/>
      <c r="BU41" s="89"/>
      <c r="BV41" s="202"/>
      <c r="BW41" s="149">
        <v>0</v>
      </c>
      <c r="BX41" s="40"/>
      <c r="BY41" s="89"/>
      <c r="BZ41" s="193"/>
      <c r="CA41" s="149">
        <f>BO43</f>
        <v>0</v>
      </c>
      <c r="CB41" s="40"/>
      <c r="CC41" s="89"/>
      <c r="CD41" s="193"/>
      <c r="CG41" s="287" t="e">
        <f t="shared" si="63"/>
        <v>#REF!</v>
      </c>
    </row>
    <row r="42" spans="1:85" ht="24" outlineLevel="1">
      <c r="A42" s="6">
        <f>BW1</f>
        <v>32132</v>
      </c>
      <c r="B42" s="168"/>
      <c r="C42" s="169"/>
      <c r="D42" s="11" t="s">
        <v>402</v>
      </c>
      <c r="E42" s="170">
        <v>0</v>
      </c>
      <c r="F42" s="145" t="str">
        <f>IF(OR(D42="4",E42="4"),INDEX([14]NamesElementary!$B$1:$B$65536,MATCH(A42,[14]NamesElementary!$A$1:$A$65536,0),1),INDEX([14]Names!$J$1:$J$65602,MATCH(A42,[14]Names!$F$1:$F$65602,0),1))</f>
        <v>electricity, PV, at 3kWp slanted-roof, a-Si, panel, mounted</v>
      </c>
      <c r="G42" s="16" t="str">
        <f>IF(OR(D42="4",E42="4"),"-",INDEX([14]Names!$K$1:$K$65602,MATCH(A42,[14]Names!$F$1:$F$65602,0),1))</f>
        <v>CH</v>
      </c>
      <c r="H42" s="14" t="str">
        <f>IF(OR(D42="4",E42="4"),INDEX([14]NamesElementary!$D$1:$D$65536,MATCH($A42,[14]NamesElementary!$A$1:$A$65536,0),1),"-")</f>
        <v>-</v>
      </c>
      <c r="I42" s="14" t="str">
        <f>IF(OR(D42="4",E42="4"),INDEX([14]NamesElementary!$E$1:$E$65536,MATCH($A42,[14]NamesElementary!$A$1:$A$65536,0),1),"-")</f>
        <v>-</v>
      </c>
      <c r="J42" s="15">
        <f>IF(OR(D42="4",E42="4"),"-",INDEX([14]Names!$N$1:$N$65602,MATCH(A42,[14]Names!$F$1:$F$65602,0),1))</f>
        <v>0</v>
      </c>
      <c r="K42" s="16" t="str">
        <f>IF(OR(D42="4",E42="4"),INDEX([14]NamesElementary!$G$1:$G$65536,MATCH(A42,[14]NamesElementary!$A$1:$A$65536,0),1),INDEX([14]Names!$O$1:$O$65602,MATCH(A42,[14]Names!$F$1:$F$65602,0),1))</f>
        <v>kWh</v>
      </c>
      <c r="L42" s="149">
        <v>0</v>
      </c>
      <c r="M42" s="40"/>
      <c r="N42" s="89"/>
      <c r="O42" s="202"/>
      <c r="P42" s="149">
        <f>L41</f>
        <v>0</v>
      </c>
      <c r="Q42" s="40"/>
      <c r="R42" s="89"/>
      <c r="S42" s="202"/>
      <c r="T42" s="149">
        <v>0</v>
      </c>
      <c r="U42" s="40"/>
      <c r="V42" s="89"/>
      <c r="W42" s="202"/>
      <c r="X42" s="149">
        <v>0</v>
      </c>
      <c r="Y42" s="40"/>
      <c r="Z42" s="89"/>
      <c r="AA42" s="202"/>
      <c r="AB42" s="149">
        <f>X41</f>
        <v>0</v>
      </c>
      <c r="AC42" s="40"/>
      <c r="AD42" s="89"/>
      <c r="AE42" s="202"/>
      <c r="AF42" s="149">
        <f>AB41</f>
        <v>0</v>
      </c>
      <c r="AG42" s="40"/>
      <c r="AH42" s="89"/>
      <c r="AI42" s="202"/>
      <c r="AJ42" s="149">
        <f>AF41</f>
        <v>0</v>
      </c>
      <c r="AK42" s="40"/>
      <c r="AL42" s="89"/>
      <c r="AM42" s="193"/>
      <c r="AN42" s="149">
        <f>AJ41</f>
        <v>0</v>
      </c>
      <c r="AO42" s="40"/>
      <c r="AP42" s="89"/>
      <c r="AQ42" s="202"/>
      <c r="AR42" s="149">
        <f>AN41</f>
        <v>0</v>
      </c>
      <c r="AS42" s="40"/>
      <c r="AT42" s="89"/>
      <c r="AU42" s="193"/>
      <c r="AV42" s="149">
        <f>AR41</f>
        <v>0</v>
      </c>
      <c r="AW42" s="40"/>
      <c r="AX42" s="89"/>
      <c r="AY42" s="202"/>
      <c r="AZ42" s="149">
        <f>AV41</f>
        <v>0</v>
      </c>
      <c r="BA42" s="40"/>
      <c r="BB42" s="89"/>
      <c r="BC42" s="202"/>
      <c r="BD42" s="149">
        <f>AZ41</f>
        <v>0</v>
      </c>
      <c r="BE42" s="40"/>
      <c r="BF42" s="89"/>
      <c r="BG42" s="202"/>
      <c r="BH42" s="40"/>
      <c r="BI42" s="89"/>
      <c r="BJ42" s="202"/>
      <c r="BK42" s="149">
        <v>0</v>
      </c>
      <c r="BL42" s="40"/>
      <c r="BM42" s="89"/>
      <c r="BN42" s="202"/>
      <c r="BO42" s="149">
        <v>0</v>
      </c>
      <c r="BP42" s="40"/>
      <c r="BQ42" s="89"/>
      <c r="BR42" s="202"/>
      <c r="BS42" s="149">
        <f>BO41</f>
        <v>0</v>
      </c>
      <c r="BT42" s="40"/>
      <c r="BU42" s="89"/>
      <c r="BV42" s="202"/>
      <c r="BW42" s="149">
        <v>1</v>
      </c>
      <c r="BX42" s="40"/>
      <c r="BY42" s="89"/>
      <c r="BZ42" s="193"/>
      <c r="CA42" s="149">
        <f>BO41</f>
        <v>0</v>
      </c>
      <c r="CB42" s="40"/>
      <c r="CC42" s="89"/>
      <c r="CD42" s="193"/>
      <c r="CG42" s="287" t="e">
        <f t="shared" si="63"/>
        <v>#REF!</v>
      </c>
    </row>
    <row r="43" spans="1:85" ht="24" outlineLevel="1">
      <c r="A43" s="6">
        <f>CA1</f>
        <v>4853</v>
      </c>
      <c r="B43" s="168"/>
      <c r="C43" s="169"/>
      <c r="D43" s="11" t="s">
        <v>402</v>
      </c>
      <c r="E43" s="170">
        <v>0</v>
      </c>
      <c r="F43" s="145" t="str">
        <f>IF(OR(D43="4",E43="4"),INDEX([14]NamesElementary!$B$1:$B$65536,MATCH(A43,[14]NamesElementary!$A$1:$A$65536,0),1),INDEX([14]Names!$J$1:$J$65602,MATCH(A43,[14]Names!$F$1:$F$65602,0),1))</f>
        <v>electricity, production mix photovoltaic, at plant</v>
      </c>
      <c r="G43" s="16" t="str">
        <f>IF(OR(D43="4",E43="4"),"-",INDEX([14]Names!$K$1:$K$65602,MATCH(A43,[14]Names!$F$1:$F$65602,0),1))</f>
        <v>CH</v>
      </c>
      <c r="H43" s="14" t="str">
        <f>IF(OR(D43="4",E43="4"),INDEX([14]NamesElementary!$D$1:$D$65536,MATCH($A43,[14]NamesElementary!$A$1:$A$65536,0),1),"-")</f>
        <v>-</v>
      </c>
      <c r="I43" s="14" t="str">
        <f>IF(OR(D43="4",E43="4"),INDEX([14]NamesElementary!$E$1:$E$65536,MATCH($A43,[14]NamesElementary!$A$1:$A$65536,0),1),"-")</f>
        <v>-</v>
      </c>
      <c r="J43" s="15">
        <f>IF(OR(D43="4",E43="4"),"-",INDEX([14]Names!$N$1:$N$65602,MATCH(A43,[14]Names!$F$1:$F$65602,0),1))</f>
        <v>0</v>
      </c>
      <c r="K43" s="16" t="str">
        <f>IF(OR(D43="4",E43="4"),INDEX([14]NamesElementary!$G$1:$G$65536,MATCH(A43,[14]NamesElementary!$A$1:$A$65536,0),1),INDEX([14]Names!$O$1:$O$65602,MATCH(A43,[14]Names!$F$1:$F$65602,0),1))</f>
        <v>kWh</v>
      </c>
      <c r="L43" s="149">
        <v>0</v>
      </c>
      <c r="M43" s="40"/>
      <c r="N43" s="89"/>
      <c r="O43" s="202"/>
      <c r="P43" s="149">
        <f>L40</f>
        <v>0</v>
      </c>
      <c r="Q43" s="40"/>
      <c r="R43" s="89"/>
      <c r="S43" s="202"/>
      <c r="T43" s="149">
        <v>0</v>
      </c>
      <c r="U43" s="40"/>
      <c r="V43" s="89"/>
      <c r="W43" s="202"/>
      <c r="X43" s="149">
        <v>0</v>
      </c>
      <c r="Y43" s="40"/>
      <c r="Z43" s="89"/>
      <c r="AA43" s="202"/>
      <c r="AB43" s="149">
        <f>X40</f>
        <v>0</v>
      </c>
      <c r="AC43" s="40"/>
      <c r="AD43" s="89"/>
      <c r="AE43" s="202"/>
      <c r="AF43" s="149">
        <f>AB40</f>
        <v>0</v>
      </c>
      <c r="AG43" s="40"/>
      <c r="AH43" s="89"/>
      <c r="AI43" s="202"/>
      <c r="AJ43" s="149">
        <f>AF40</f>
        <v>0</v>
      </c>
      <c r="AK43" s="40"/>
      <c r="AL43" s="89"/>
      <c r="AM43" s="193"/>
      <c r="AN43" s="149">
        <f>AJ40</f>
        <v>0</v>
      </c>
      <c r="AO43" s="40"/>
      <c r="AP43" s="89"/>
      <c r="AQ43" s="202"/>
      <c r="AR43" s="149">
        <f>AN40</f>
        <v>0</v>
      </c>
      <c r="AS43" s="40"/>
      <c r="AT43" s="89"/>
      <c r="AU43" s="193"/>
      <c r="AV43" s="149">
        <f>AR40</f>
        <v>0</v>
      </c>
      <c r="AW43" s="40"/>
      <c r="AX43" s="89"/>
      <c r="AY43" s="202"/>
      <c r="AZ43" s="149">
        <f>AV40</f>
        <v>0</v>
      </c>
      <c r="BA43" s="40"/>
      <c r="BB43" s="89"/>
      <c r="BC43" s="202"/>
      <c r="BD43" s="149">
        <f>AZ40</f>
        <v>0</v>
      </c>
      <c r="BE43" s="40"/>
      <c r="BF43" s="89"/>
      <c r="BG43" s="202"/>
      <c r="BH43" s="40"/>
      <c r="BI43" s="89"/>
      <c r="BJ43" s="202"/>
      <c r="BK43" s="149">
        <v>0</v>
      </c>
      <c r="BL43" s="40"/>
      <c r="BM43" s="89"/>
      <c r="BN43" s="202"/>
      <c r="BO43" s="149">
        <v>0</v>
      </c>
      <c r="BP43" s="40"/>
      <c r="BQ43" s="89"/>
      <c r="BR43" s="202"/>
      <c r="BS43" s="149">
        <v>0</v>
      </c>
      <c r="BT43" s="40"/>
      <c r="BU43" s="89"/>
      <c r="BV43" s="202"/>
      <c r="BW43" s="149">
        <f>BS42</f>
        <v>0</v>
      </c>
      <c r="BX43" s="40"/>
      <c r="BY43" s="89"/>
      <c r="BZ43" s="193"/>
      <c r="CA43" s="149">
        <v>1</v>
      </c>
      <c r="CB43" s="40"/>
      <c r="CC43" s="89"/>
      <c r="CD43" s="193"/>
      <c r="CG43" s="287" t="e">
        <f>SUMPRODUCT(CE10:CE25,CG10:CG25)</f>
        <v>#REF!</v>
      </c>
    </row>
    <row r="46" spans="1:85">
      <c r="CE46" s="288" t="e">
        <f>SUM(CE10:CE43)</f>
        <v>#REF!</v>
      </c>
      <c r="CF46" s="288"/>
      <c r="CG46" s="288"/>
    </row>
    <row r="47" spans="1:85">
      <c r="F47" s="8" t="s">
        <v>454</v>
      </c>
      <c r="K47" s="291" t="s">
        <v>455</v>
      </c>
      <c r="L47" s="7">
        <v>1117</v>
      </c>
      <c r="BO47" s="7" t="e">
        <f>1/(SUM(CA10:CA23)*3*lifetime)</f>
        <v>#REF!</v>
      </c>
      <c r="BS47" s="7" t="e">
        <f>1/(SUM(CE10:CE23)*3*lifetime)</f>
        <v>#REF!</v>
      </c>
      <c r="BW47" s="7">
        <f>1/(SUM(CI10:CI23)*3*lifetime)</f>
        <v>2.6455026455026457E-4</v>
      </c>
      <c r="BZ47" s="294" t="e">
        <f>SUM(CA10:CA23)</f>
        <v>#REF!</v>
      </c>
      <c r="CA47" s="7">
        <v>1117</v>
      </c>
      <c r="CD47" s="294" t="e">
        <f>SUM(CE10:CE23)</f>
        <v>#REF!</v>
      </c>
    </row>
    <row r="48" spans="1:85">
      <c r="F48" s="8" t="s">
        <v>457</v>
      </c>
      <c r="K48" s="291" t="s">
        <v>456</v>
      </c>
      <c r="L48" s="7">
        <v>922</v>
      </c>
      <c r="CA48" s="7">
        <v>922</v>
      </c>
    </row>
    <row r="49" spans="6:79">
      <c r="F49" s="8" t="s">
        <v>458</v>
      </c>
      <c r="K49" s="291" t="s">
        <v>456</v>
      </c>
      <c r="L49" s="7">
        <v>620</v>
      </c>
      <c r="CA49" s="7">
        <v>620</v>
      </c>
    </row>
    <row r="51" spans="6:79">
      <c r="L51" s="290" t="e">
        <f>3.6/L7</f>
        <v>#REF!</v>
      </c>
      <c r="M51" s="292"/>
      <c r="N51" s="292"/>
      <c r="O51" s="292"/>
      <c r="P51" s="290" t="e">
        <f>3.6/P7</f>
        <v>#REF!</v>
      </c>
      <c r="Q51" s="292"/>
      <c r="R51" s="292"/>
      <c r="S51" s="292"/>
      <c r="T51" s="290" t="e">
        <f>3.6/T7</f>
        <v>#REF!</v>
      </c>
      <c r="U51" s="292"/>
      <c r="V51" s="292"/>
      <c r="W51" s="292"/>
      <c r="X51" s="290" t="e">
        <f>3.6/X7</f>
        <v>#REF!</v>
      </c>
      <c r="Y51" s="292"/>
      <c r="Z51" s="292"/>
      <c r="AA51" s="292"/>
      <c r="AB51" s="290" t="e">
        <f>3.6/AB7</f>
        <v>#REF!</v>
      </c>
      <c r="AC51" s="290">
        <f>3.6/AC7</f>
        <v>3.6</v>
      </c>
      <c r="AD51" s="292"/>
      <c r="AE51" s="292"/>
      <c r="AF51" s="290" t="e">
        <f>3.6/AF7</f>
        <v>#REF!</v>
      </c>
      <c r="AG51" s="292"/>
      <c r="AH51" s="292"/>
      <c r="AI51" s="292"/>
      <c r="AJ51" s="290" t="e">
        <f>3.6/AJ7</f>
        <v>#REF!</v>
      </c>
      <c r="AK51" s="292"/>
      <c r="AL51" s="292"/>
      <c r="AM51" s="325"/>
      <c r="AN51" s="290" t="e">
        <f>3.6/AN7</f>
        <v>#REF!</v>
      </c>
      <c r="AO51" s="292"/>
      <c r="AP51" s="292"/>
      <c r="AQ51" s="292"/>
      <c r="AR51" s="290" t="e">
        <f>3.6/AR7</f>
        <v>#REF!</v>
      </c>
      <c r="AS51" s="292"/>
      <c r="AT51" s="292"/>
      <c r="AU51" s="325"/>
      <c r="AV51" s="290" t="e">
        <f>3.6/AV7</f>
        <v>#REF!</v>
      </c>
      <c r="AW51" s="292"/>
      <c r="AX51" s="290">
        <f>3.6/AX7</f>
        <v>3.3007100830343576</v>
      </c>
      <c r="AY51" s="292"/>
      <c r="AZ51" s="290" t="e">
        <f>3.6/AZ7</f>
        <v>#REF!</v>
      </c>
      <c r="BA51" s="292"/>
      <c r="BB51" s="292"/>
      <c r="BC51" s="292"/>
      <c r="BD51" s="290" t="e">
        <f>3.6/BD7</f>
        <v>#REF!</v>
      </c>
      <c r="BE51" s="292"/>
      <c r="BF51" s="292"/>
      <c r="BG51" s="292"/>
      <c r="BH51" s="292"/>
      <c r="BI51" s="292"/>
      <c r="BJ51" s="292"/>
      <c r="BK51" s="290" t="e">
        <f>3.6/BK7</f>
        <v>#REF!</v>
      </c>
      <c r="BL51" s="292"/>
      <c r="BM51" s="292"/>
      <c r="BN51" s="292"/>
      <c r="BO51" s="290" t="e">
        <f>3.6/BO7</f>
        <v>#REF!</v>
      </c>
      <c r="BP51" s="292"/>
      <c r="BQ51" s="292"/>
      <c r="BR51" s="292"/>
      <c r="BS51" s="290" t="e">
        <f>3.6/BS7</f>
        <v>#REF!</v>
      </c>
      <c r="BT51" s="292"/>
      <c r="BU51" s="292"/>
      <c r="BV51" s="292"/>
      <c r="BW51" s="290" t="e">
        <f>3.6/BW7</f>
        <v>#REF!</v>
      </c>
      <c r="BX51" s="292"/>
      <c r="BY51" s="292"/>
      <c r="CA51" s="290" t="e">
        <f>3.6/CA7</f>
        <v>#REF!</v>
      </c>
    </row>
    <row r="53" spans="6:79">
      <c r="F53" s="404" t="s">
        <v>207</v>
      </c>
      <c r="G53" s="405"/>
      <c r="H53" s="405"/>
      <c r="I53" s="405"/>
      <c r="J53" s="405"/>
      <c r="K53" s="405" t="s">
        <v>528</v>
      </c>
      <c r="L53" s="405">
        <v>30</v>
      </c>
    </row>
    <row r="54" spans="6:79">
      <c r="F54" s="8" t="s">
        <v>463</v>
      </c>
      <c r="K54" s="7" t="s">
        <v>528</v>
      </c>
      <c r="L54" s="7">
        <v>20</v>
      </c>
    </row>
    <row r="55" spans="6:79">
      <c r="F55" s="8" t="s">
        <v>451</v>
      </c>
      <c r="K55" s="7" t="s">
        <v>528</v>
      </c>
      <c r="L55" s="7">
        <v>20</v>
      </c>
    </row>
    <row r="56" spans="6:79">
      <c r="F56" s="8" t="s">
        <v>173</v>
      </c>
      <c r="K56" s="7" t="s">
        <v>528</v>
      </c>
      <c r="L56" s="7">
        <v>30</v>
      </c>
    </row>
    <row r="57" spans="6:79">
      <c r="F57" s="8" t="s">
        <v>452</v>
      </c>
      <c r="K57" s="7" t="s">
        <v>528</v>
      </c>
      <c r="L57" s="7">
        <v>30</v>
      </c>
    </row>
    <row r="58" spans="6:79">
      <c r="F58" s="8" t="s">
        <v>174</v>
      </c>
      <c r="K58" s="7" t="s">
        <v>528</v>
      </c>
      <c r="L58" s="7">
        <v>25</v>
      </c>
    </row>
    <row r="59" spans="6:79">
      <c r="F59" s="8" t="s">
        <v>477</v>
      </c>
      <c r="K59" s="7" t="s">
        <v>528</v>
      </c>
      <c r="L59" s="7">
        <v>30</v>
      </c>
    </row>
  </sheetData>
  <phoneticPr fontId="0" type="noConversion"/>
  <conditionalFormatting sqref="CI32:CN32 CI26:CN27">
    <cfRule type="cellIs" dxfId="136" priority="1" stopIfTrue="1" operator="notBetween">
      <formula>1</formula>
      <formula>5</formula>
    </cfRule>
  </conditionalFormatting>
  <conditionalFormatting sqref="CU32:CZ32 CU7:CZ27">
    <cfRule type="cellIs" dxfId="135" priority="2" stopIfTrue="1" operator="equal">
      <formula>0</formula>
    </cfRule>
  </conditionalFormatting>
  <conditionalFormatting sqref="B26">
    <cfRule type="cellIs" dxfId="134" priority="3" stopIfTrue="1" operator="notEqual">
      <formula>""</formula>
    </cfRule>
  </conditionalFormatting>
  <dataValidations disablePrompts="1" count="1">
    <dataValidation allowBlank="1" showInputMessage="1" showErrorMessage="1" promptTitle="Do not change" prompt="This field is automatically updated from the names-list" sqref="CO7:CO26"/>
  </dataValidations>
  <pageMargins left="0.78740157499999996" right="0.78740157499999996" top="0.984251969" bottom="0.984251969" header="0.4921259845" footer="0.4921259845"/>
  <pageSetup paperSize="9" scale="2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AC55"/>
  <sheetViews>
    <sheetView zoomScale="75" workbookViewId="0">
      <selection activeCell="J46" sqref="J46"/>
    </sheetView>
  </sheetViews>
  <sheetFormatPr defaultColWidth="11.42578125" defaultRowHeight="12" outlineLevelRow="1" outlineLevelCol="1"/>
  <cols>
    <col min="1" max="1" width="12.140625" style="7" customWidth="1"/>
    <col min="2" max="2" width="14.5703125" style="158" customWidth="1"/>
    <col min="3" max="3" width="3.7109375" style="159" hidden="1" customWidth="1" outlineLevel="1"/>
    <col min="4" max="4" width="5" style="7" hidden="1" customWidth="1" outlineLevel="1"/>
    <col min="5" max="5" width="5.42578125" style="7" hidden="1" customWidth="1" outlineLevel="1"/>
    <col min="6" max="6" width="32.7109375" style="8" customWidth="1" collapsed="1"/>
    <col min="7" max="7" width="6" style="7" customWidth="1"/>
    <col min="8" max="8" width="5.7109375" style="7" hidden="1" customWidth="1" outlineLevel="1"/>
    <col min="9" max="9" width="19.42578125" style="7" hidden="1" customWidth="1" outlineLevel="1"/>
    <col min="10" max="10" width="6.28515625" style="7" customWidth="1" collapsed="1"/>
    <col min="11" max="11" width="5.140625" style="7" customWidth="1"/>
    <col min="12" max="12" width="11" style="7" customWidth="1"/>
    <col min="13" max="13" width="6" style="32" hidden="1" customWidth="1" outlineLevel="1"/>
    <col min="14" max="14" width="8.140625" style="32" hidden="1" customWidth="1" outlineLevel="1"/>
    <col min="15" max="15" width="36.28515625" style="33" hidden="1" customWidth="1" outlineLevel="1"/>
    <col min="16" max="16" width="11" style="7" customWidth="1" collapsed="1"/>
    <col min="17" max="17" width="2.42578125" style="32" hidden="1" customWidth="1" outlineLevel="1"/>
    <col min="18" max="18" width="4.28515625" style="32" hidden="1" customWidth="1" outlineLevel="1"/>
    <col min="19" max="19" width="36.28515625" style="33" hidden="1" customWidth="1" outlineLevel="1"/>
    <col min="20" max="20" width="11" style="7" customWidth="1" collapsed="1"/>
    <col min="21" max="21" width="2.42578125" style="32" hidden="1" customWidth="1" outlineLevel="1"/>
    <col min="22" max="22" width="4.28515625" style="32" hidden="1" customWidth="1" outlineLevel="1"/>
    <col min="23" max="23" width="36.28515625" style="33" hidden="1" customWidth="1" outlineLevel="1"/>
    <col min="24" max="24" width="11" style="7" customWidth="1" collapsed="1"/>
    <col min="25" max="25" width="5.28515625" style="32" customWidth="1" outlineLevel="1"/>
    <col min="26" max="26" width="4.28515625" style="32" customWidth="1" outlineLevel="1"/>
    <col min="27" max="27" width="36.28515625" style="33" customWidth="1" outlineLevel="1"/>
    <col min="28" max="28" width="10" style="33" customWidth="1"/>
    <col min="29" max="16384" width="11.42578125" style="7"/>
  </cols>
  <sheetData>
    <row r="1" spans="1:29" outlineLevel="1">
      <c r="A1" s="36"/>
      <c r="B1" s="34"/>
      <c r="C1" s="35"/>
      <c r="D1" s="36"/>
      <c r="E1" s="36"/>
      <c r="F1" s="37" t="s">
        <v>510</v>
      </c>
      <c r="G1" s="36"/>
      <c r="H1" s="36"/>
      <c r="I1" s="36"/>
      <c r="J1" s="36"/>
      <c r="K1" s="36"/>
      <c r="L1" s="605">
        <v>1620</v>
      </c>
      <c r="M1" s="22"/>
      <c r="N1" s="22"/>
      <c r="O1" s="22"/>
      <c r="P1" s="605" t="s">
        <v>751</v>
      </c>
      <c r="Q1" s="22"/>
      <c r="R1" s="22"/>
      <c r="S1" s="22"/>
      <c r="T1" s="615" t="s">
        <v>864</v>
      </c>
      <c r="U1" s="22"/>
      <c r="V1" s="22"/>
      <c r="W1" s="22"/>
      <c r="X1" s="615" t="s">
        <v>865</v>
      </c>
      <c r="Y1" s="22"/>
      <c r="Z1" s="22"/>
      <c r="AA1" s="22"/>
      <c r="AB1" s="31"/>
    </row>
    <row r="2" spans="1:29" outlineLevel="1">
      <c r="A2" s="36"/>
      <c r="B2" s="147"/>
      <c r="C2" s="35" t="s">
        <v>511</v>
      </c>
      <c r="D2" s="147">
        <v>3503</v>
      </c>
      <c r="E2" s="147">
        <v>3504</v>
      </c>
      <c r="F2" s="147">
        <v>3702</v>
      </c>
      <c r="G2" s="147">
        <v>3703</v>
      </c>
      <c r="H2" s="147">
        <v>3506</v>
      </c>
      <c r="I2" s="147">
        <v>3507</v>
      </c>
      <c r="J2" s="147">
        <v>3508</v>
      </c>
      <c r="K2" s="147">
        <v>3706</v>
      </c>
      <c r="L2" s="147">
        <v>3707</v>
      </c>
      <c r="M2" s="23">
        <v>3708</v>
      </c>
      <c r="N2" s="23">
        <v>3709</v>
      </c>
      <c r="O2" s="24">
        <v>3792</v>
      </c>
      <c r="P2" s="147">
        <v>3707</v>
      </c>
      <c r="Q2" s="23">
        <v>3708</v>
      </c>
      <c r="R2" s="23">
        <v>3709</v>
      </c>
      <c r="S2" s="24">
        <v>3792</v>
      </c>
      <c r="T2" s="147">
        <v>3707</v>
      </c>
      <c r="U2" s="23">
        <v>3708</v>
      </c>
      <c r="V2" s="23">
        <v>3709</v>
      </c>
      <c r="W2" s="24">
        <v>3792</v>
      </c>
      <c r="X2" s="147">
        <v>3707</v>
      </c>
      <c r="Y2" s="23">
        <v>3708</v>
      </c>
      <c r="Z2" s="23">
        <v>3709</v>
      </c>
      <c r="AA2" s="24">
        <v>3792</v>
      </c>
      <c r="AB2" s="31"/>
      <c r="AC2" s="121"/>
    </row>
    <row r="3" spans="1:29" ht="53.25" customHeight="1">
      <c r="A3" s="36" t="s">
        <v>398</v>
      </c>
      <c r="B3" s="166"/>
      <c r="C3" s="35">
        <v>401</v>
      </c>
      <c r="D3" s="167" t="s">
        <v>514</v>
      </c>
      <c r="E3" s="167" t="s">
        <v>515</v>
      </c>
      <c r="F3" s="132" t="s">
        <v>516</v>
      </c>
      <c r="G3" s="41" t="s">
        <v>517</v>
      </c>
      <c r="H3" s="41" t="s">
        <v>518</v>
      </c>
      <c r="I3" s="41" t="s">
        <v>519</v>
      </c>
      <c r="J3" s="41" t="s">
        <v>520</v>
      </c>
      <c r="K3" s="41" t="s">
        <v>394</v>
      </c>
      <c r="L3" s="148" t="s">
        <v>1132</v>
      </c>
      <c r="M3" s="25" t="s">
        <v>265</v>
      </c>
      <c r="N3" s="25" t="s">
        <v>266</v>
      </c>
      <c r="O3" s="128" t="s">
        <v>548</v>
      </c>
      <c r="P3" s="148" t="s">
        <v>1132</v>
      </c>
      <c r="Q3" s="25" t="s">
        <v>265</v>
      </c>
      <c r="R3" s="25" t="s">
        <v>266</v>
      </c>
      <c r="S3" s="128" t="s">
        <v>548</v>
      </c>
      <c r="T3" s="148" t="s">
        <v>1132</v>
      </c>
      <c r="U3" s="25" t="s">
        <v>265</v>
      </c>
      <c r="V3" s="25" t="s">
        <v>266</v>
      </c>
      <c r="W3" s="128" t="s">
        <v>548</v>
      </c>
      <c r="X3" s="148" t="s">
        <v>1132</v>
      </c>
      <c r="Y3" s="25" t="s">
        <v>265</v>
      </c>
      <c r="Z3" s="25" t="s">
        <v>266</v>
      </c>
      <c r="AA3" s="128" t="s">
        <v>548</v>
      </c>
      <c r="AB3" s="31"/>
    </row>
    <row r="4" spans="1:29" ht="12.75" customHeight="1">
      <c r="A4" s="36"/>
      <c r="B4" s="166"/>
      <c r="C4" s="35">
        <v>662</v>
      </c>
      <c r="D4" s="9"/>
      <c r="E4" s="9"/>
      <c r="F4" s="132" t="s">
        <v>517</v>
      </c>
      <c r="G4" s="132"/>
      <c r="H4" s="132"/>
      <c r="I4" s="132"/>
      <c r="J4" s="132"/>
      <c r="K4" s="132"/>
      <c r="L4" s="148" t="s">
        <v>578</v>
      </c>
      <c r="M4" s="129"/>
      <c r="N4" s="129"/>
      <c r="O4" s="130"/>
      <c r="P4" s="148" t="s">
        <v>1105</v>
      </c>
      <c r="Q4" s="129"/>
      <c r="R4" s="129"/>
      <c r="S4" s="130"/>
      <c r="T4" s="148" t="s">
        <v>465</v>
      </c>
      <c r="U4" s="129"/>
      <c r="V4" s="129"/>
      <c r="W4" s="130"/>
      <c r="X4" s="148" t="s">
        <v>956</v>
      </c>
      <c r="Y4" s="129"/>
      <c r="Z4" s="129"/>
      <c r="AA4" s="130"/>
      <c r="AB4" s="31"/>
    </row>
    <row r="5" spans="1:29">
      <c r="A5" s="36"/>
      <c r="B5" s="166"/>
      <c r="C5" s="35">
        <v>493</v>
      </c>
      <c r="D5" s="9"/>
      <c r="E5" s="9"/>
      <c r="F5" s="132" t="s">
        <v>520</v>
      </c>
      <c r="G5" s="132"/>
      <c r="H5" s="132"/>
      <c r="I5" s="132"/>
      <c r="J5" s="132"/>
      <c r="K5" s="132"/>
      <c r="L5" s="148">
        <v>0</v>
      </c>
      <c r="M5" s="129"/>
      <c r="N5" s="129"/>
      <c r="O5" s="130"/>
      <c r="P5" s="148">
        <v>0</v>
      </c>
      <c r="Q5" s="129"/>
      <c r="R5" s="129"/>
      <c r="S5" s="130"/>
      <c r="T5" s="148">
        <v>0</v>
      </c>
      <c r="U5" s="129"/>
      <c r="V5" s="129"/>
      <c r="W5" s="130"/>
      <c r="X5" s="148">
        <v>0</v>
      </c>
      <c r="Y5" s="129"/>
      <c r="Z5" s="129"/>
      <c r="AA5" s="130"/>
      <c r="AB5" s="31"/>
    </row>
    <row r="6" spans="1:29">
      <c r="A6" s="36"/>
      <c r="B6" s="166"/>
      <c r="C6" s="35">
        <v>403</v>
      </c>
      <c r="D6" s="9"/>
      <c r="E6" s="9"/>
      <c r="F6" s="132" t="s">
        <v>394</v>
      </c>
      <c r="G6" s="352"/>
      <c r="H6" s="132"/>
      <c r="I6" s="132"/>
      <c r="J6" s="132"/>
      <c r="K6" s="132"/>
      <c r="L6" s="148" t="s">
        <v>395</v>
      </c>
      <c r="M6" s="129"/>
      <c r="N6" s="129"/>
      <c r="O6" s="130"/>
      <c r="P6" s="148" t="s">
        <v>395</v>
      </c>
      <c r="Q6" s="129"/>
      <c r="R6" s="129"/>
      <c r="S6" s="130"/>
      <c r="T6" s="148" t="s">
        <v>395</v>
      </c>
      <c r="U6" s="129"/>
      <c r="V6" s="129"/>
      <c r="W6" s="130"/>
      <c r="X6" s="148" t="s">
        <v>395</v>
      </c>
      <c r="Y6" s="129"/>
      <c r="Z6" s="129"/>
      <c r="AA6" s="130"/>
      <c r="AB6" s="31"/>
    </row>
    <row r="7" spans="1:29">
      <c r="A7" s="2">
        <v>1620</v>
      </c>
      <c r="B7" s="168" t="s">
        <v>523</v>
      </c>
      <c r="C7" s="169"/>
      <c r="D7" s="11" t="s">
        <v>402</v>
      </c>
      <c r="E7" s="170">
        <v>0</v>
      </c>
      <c r="F7" s="145" t="s">
        <v>1132</v>
      </c>
      <c r="G7" s="16" t="s">
        <v>578</v>
      </c>
      <c r="H7" s="14" t="s">
        <v>402</v>
      </c>
      <c r="I7" s="14" t="s">
        <v>402</v>
      </c>
      <c r="J7" s="15">
        <v>0</v>
      </c>
      <c r="K7" s="16" t="s">
        <v>395</v>
      </c>
      <c r="L7" s="606">
        <v>1</v>
      </c>
      <c r="M7" s="29"/>
      <c r="N7" s="1"/>
      <c r="O7" s="31"/>
      <c r="P7" s="606">
        <v>0</v>
      </c>
      <c r="Q7" s="29"/>
      <c r="R7" s="1"/>
      <c r="S7" s="31"/>
      <c r="T7" s="606">
        <v>0</v>
      </c>
      <c r="U7" s="29"/>
      <c r="V7" s="1"/>
      <c r="W7" s="31"/>
      <c r="X7" s="606">
        <v>0</v>
      </c>
      <c r="Y7" s="29"/>
      <c r="Z7" s="1"/>
      <c r="AA7" s="31"/>
      <c r="AB7" s="31"/>
    </row>
    <row r="8" spans="1:29">
      <c r="A8" s="2" t="s">
        <v>751</v>
      </c>
      <c r="B8" s="168"/>
      <c r="C8" s="169"/>
      <c r="D8" s="11" t="s">
        <v>402</v>
      </c>
      <c r="E8" s="170">
        <v>0</v>
      </c>
      <c r="F8" s="145" t="s">
        <v>1132</v>
      </c>
      <c r="G8" s="16" t="s">
        <v>1105</v>
      </c>
      <c r="H8" s="14" t="s">
        <v>402</v>
      </c>
      <c r="I8" s="14" t="s">
        <v>402</v>
      </c>
      <c r="J8" s="15">
        <v>0</v>
      </c>
      <c r="K8" s="16" t="s">
        <v>395</v>
      </c>
      <c r="L8" s="606">
        <v>0</v>
      </c>
      <c r="M8" s="29"/>
      <c r="N8" s="1"/>
      <c r="O8" s="31"/>
      <c r="P8" s="606">
        <v>1</v>
      </c>
      <c r="Q8" s="29"/>
      <c r="R8" s="1"/>
      <c r="S8" s="31"/>
      <c r="T8" s="606">
        <v>0</v>
      </c>
      <c r="U8" s="29"/>
      <c r="V8" s="1"/>
      <c r="W8" s="31"/>
      <c r="X8" s="606">
        <v>0</v>
      </c>
      <c r="Y8" s="29"/>
      <c r="Z8" s="1"/>
      <c r="AA8" s="31"/>
      <c r="AB8" s="31"/>
    </row>
    <row r="9" spans="1:29">
      <c r="A9" s="2" t="s">
        <v>864</v>
      </c>
      <c r="B9" s="168"/>
      <c r="C9" s="169"/>
      <c r="D9" s="11" t="s">
        <v>402</v>
      </c>
      <c r="E9" s="170">
        <v>0</v>
      </c>
      <c r="F9" s="145" t="s">
        <v>1132</v>
      </c>
      <c r="G9" s="16" t="s">
        <v>465</v>
      </c>
      <c r="H9" s="14" t="s">
        <v>402</v>
      </c>
      <c r="I9" s="14" t="s">
        <v>402</v>
      </c>
      <c r="J9" s="15">
        <v>0</v>
      </c>
      <c r="K9" s="16" t="s">
        <v>395</v>
      </c>
      <c r="L9" s="606">
        <v>0</v>
      </c>
      <c r="M9" s="29"/>
      <c r="N9" s="1"/>
      <c r="O9" s="31"/>
      <c r="P9" s="606">
        <v>0</v>
      </c>
      <c r="Q9" s="29"/>
      <c r="R9" s="1"/>
      <c r="S9" s="31"/>
      <c r="T9" s="606">
        <v>1</v>
      </c>
      <c r="U9" s="29"/>
      <c r="V9" s="1"/>
      <c r="W9" s="31"/>
      <c r="X9" s="606">
        <v>0</v>
      </c>
      <c r="Y9" s="29"/>
      <c r="Z9" s="1"/>
      <c r="AA9" s="31"/>
      <c r="AB9" s="31"/>
    </row>
    <row r="10" spans="1:29">
      <c r="A10" s="2" t="s">
        <v>865</v>
      </c>
      <c r="B10" s="168"/>
      <c r="C10" s="169"/>
      <c r="D10" s="11" t="s">
        <v>402</v>
      </c>
      <c r="E10" s="170">
        <v>0</v>
      </c>
      <c r="F10" s="145" t="s">
        <v>1132</v>
      </c>
      <c r="G10" s="16" t="s">
        <v>956</v>
      </c>
      <c r="H10" s="14" t="s">
        <v>402</v>
      </c>
      <c r="I10" s="14" t="s">
        <v>402</v>
      </c>
      <c r="J10" s="15">
        <v>0</v>
      </c>
      <c r="K10" s="16" t="s">
        <v>395</v>
      </c>
      <c r="L10" s="606">
        <v>0</v>
      </c>
      <c r="M10" s="29"/>
      <c r="N10" s="1"/>
      <c r="O10" s="31"/>
      <c r="P10" s="606">
        <v>0</v>
      </c>
      <c r="Q10" s="29"/>
      <c r="R10" s="1"/>
      <c r="S10" s="31"/>
      <c r="T10" s="606">
        <v>0</v>
      </c>
      <c r="U10" s="29"/>
      <c r="V10" s="1"/>
      <c r="W10" s="31"/>
      <c r="X10" s="606">
        <v>1</v>
      </c>
      <c r="Y10" s="29"/>
      <c r="Z10" s="1"/>
      <c r="AA10" s="31"/>
      <c r="AB10" s="31"/>
    </row>
    <row r="11" spans="1:29" ht="24">
      <c r="A11" s="2">
        <v>3879</v>
      </c>
      <c r="B11" s="168" t="s">
        <v>524</v>
      </c>
      <c r="C11" s="169" t="s">
        <v>525</v>
      </c>
      <c r="D11" s="607">
        <v>5</v>
      </c>
      <c r="E11" s="10" t="s">
        <v>402</v>
      </c>
      <c r="F11" s="144" t="s">
        <v>1133</v>
      </c>
      <c r="G11" s="125" t="s">
        <v>578</v>
      </c>
      <c r="H11" s="164" t="s">
        <v>402</v>
      </c>
      <c r="I11" s="123" t="s">
        <v>402</v>
      </c>
      <c r="J11" s="124">
        <v>0</v>
      </c>
      <c r="K11" s="125" t="s">
        <v>678</v>
      </c>
      <c r="L11" s="171">
        <v>11</v>
      </c>
      <c r="M11" s="29">
        <v>1</v>
      </c>
      <c r="N11" s="604">
        <v>1.0960265024053955</v>
      </c>
      <c r="O11" s="31" t="s">
        <v>1134</v>
      </c>
      <c r="P11" s="171">
        <v>0</v>
      </c>
      <c r="Q11" s="29">
        <v>1</v>
      </c>
      <c r="R11" s="604">
        <v>1.0960265024053955</v>
      </c>
      <c r="S11" s="31" t="s">
        <v>1134</v>
      </c>
      <c r="T11" s="171">
        <v>0</v>
      </c>
      <c r="U11" s="29">
        <v>1</v>
      </c>
      <c r="V11" s="604">
        <v>1.0960265024053955</v>
      </c>
      <c r="W11" s="31" t="s">
        <v>1134</v>
      </c>
      <c r="X11" s="171">
        <v>0</v>
      </c>
      <c r="Y11" s="29">
        <v>1</v>
      </c>
      <c r="Z11" s="604">
        <v>1.0960265024053955</v>
      </c>
      <c r="AA11" s="31" t="s">
        <v>1134</v>
      </c>
      <c r="AB11" s="31"/>
    </row>
    <row r="12" spans="1:29" ht="24">
      <c r="A12" s="226">
        <v>32004</v>
      </c>
      <c r="B12" s="168"/>
      <c r="C12" s="169" t="s">
        <v>525</v>
      </c>
      <c r="D12" s="607">
        <v>5</v>
      </c>
      <c r="E12" s="10" t="s">
        <v>402</v>
      </c>
      <c r="F12" s="144" t="s">
        <v>1133</v>
      </c>
      <c r="G12" s="125" t="s">
        <v>1105</v>
      </c>
      <c r="H12" s="164" t="s">
        <v>402</v>
      </c>
      <c r="I12" s="123" t="s">
        <v>402</v>
      </c>
      <c r="J12" s="124">
        <v>0</v>
      </c>
      <c r="K12" s="125" t="s">
        <v>678</v>
      </c>
      <c r="L12" s="171">
        <v>0</v>
      </c>
      <c r="M12" s="29">
        <v>1</v>
      </c>
      <c r="N12" s="604">
        <v>1.0960265024053955</v>
      </c>
      <c r="O12" s="31" t="s">
        <v>1134</v>
      </c>
      <c r="P12" s="171">
        <v>11</v>
      </c>
      <c r="Q12" s="29">
        <v>1</v>
      </c>
      <c r="R12" s="604">
        <v>1.0960265024053955</v>
      </c>
      <c r="S12" s="31" t="s">
        <v>1134</v>
      </c>
      <c r="T12" s="171">
        <v>0</v>
      </c>
      <c r="U12" s="29">
        <v>1</v>
      </c>
      <c r="V12" s="604">
        <v>1.0960265024053955</v>
      </c>
      <c r="W12" s="31" t="s">
        <v>1134</v>
      </c>
      <c r="X12" s="171">
        <v>0</v>
      </c>
      <c r="Y12" s="29">
        <v>1</v>
      </c>
      <c r="Z12" s="604">
        <v>1.0960265024053955</v>
      </c>
      <c r="AA12" s="31" t="s">
        <v>1134</v>
      </c>
      <c r="AB12" s="31"/>
    </row>
    <row r="13" spans="1:29" ht="24">
      <c r="A13" s="2" t="s">
        <v>866</v>
      </c>
      <c r="B13" s="168"/>
      <c r="C13" s="169" t="s">
        <v>525</v>
      </c>
      <c r="D13" s="607">
        <v>5</v>
      </c>
      <c r="E13" s="10" t="s">
        <v>402</v>
      </c>
      <c r="F13" s="144" t="s">
        <v>1133</v>
      </c>
      <c r="G13" s="125" t="s">
        <v>465</v>
      </c>
      <c r="H13" s="164" t="s">
        <v>402</v>
      </c>
      <c r="I13" s="123" t="s">
        <v>402</v>
      </c>
      <c r="J13" s="124">
        <v>0</v>
      </c>
      <c r="K13" s="125" t="s">
        <v>678</v>
      </c>
      <c r="L13" s="171">
        <v>0</v>
      </c>
      <c r="M13" s="29">
        <v>1</v>
      </c>
      <c r="N13" s="604">
        <v>1.0960265024053955</v>
      </c>
      <c r="O13" s="31" t="s">
        <v>1134</v>
      </c>
      <c r="P13" s="171">
        <v>0</v>
      </c>
      <c r="Q13" s="29">
        <v>1</v>
      </c>
      <c r="R13" s="604">
        <v>1.0960265024053955</v>
      </c>
      <c r="S13" s="31" t="s">
        <v>1134</v>
      </c>
      <c r="T13" s="171">
        <v>11</v>
      </c>
      <c r="U13" s="29">
        <v>1</v>
      </c>
      <c r="V13" s="604">
        <v>1.0960265024053955</v>
      </c>
      <c r="W13" s="31" t="s">
        <v>1134</v>
      </c>
      <c r="X13" s="171">
        <v>0</v>
      </c>
      <c r="Y13" s="29">
        <v>1</v>
      </c>
      <c r="Z13" s="604">
        <v>1.0960265024053955</v>
      </c>
      <c r="AA13" s="31" t="s">
        <v>1134</v>
      </c>
      <c r="AB13" s="31"/>
    </row>
    <row r="14" spans="1:29" ht="24">
      <c r="A14" s="2" t="s">
        <v>867</v>
      </c>
      <c r="B14" s="168"/>
      <c r="C14" s="169" t="s">
        <v>525</v>
      </c>
      <c r="D14" s="607">
        <v>5</v>
      </c>
      <c r="E14" s="10" t="s">
        <v>402</v>
      </c>
      <c r="F14" s="144" t="s">
        <v>1133</v>
      </c>
      <c r="G14" s="125" t="s">
        <v>497</v>
      </c>
      <c r="H14" s="164" t="s">
        <v>402</v>
      </c>
      <c r="I14" s="123" t="s">
        <v>402</v>
      </c>
      <c r="J14" s="124">
        <v>0</v>
      </c>
      <c r="K14" s="125" t="s">
        <v>678</v>
      </c>
      <c r="L14" s="171">
        <v>0</v>
      </c>
      <c r="M14" s="29">
        <v>1</v>
      </c>
      <c r="N14" s="604">
        <v>1.0960265024053955</v>
      </c>
      <c r="O14" s="31" t="s">
        <v>1134</v>
      </c>
      <c r="P14" s="171">
        <v>0</v>
      </c>
      <c r="Q14" s="29">
        <v>1</v>
      </c>
      <c r="R14" s="604">
        <v>1.0960265024053955</v>
      </c>
      <c r="S14" s="31" t="s">
        <v>1134</v>
      </c>
      <c r="T14" s="171">
        <v>0</v>
      </c>
      <c r="U14" s="29">
        <v>1</v>
      </c>
      <c r="V14" s="604">
        <v>1.0960265024053955</v>
      </c>
      <c r="W14" s="31" t="s">
        <v>1134</v>
      </c>
      <c r="X14" s="171">
        <v>11</v>
      </c>
      <c r="Y14" s="29">
        <v>1</v>
      </c>
      <c r="Z14" s="604">
        <v>1.0960265024053955</v>
      </c>
      <c r="AA14" s="31" t="s">
        <v>1134</v>
      </c>
      <c r="AB14" s="31"/>
    </row>
    <row r="15" spans="1:29" ht="12.75">
      <c r="A15" s="2">
        <v>1169</v>
      </c>
      <c r="B15" s="168"/>
      <c r="C15" s="169" t="s">
        <v>525</v>
      </c>
      <c r="D15" s="607">
        <v>5</v>
      </c>
      <c r="E15" s="10" t="s">
        <v>402</v>
      </c>
      <c r="F15" s="144" t="s">
        <v>1135</v>
      </c>
      <c r="G15" s="125" t="s">
        <v>521</v>
      </c>
      <c r="H15" s="164" t="s">
        <v>402</v>
      </c>
      <c r="I15" s="123" t="s">
        <v>402</v>
      </c>
      <c r="J15" s="124">
        <v>0</v>
      </c>
      <c r="K15" s="125" t="s">
        <v>409</v>
      </c>
      <c r="L15" s="171">
        <v>3.2530120481927714E-3</v>
      </c>
      <c r="M15" s="29">
        <v>1</v>
      </c>
      <c r="N15" s="604">
        <v>1.0960265024053955</v>
      </c>
      <c r="O15" s="31" t="s">
        <v>1136</v>
      </c>
      <c r="P15" s="171">
        <v>3.2530120481927714E-3</v>
      </c>
      <c r="Q15" s="29">
        <v>1</v>
      </c>
      <c r="R15" s="604">
        <v>1.0960265024053955</v>
      </c>
      <c r="S15" s="31" t="s">
        <v>1136</v>
      </c>
      <c r="T15" s="171">
        <v>3.2530120481927714E-3</v>
      </c>
      <c r="U15" s="29">
        <v>1</v>
      </c>
      <c r="V15" s="604">
        <v>1.0960265024053955</v>
      </c>
      <c r="W15" s="31" t="s">
        <v>1136</v>
      </c>
      <c r="X15" s="171">
        <v>3.2530120481927714E-3</v>
      </c>
      <c r="Y15" s="29">
        <v>1</v>
      </c>
      <c r="Z15" s="604">
        <v>1.0960265024053955</v>
      </c>
      <c r="AA15" s="31" t="s">
        <v>1136</v>
      </c>
      <c r="AB15" s="31"/>
    </row>
    <row r="16" spans="1:29" ht="12.75">
      <c r="A16" s="2">
        <v>2410</v>
      </c>
      <c r="B16" s="168" t="s">
        <v>525</v>
      </c>
      <c r="C16" s="169" t="s">
        <v>525</v>
      </c>
      <c r="D16" s="607">
        <v>5</v>
      </c>
      <c r="E16" s="10" t="s">
        <v>402</v>
      </c>
      <c r="F16" s="144" t="s">
        <v>1137</v>
      </c>
      <c r="G16" s="125" t="s">
        <v>521</v>
      </c>
      <c r="H16" s="164" t="s">
        <v>402</v>
      </c>
      <c r="I16" s="123" t="s">
        <v>402</v>
      </c>
      <c r="J16" s="124">
        <v>0</v>
      </c>
      <c r="K16" s="125" t="s">
        <v>677</v>
      </c>
      <c r="L16" s="171">
        <v>23.12</v>
      </c>
      <c r="M16" s="29">
        <v>1</v>
      </c>
      <c r="N16" s="604">
        <v>1.0960265024053955</v>
      </c>
      <c r="O16" s="31" t="s">
        <v>1138</v>
      </c>
      <c r="P16" s="171">
        <v>23.12</v>
      </c>
      <c r="Q16" s="29">
        <v>1</v>
      </c>
      <c r="R16" s="604">
        <v>1.0960265024053955</v>
      </c>
      <c r="S16" s="31" t="s">
        <v>1138</v>
      </c>
      <c r="T16" s="171">
        <v>23.12</v>
      </c>
      <c r="U16" s="29">
        <v>1</v>
      </c>
      <c r="V16" s="604">
        <v>1.0960265024053955</v>
      </c>
      <c r="W16" s="31" t="s">
        <v>1138</v>
      </c>
      <c r="X16" s="171">
        <v>23.12</v>
      </c>
      <c r="Y16" s="29">
        <v>1</v>
      </c>
      <c r="Z16" s="604">
        <v>1.0960265024053955</v>
      </c>
      <c r="AA16" s="31" t="s">
        <v>1138</v>
      </c>
      <c r="AB16" s="31"/>
    </row>
    <row r="17" spans="1:28" ht="12.75">
      <c r="A17" s="226">
        <v>4225</v>
      </c>
      <c r="B17" s="168" t="s">
        <v>525</v>
      </c>
      <c r="C17" s="169" t="s">
        <v>525</v>
      </c>
      <c r="D17" s="607">
        <v>5</v>
      </c>
      <c r="E17" s="10" t="s">
        <v>402</v>
      </c>
      <c r="F17" s="144" t="s">
        <v>1139</v>
      </c>
      <c r="G17" s="125" t="s">
        <v>521</v>
      </c>
      <c r="H17" s="164" t="s">
        <v>402</v>
      </c>
      <c r="I17" s="123" t="s">
        <v>402</v>
      </c>
      <c r="J17" s="124">
        <v>0</v>
      </c>
      <c r="K17" s="125" t="s">
        <v>395</v>
      </c>
      <c r="L17" s="171">
        <v>0.1</v>
      </c>
      <c r="M17" s="29">
        <v>1</v>
      </c>
      <c r="N17" s="604">
        <v>1.0960265024053955</v>
      </c>
      <c r="O17" s="31" t="s">
        <v>1140</v>
      </c>
      <c r="P17" s="171">
        <v>0.1</v>
      </c>
      <c r="Q17" s="29">
        <v>1</v>
      </c>
      <c r="R17" s="604">
        <v>1.0960265024053955</v>
      </c>
      <c r="S17" s="31" t="s">
        <v>1140</v>
      </c>
      <c r="T17" s="171">
        <v>0.1</v>
      </c>
      <c r="U17" s="29">
        <v>1</v>
      </c>
      <c r="V17" s="604">
        <v>1.0960265024053955</v>
      </c>
      <c r="W17" s="31" t="s">
        <v>1140</v>
      </c>
      <c r="X17" s="171">
        <v>0.1</v>
      </c>
      <c r="Y17" s="29">
        <v>1</v>
      </c>
      <c r="Z17" s="604">
        <v>1.0960265024053955</v>
      </c>
      <c r="AA17" s="31" t="s">
        <v>1140</v>
      </c>
      <c r="AB17" s="31"/>
    </row>
    <row r="18" spans="1:28" ht="12.75">
      <c r="A18" s="36">
        <v>113</v>
      </c>
      <c r="B18" s="168" t="s">
        <v>525</v>
      </c>
      <c r="C18" s="169" t="s">
        <v>525</v>
      </c>
      <c r="D18" s="607">
        <v>5</v>
      </c>
      <c r="E18" s="10" t="s">
        <v>402</v>
      </c>
      <c r="F18" s="144" t="s">
        <v>1141</v>
      </c>
      <c r="G18" s="125" t="s">
        <v>51</v>
      </c>
      <c r="H18" s="164" t="s">
        <v>402</v>
      </c>
      <c r="I18" s="123" t="s">
        <v>402</v>
      </c>
      <c r="J18" s="124">
        <v>0</v>
      </c>
      <c r="K18" s="125" t="s">
        <v>395</v>
      </c>
      <c r="L18" s="171">
        <v>0.17</v>
      </c>
      <c r="M18" s="29">
        <v>1</v>
      </c>
      <c r="N18" s="604">
        <v>1.0960265024053955</v>
      </c>
      <c r="O18" s="31" t="s">
        <v>1142</v>
      </c>
      <c r="P18" s="171">
        <v>0.17</v>
      </c>
      <c r="Q18" s="29">
        <v>1</v>
      </c>
      <c r="R18" s="604">
        <v>1.0960265024053955</v>
      </c>
      <c r="S18" s="31" t="s">
        <v>1142</v>
      </c>
      <c r="T18" s="171">
        <v>0.17</v>
      </c>
      <c r="U18" s="29">
        <v>1</v>
      </c>
      <c r="V18" s="604">
        <v>1.0960265024053955</v>
      </c>
      <c r="W18" s="31" t="s">
        <v>1142</v>
      </c>
      <c r="X18" s="171">
        <v>0.17</v>
      </c>
      <c r="Y18" s="29">
        <v>1</v>
      </c>
      <c r="Z18" s="604">
        <v>1.0960265024053955</v>
      </c>
      <c r="AA18" s="31" t="s">
        <v>1142</v>
      </c>
      <c r="AB18" s="31"/>
    </row>
    <row r="19" spans="1:28" ht="12.75">
      <c r="A19" s="157">
        <v>2889</v>
      </c>
      <c r="B19" s="168" t="s">
        <v>525</v>
      </c>
      <c r="C19" s="169" t="s">
        <v>525</v>
      </c>
      <c r="D19" s="607">
        <v>5</v>
      </c>
      <c r="E19" s="10" t="s">
        <v>402</v>
      </c>
      <c r="F19" s="144" t="s">
        <v>1143</v>
      </c>
      <c r="G19" s="125" t="s">
        <v>521</v>
      </c>
      <c r="H19" s="164" t="s">
        <v>402</v>
      </c>
      <c r="I19" s="123" t="s">
        <v>402</v>
      </c>
      <c r="J19" s="124">
        <v>0</v>
      </c>
      <c r="K19" s="125" t="s">
        <v>395</v>
      </c>
      <c r="L19" s="171">
        <v>0.5</v>
      </c>
      <c r="M19" s="29">
        <v>1</v>
      </c>
      <c r="N19" s="604">
        <v>1.0960265024053955</v>
      </c>
      <c r="O19" s="31" t="s">
        <v>1142</v>
      </c>
      <c r="P19" s="171">
        <v>0.5</v>
      </c>
      <c r="Q19" s="29">
        <v>1</v>
      </c>
      <c r="R19" s="604">
        <v>1.0960265024053955</v>
      </c>
      <c r="S19" s="31" t="s">
        <v>1142</v>
      </c>
      <c r="T19" s="171">
        <v>0.5</v>
      </c>
      <c r="U19" s="29">
        <v>1</v>
      </c>
      <c r="V19" s="604">
        <v>1.0960265024053955</v>
      </c>
      <c r="W19" s="31" t="s">
        <v>1142</v>
      </c>
      <c r="X19" s="171">
        <v>0.5</v>
      </c>
      <c r="Y19" s="29">
        <v>1</v>
      </c>
      <c r="Z19" s="604">
        <v>1.0960265024053955</v>
      </c>
      <c r="AA19" s="31" t="s">
        <v>1142</v>
      </c>
      <c r="AB19" s="31"/>
    </row>
    <row r="20" spans="1:28" ht="12.75">
      <c r="A20" s="2">
        <v>1103</v>
      </c>
      <c r="B20" s="168"/>
      <c r="C20" s="169" t="s">
        <v>525</v>
      </c>
      <c r="D20" s="607">
        <v>5</v>
      </c>
      <c r="E20" s="10" t="s">
        <v>402</v>
      </c>
      <c r="F20" s="144" t="s">
        <v>1083</v>
      </c>
      <c r="G20" s="125" t="s">
        <v>268</v>
      </c>
      <c r="H20" s="164" t="s">
        <v>402</v>
      </c>
      <c r="I20" s="123" t="s">
        <v>402</v>
      </c>
      <c r="J20" s="124">
        <v>0</v>
      </c>
      <c r="K20" s="125" t="s">
        <v>395</v>
      </c>
      <c r="L20" s="171">
        <v>2.7</v>
      </c>
      <c r="M20" s="29">
        <v>1</v>
      </c>
      <c r="N20" s="604">
        <v>1.0960265024053955</v>
      </c>
      <c r="O20" s="31" t="s">
        <v>1142</v>
      </c>
      <c r="P20" s="171">
        <v>2.7</v>
      </c>
      <c r="Q20" s="29">
        <v>1</v>
      </c>
      <c r="R20" s="604">
        <v>1.0960265024053955</v>
      </c>
      <c r="S20" s="31" t="s">
        <v>1142</v>
      </c>
      <c r="T20" s="171">
        <v>2.7</v>
      </c>
      <c r="U20" s="29">
        <v>1</v>
      </c>
      <c r="V20" s="604">
        <v>1.0960265024053955</v>
      </c>
      <c r="W20" s="31" t="s">
        <v>1142</v>
      </c>
      <c r="X20" s="171">
        <v>2.7</v>
      </c>
      <c r="Y20" s="29">
        <v>1</v>
      </c>
      <c r="Z20" s="604">
        <v>1.0960265024053955</v>
      </c>
      <c r="AA20" s="31" t="s">
        <v>1142</v>
      </c>
      <c r="AB20" s="31"/>
    </row>
    <row r="21" spans="1:28" ht="12.75">
      <c r="A21" s="36">
        <v>1306</v>
      </c>
      <c r="B21" s="168" t="s">
        <v>525</v>
      </c>
      <c r="C21" s="169" t="s">
        <v>525</v>
      </c>
      <c r="D21" s="607">
        <v>5</v>
      </c>
      <c r="E21" s="10" t="s">
        <v>402</v>
      </c>
      <c r="F21" s="144" t="s">
        <v>1112</v>
      </c>
      <c r="G21" s="125" t="s">
        <v>521</v>
      </c>
      <c r="H21" s="164" t="s">
        <v>402</v>
      </c>
      <c r="I21" s="123" t="s">
        <v>402</v>
      </c>
      <c r="J21" s="124">
        <v>0</v>
      </c>
      <c r="K21" s="125" t="s">
        <v>395</v>
      </c>
      <c r="L21" s="171">
        <v>0.02</v>
      </c>
      <c r="M21" s="29">
        <v>1</v>
      </c>
      <c r="N21" s="604">
        <v>1.2859877072397368</v>
      </c>
      <c r="O21" s="31" t="s">
        <v>1144</v>
      </c>
      <c r="P21" s="171">
        <v>0.02</v>
      </c>
      <c r="Q21" s="29">
        <v>1</v>
      </c>
      <c r="R21" s="604">
        <v>1.2859877072397368</v>
      </c>
      <c r="S21" s="31" t="s">
        <v>1144</v>
      </c>
      <c r="T21" s="171">
        <v>0.02</v>
      </c>
      <c r="U21" s="29">
        <v>1</v>
      </c>
      <c r="V21" s="604">
        <v>1.2859877072397368</v>
      </c>
      <c r="W21" s="31" t="s">
        <v>1144</v>
      </c>
      <c r="X21" s="171">
        <v>0.02</v>
      </c>
      <c r="Y21" s="29">
        <v>1</v>
      </c>
      <c r="Z21" s="604">
        <v>1.2859877072397368</v>
      </c>
      <c r="AA21" s="31" t="s">
        <v>1144</v>
      </c>
      <c r="AB21" s="31"/>
    </row>
    <row r="22" spans="1:28" ht="36">
      <c r="A22" s="122">
        <v>4833</v>
      </c>
      <c r="B22" s="168" t="s">
        <v>525</v>
      </c>
      <c r="C22" s="169" t="s">
        <v>525</v>
      </c>
      <c r="D22" s="607">
        <v>5</v>
      </c>
      <c r="E22" s="10" t="s">
        <v>402</v>
      </c>
      <c r="F22" s="144" t="s">
        <v>1146</v>
      </c>
      <c r="G22" s="125" t="s">
        <v>393</v>
      </c>
      <c r="H22" s="164" t="s">
        <v>402</v>
      </c>
      <c r="I22" s="123" t="s">
        <v>402</v>
      </c>
      <c r="J22" s="124">
        <v>0</v>
      </c>
      <c r="K22" s="125" t="s">
        <v>395</v>
      </c>
      <c r="L22" s="171">
        <v>2.5000000000000001E-2</v>
      </c>
      <c r="M22" s="29">
        <v>1</v>
      </c>
      <c r="N22" s="604">
        <v>1.0960265024053955</v>
      </c>
      <c r="O22" s="31" t="s">
        <v>1142</v>
      </c>
      <c r="P22" s="171">
        <v>2.5000000000000001E-2</v>
      </c>
      <c r="Q22" s="29">
        <v>1</v>
      </c>
      <c r="R22" s="604">
        <v>1.0960265024053955</v>
      </c>
      <c r="S22" s="31" t="s">
        <v>1142</v>
      </c>
      <c r="T22" s="171">
        <v>2.5000000000000001E-2</v>
      </c>
      <c r="U22" s="29">
        <v>1</v>
      </c>
      <c r="V22" s="604">
        <v>1.0960265024053955</v>
      </c>
      <c r="W22" s="31" t="s">
        <v>1142</v>
      </c>
      <c r="X22" s="171">
        <v>2.5000000000000001E-2</v>
      </c>
      <c r="Y22" s="29">
        <v>1</v>
      </c>
      <c r="Z22" s="604">
        <v>1.0960265024053955</v>
      </c>
      <c r="AA22" s="31" t="s">
        <v>1142</v>
      </c>
      <c r="AB22" s="31"/>
    </row>
    <row r="23" spans="1:28" ht="12.75">
      <c r="A23" s="172">
        <v>3820</v>
      </c>
      <c r="B23" s="168" t="s">
        <v>525</v>
      </c>
      <c r="C23" s="169" t="s">
        <v>525</v>
      </c>
      <c r="D23" s="607">
        <v>5</v>
      </c>
      <c r="E23" s="10" t="s">
        <v>402</v>
      </c>
      <c r="F23" s="144" t="s">
        <v>1147</v>
      </c>
      <c r="G23" s="125" t="s">
        <v>521</v>
      </c>
      <c r="H23" s="164" t="s">
        <v>402</v>
      </c>
      <c r="I23" s="123" t="s">
        <v>402</v>
      </c>
      <c r="J23" s="124">
        <v>1</v>
      </c>
      <c r="K23" s="125" t="s">
        <v>522</v>
      </c>
      <c r="L23" s="171">
        <v>1.0000000000000001E-11</v>
      </c>
      <c r="M23" s="29">
        <v>1</v>
      </c>
      <c r="N23" s="604">
        <v>3.0504043714522471</v>
      </c>
      <c r="O23" s="31" t="s">
        <v>1148</v>
      </c>
      <c r="P23" s="171">
        <v>1.0000000000000001E-11</v>
      </c>
      <c r="Q23" s="29">
        <v>1</v>
      </c>
      <c r="R23" s="604">
        <v>3.0504043714522471</v>
      </c>
      <c r="S23" s="31" t="s">
        <v>1148</v>
      </c>
      <c r="T23" s="171">
        <v>1.0000000000000001E-11</v>
      </c>
      <c r="U23" s="29">
        <v>1</v>
      </c>
      <c r="V23" s="604">
        <v>3.0504043714522471</v>
      </c>
      <c r="W23" s="31" t="s">
        <v>1148</v>
      </c>
      <c r="X23" s="171">
        <v>1.0000000000000001E-11</v>
      </c>
      <c r="Y23" s="29">
        <v>1</v>
      </c>
      <c r="Z23" s="604">
        <v>3.0504043714522471</v>
      </c>
      <c r="AA23" s="31" t="s">
        <v>1148</v>
      </c>
      <c r="AB23" s="31"/>
    </row>
    <row r="24" spans="1:28" ht="24">
      <c r="A24" s="2">
        <v>1824</v>
      </c>
      <c r="B24" s="168" t="s">
        <v>525</v>
      </c>
      <c r="C24" s="169" t="s">
        <v>525</v>
      </c>
      <c r="D24" s="607">
        <v>5</v>
      </c>
      <c r="E24" s="10" t="s">
        <v>402</v>
      </c>
      <c r="F24" s="144" t="s">
        <v>85</v>
      </c>
      <c r="G24" s="125" t="s">
        <v>86</v>
      </c>
      <c r="H24" s="164" t="s">
        <v>402</v>
      </c>
      <c r="I24" s="123" t="s">
        <v>402</v>
      </c>
      <c r="J24" s="124">
        <v>0</v>
      </c>
      <c r="K24" s="125" t="s">
        <v>397</v>
      </c>
      <c r="L24" s="171">
        <v>2.5500000000000003</v>
      </c>
      <c r="M24" s="29">
        <v>1</v>
      </c>
      <c r="N24" s="604">
        <v>2.0949941301068096</v>
      </c>
      <c r="O24" s="31" t="s">
        <v>1149</v>
      </c>
      <c r="P24" s="171">
        <v>2.5500000000000003</v>
      </c>
      <c r="Q24" s="29">
        <v>1</v>
      </c>
      <c r="R24" s="604">
        <v>2.0949941301068096</v>
      </c>
      <c r="S24" s="31" t="s">
        <v>1149</v>
      </c>
      <c r="T24" s="171">
        <v>2.5500000000000003</v>
      </c>
      <c r="U24" s="29">
        <v>1</v>
      </c>
      <c r="V24" s="604">
        <v>2.0949941301068096</v>
      </c>
      <c r="W24" s="31" t="s">
        <v>1149</v>
      </c>
      <c r="X24" s="171">
        <v>2.5500000000000003</v>
      </c>
      <c r="Y24" s="29">
        <v>1</v>
      </c>
      <c r="Z24" s="604">
        <v>2.0949941301068096</v>
      </c>
      <c r="AA24" s="31" t="s">
        <v>1149</v>
      </c>
      <c r="AB24" s="31"/>
    </row>
    <row r="25" spans="1:28" ht="24">
      <c r="A25" s="157">
        <v>2987</v>
      </c>
      <c r="B25" s="168" t="s">
        <v>525</v>
      </c>
      <c r="C25" s="169" t="s">
        <v>525</v>
      </c>
      <c r="D25" s="607">
        <v>5</v>
      </c>
      <c r="E25" s="10" t="s">
        <v>402</v>
      </c>
      <c r="F25" s="144" t="s">
        <v>59</v>
      </c>
      <c r="G25" s="125" t="s">
        <v>521</v>
      </c>
      <c r="H25" s="164" t="s">
        <v>402</v>
      </c>
      <c r="I25" s="123" t="s">
        <v>402</v>
      </c>
      <c r="J25" s="124">
        <v>0</v>
      </c>
      <c r="K25" s="125" t="s">
        <v>397</v>
      </c>
      <c r="L25" s="171">
        <v>0.15598698795180727</v>
      </c>
      <c r="M25" s="29">
        <v>1</v>
      </c>
      <c r="N25" s="604">
        <v>2.0949941301068096</v>
      </c>
      <c r="O25" s="31" t="s">
        <v>1150</v>
      </c>
      <c r="P25" s="171">
        <v>0.15598698795180727</v>
      </c>
      <c r="Q25" s="29">
        <v>1</v>
      </c>
      <c r="R25" s="604">
        <v>2.0949941301068096</v>
      </c>
      <c r="S25" s="31" t="s">
        <v>1150</v>
      </c>
      <c r="T25" s="171">
        <v>0.15598698795180727</v>
      </c>
      <c r="U25" s="29">
        <v>1</v>
      </c>
      <c r="V25" s="604">
        <v>2.0949941301068096</v>
      </c>
      <c r="W25" s="31" t="s">
        <v>1150</v>
      </c>
      <c r="X25" s="171">
        <v>0.15598698795180727</v>
      </c>
      <c r="Y25" s="29">
        <v>1</v>
      </c>
      <c r="Z25" s="604">
        <v>2.0949941301068096</v>
      </c>
      <c r="AA25" s="31" t="s">
        <v>1150</v>
      </c>
      <c r="AB25" s="31"/>
    </row>
    <row r="26" spans="1:28" ht="12.75">
      <c r="A26" s="157">
        <v>1841</v>
      </c>
      <c r="B26" s="168" t="s">
        <v>525</v>
      </c>
      <c r="C26" s="169" t="s">
        <v>525</v>
      </c>
      <c r="D26" s="607">
        <v>5</v>
      </c>
      <c r="E26" s="10" t="s">
        <v>402</v>
      </c>
      <c r="F26" s="144" t="s">
        <v>62</v>
      </c>
      <c r="G26" s="125" t="s">
        <v>521</v>
      </c>
      <c r="H26" s="164" t="s">
        <v>402</v>
      </c>
      <c r="I26" s="123" t="s">
        <v>402</v>
      </c>
      <c r="J26" s="124">
        <v>0</v>
      </c>
      <c r="K26" s="125" t="s">
        <v>397</v>
      </c>
      <c r="L26" s="171">
        <v>6.9000000000000006E-2</v>
      </c>
      <c r="M26" s="29">
        <v>1</v>
      </c>
      <c r="N26" s="604">
        <v>2.0949941301068096</v>
      </c>
      <c r="O26" s="31" t="s">
        <v>1151</v>
      </c>
      <c r="P26" s="171">
        <v>6.9000000000000006E-2</v>
      </c>
      <c r="Q26" s="29">
        <v>1</v>
      </c>
      <c r="R26" s="604">
        <v>2.0949941301068096</v>
      </c>
      <c r="S26" s="31" t="s">
        <v>1151</v>
      </c>
      <c r="T26" s="171">
        <v>6.9000000000000006E-2</v>
      </c>
      <c r="U26" s="29">
        <v>1</v>
      </c>
      <c r="V26" s="604">
        <v>2.0949941301068096</v>
      </c>
      <c r="W26" s="31" t="s">
        <v>1151</v>
      </c>
      <c r="X26" s="171">
        <v>6.9000000000000006E-2</v>
      </c>
      <c r="Y26" s="29">
        <v>1</v>
      </c>
      <c r="Z26" s="604">
        <v>2.0949941301068096</v>
      </c>
      <c r="AA26" s="31" t="s">
        <v>1151</v>
      </c>
      <c r="AB26" s="31"/>
    </row>
    <row r="27" spans="1:28" ht="36">
      <c r="A27" s="36">
        <v>491</v>
      </c>
      <c r="B27" s="168" t="s">
        <v>579</v>
      </c>
      <c r="C27" s="169" t="s">
        <v>525</v>
      </c>
      <c r="D27" s="50" t="s">
        <v>402</v>
      </c>
      <c r="E27" s="632">
        <v>4</v>
      </c>
      <c r="F27" s="509" t="s">
        <v>324</v>
      </c>
      <c r="G27" s="510" t="s">
        <v>402</v>
      </c>
      <c r="H27" s="511" t="s">
        <v>325</v>
      </c>
      <c r="I27" s="511" t="s">
        <v>686</v>
      </c>
      <c r="J27" s="512" t="s">
        <v>402</v>
      </c>
      <c r="K27" s="510" t="s">
        <v>677</v>
      </c>
      <c r="L27" s="171">
        <v>71.267421686746999</v>
      </c>
      <c r="M27" s="29">
        <v>1</v>
      </c>
      <c r="N27" s="604">
        <v>1.0960265024053955</v>
      </c>
      <c r="O27" s="31" t="s">
        <v>1152</v>
      </c>
      <c r="P27" s="171">
        <v>71.267421686746999</v>
      </c>
      <c r="Q27" s="29">
        <v>1</v>
      </c>
      <c r="R27" s="604">
        <v>1.0960265024053955</v>
      </c>
      <c r="S27" s="31" t="s">
        <v>1152</v>
      </c>
      <c r="T27" s="171">
        <v>71.267421686746999</v>
      </c>
      <c r="U27" s="29">
        <v>1</v>
      </c>
      <c r="V27" s="604">
        <v>1.0960265024053955</v>
      </c>
      <c r="W27" s="31" t="s">
        <v>1152</v>
      </c>
      <c r="X27" s="171">
        <v>71.267421686746999</v>
      </c>
      <c r="Y27" s="29">
        <v>1</v>
      </c>
      <c r="Z27" s="604">
        <v>1.0960265024053955</v>
      </c>
      <c r="AA27" s="31" t="s">
        <v>1152</v>
      </c>
      <c r="AB27" s="31"/>
    </row>
    <row r="28" spans="1:28">
      <c r="A28" s="36">
        <v>95</v>
      </c>
      <c r="B28" s="168" t="s">
        <v>525</v>
      </c>
      <c r="C28" s="169" t="s">
        <v>525</v>
      </c>
      <c r="D28" s="50" t="s">
        <v>402</v>
      </c>
      <c r="E28" s="632">
        <v>4</v>
      </c>
      <c r="F28" s="509" t="s">
        <v>971</v>
      </c>
      <c r="G28" s="510" t="s">
        <v>402</v>
      </c>
      <c r="H28" s="511" t="s">
        <v>325</v>
      </c>
      <c r="I28" s="511" t="s">
        <v>686</v>
      </c>
      <c r="J28" s="512" t="s">
        <v>402</v>
      </c>
      <c r="K28" s="510" t="s">
        <v>395</v>
      </c>
      <c r="L28" s="171">
        <v>9.4222824809924688E-9</v>
      </c>
      <c r="M28" s="29">
        <v>1</v>
      </c>
      <c r="N28" s="604">
        <v>5.0949158853185388</v>
      </c>
      <c r="O28" s="31" t="s">
        <v>1153</v>
      </c>
      <c r="P28" s="171">
        <v>9.4222824809924688E-9</v>
      </c>
      <c r="Q28" s="29">
        <v>1</v>
      </c>
      <c r="R28" s="604">
        <v>5.0949158853185388</v>
      </c>
      <c r="S28" s="31" t="s">
        <v>1153</v>
      </c>
      <c r="T28" s="171">
        <v>9.4222824809924688E-9</v>
      </c>
      <c r="U28" s="29">
        <v>1</v>
      </c>
      <c r="V28" s="604">
        <v>5.0949158853185388</v>
      </c>
      <c r="W28" s="31" t="s">
        <v>1153</v>
      </c>
      <c r="X28" s="171">
        <v>9.4222824809924688E-9</v>
      </c>
      <c r="Y28" s="29">
        <v>1</v>
      </c>
      <c r="Z28" s="604">
        <v>5.0949158853185388</v>
      </c>
      <c r="AA28" s="31" t="s">
        <v>1153</v>
      </c>
      <c r="AB28" s="31"/>
    </row>
    <row r="29" spans="1:28">
      <c r="A29" s="215">
        <v>50</v>
      </c>
      <c r="B29" s="168" t="s">
        <v>525</v>
      </c>
      <c r="C29" s="169" t="s">
        <v>525</v>
      </c>
      <c r="D29" s="50" t="s">
        <v>402</v>
      </c>
      <c r="E29" s="632">
        <v>4</v>
      </c>
      <c r="F29" s="509" t="s">
        <v>968</v>
      </c>
      <c r="G29" s="510" t="s">
        <v>402</v>
      </c>
      <c r="H29" s="511" t="s">
        <v>325</v>
      </c>
      <c r="I29" s="511" t="s">
        <v>1154</v>
      </c>
      <c r="J29" s="512" t="s">
        <v>402</v>
      </c>
      <c r="K29" s="510" t="s">
        <v>395</v>
      </c>
      <c r="L29" s="171">
        <v>1.5507506583300108E-6</v>
      </c>
      <c r="M29" s="29">
        <v>1</v>
      </c>
      <c r="N29" s="604">
        <v>5.0949158853185388</v>
      </c>
      <c r="O29" s="31" t="s">
        <v>1153</v>
      </c>
      <c r="P29" s="171">
        <v>1.5507506583300108E-6</v>
      </c>
      <c r="Q29" s="29">
        <v>1</v>
      </c>
      <c r="R29" s="604">
        <v>5.0949158853185388</v>
      </c>
      <c r="S29" s="31" t="s">
        <v>1153</v>
      </c>
      <c r="T29" s="171">
        <v>1.5507506583300108E-6</v>
      </c>
      <c r="U29" s="29">
        <v>1</v>
      </c>
      <c r="V29" s="604">
        <v>5.0949158853185388</v>
      </c>
      <c r="W29" s="31" t="s">
        <v>1153</v>
      </c>
      <c r="X29" s="171">
        <v>1.5507506583300108E-6</v>
      </c>
      <c r="Y29" s="29">
        <v>1</v>
      </c>
      <c r="Z29" s="604">
        <v>5.0949158853185388</v>
      </c>
      <c r="AA29" s="31" t="s">
        <v>1153</v>
      </c>
      <c r="AB29" s="31"/>
    </row>
    <row r="30" spans="1:28">
      <c r="A30" s="36">
        <v>71</v>
      </c>
      <c r="B30" s="168" t="s">
        <v>525</v>
      </c>
      <c r="C30" s="169" t="s">
        <v>525</v>
      </c>
      <c r="D30" s="50" t="s">
        <v>402</v>
      </c>
      <c r="E30" s="632">
        <v>4</v>
      </c>
      <c r="F30" s="509" t="s">
        <v>970</v>
      </c>
      <c r="G30" s="510" t="s">
        <v>402</v>
      </c>
      <c r="H30" s="511" t="s">
        <v>325</v>
      </c>
      <c r="I30" s="511" t="s">
        <v>686</v>
      </c>
      <c r="J30" s="512" t="s">
        <v>402</v>
      </c>
      <c r="K30" s="510" t="s">
        <v>395</v>
      </c>
      <c r="L30" s="171">
        <v>7.8519020674937259E-9</v>
      </c>
      <c r="M30" s="29">
        <v>1</v>
      </c>
      <c r="N30" s="604">
        <v>5.0949158853185388</v>
      </c>
      <c r="O30" s="31" t="s">
        <v>1153</v>
      </c>
      <c r="P30" s="171">
        <v>7.8519020674937259E-9</v>
      </c>
      <c r="Q30" s="29">
        <v>1</v>
      </c>
      <c r="R30" s="604">
        <v>5.0949158853185388</v>
      </c>
      <c r="S30" s="31" t="s">
        <v>1153</v>
      </c>
      <c r="T30" s="171">
        <v>7.8519020674937259E-9</v>
      </c>
      <c r="U30" s="29">
        <v>1</v>
      </c>
      <c r="V30" s="604">
        <v>5.0949158853185388</v>
      </c>
      <c r="W30" s="31" t="s">
        <v>1153</v>
      </c>
      <c r="X30" s="171">
        <v>7.8519020674937259E-9</v>
      </c>
      <c r="Y30" s="29">
        <v>1</v>
      </c>
      <c r="Z30" s="604">
        <v>5.0949158853185388</v>
      </c>
      <c r="AA30" s="31" t="s">
        <v>1153</v>
      </c>
      <c r="AB30" s="31"/>
    </row>
    <row r="31" spans="1:28">
      <c r="A31" s="214">
        <v>152</v>
      </c>
      <c r="B31" s="168" t="s">
        <v>525</v>
      </c>
      <c r="C31" s="169" t="s">
        <v>525</v>
      </c>
      <c r="D31" s="50" t="s">
        <v>402</v>
      </c>
      <c r="E31" s="632">
        <v>4</v>
      </c>
      <c r="F31" s="509" t="s">
        <v>972</v>
      </c>
      <c r="G31" s="510" t="s">
        <v>402</v>
      </c>
      <c r="H31" s="511" t="s">
        <v>325</v>
      </c>
      <c r="I31" s="511" t="s">
        <v>1154</v>
      </c>
      <c r="J31" s="512" t="s">
        <v>402</v>
      </c>
      <c r="K31" s="510" t="s">
        <v>395</v>
      </c>
      <c r="L31" s="171">
        <v>2.7913511849940191E-7</v>
      </c>
      <c r="M31" s="29">
        <v>1</v>
      </c>
      <c r="N31" s="604">
        <v>5.0949158853185388</v>
      </c>
      <c r="O31" s="31" t="s">
        <v>1153</v>
      </c>
      <c r="P31" s="171">
        <v>2.7913511849940191E-7</v>
      </c>
      <c r="Q31" s="29">
        <v>1</v>
      </c>
      <c r="R31" s="604">
        <v>5.0949158853185388</v>
      </c>
      <c r="S31" s="31" t="s">
        <v>1153</v>
      </c>
      <c r="T31" s="171">
        <v>2.7913511849940191E-7</v>
      </c>
      <c r="U31" s="29">
        <v>1</v>
      </c>
      <c r="V31" s="604">
        <v>5.0949158853185388</v>
      </c>
      <c r="W31" s="31" t="s">
        <v>1153</v>
      </c>
      <c r="X31" s="171">
        <v>2.7913511849940191E-7</v>
      </c>
      <c r="Y31" s="29">
        <v>1</v>
      </c>
      <c r="Z31" s="604">
        <v>5.0949158853185388</v>
      </c>
      <c r="AA31" s="31" t="s">
        <v>1153</v>
      </c>
      <c r="AB31" s="31"/>
    </row>
    <row r="32" spans="1:28">
      <c r="A32" s="36">
        <v>179</v>
      </c>
      <c r="B32" s="168" t="s">
        <v>525</v>
      </c>
      <c r="C32" s="169" t="s">
        <v>525</v>
      </c>
      <c r="D32" s="50" t="s">
        <v>402</v>
      </c>
      <c r="E32" s="632">
        <v>4</v>
      </c>
      <c r="F32" s="509" t="s">
        <v>973</v>
      </c>
      <c r="G32" s="510" t="s">
        <v>402</v>
      </c>
      <c r="H32" s="511" t="s">
        <v>325</v>
      </c>
      <c r="I32" s="511" t="s">
        <v>686</v>
      </c>
      <c r="J32" s="512" t="s">
        <v>402</v>
      </c>
      <c r="K32" s="510" t="s">
        <v>395</v>
      </c>
      <c r="L32" s="171">
        <v>3.1407608269974896E-10</v>
      </c>
      <c r="M32" s="29">
        <v>1</v>
      </c>
      <c r="N32" s="604">
        <v>5.0949158853185388</v>
      </c>
      <c r="O32" s="31" t="s">
        <v>1153</v>
      </c>
      <c r="P32" s="171">
        <v>3.1407608269974896E-10</v>
      </c>
      <c r="Q32" s="29">
        <v>1</v>
      </c>
      <c r="R32" s="604">
        <v>5.0949158853185388</v>
      </c>
      <c r="S32" s="31" t="s">
        <v>1153</v>
      </c>
      <c r="T32" s="171">
        <v>3.1407608269974896E-10</v>
      </c>
      <c r="U32" s="29">
        <v>1</v>
      </c>
      <c r="V32" s="604">
        <v>5.0949158853185388</v>
      </c>
      <c r="W32" s="31" t="s">
        <v>1153</v>
      </c>
      <c r="X32" s="171">
        <v>3.1407608269974896E-10</v>
      </c>
      <c r="Y32" s="29">
        <v>1</v>
      </c>
      <c r="Z32" s="604">
        <v>5.0949158853185388</v>
      </c>
      <c r="AA32" s="31" t="s">
        <v>1153</v>
      </c>
      <c r="AB32" s="31"/>
    </row>
    <row r="33" spans="1:28">
      <c r="A33" s="214">
        <v>182</v>
      </c>
      <c r="B33" s="168" t="s">
        <v>525</v>
      </c>
      <c r="C33" s="169" t="s">
        <v>525</v>
      </c>
      <c r="D33" s="50" t="s">
        <v>402</v>
      </c>
      <c r="E33" s="632">
        <v>4</v>
      </c>
      <c r="F33" s="509" t="s">
        <v>975</v>
      </c>
      <c r="G33" s="510" t="s">
        <v>402</v>
      </c>
      <c r="H33" s="511" t="s">
        <v>325</v>
      </c>
      <c r="I33" s="511" t="s">
        <v>1154</v>
      </c>
      <c r="J33" s="512" t="s">
        <v>402</v>
      </c>
      <c r="K33" s="510" t="s">
        <v>395</v>
      </c>
      <c r="L33" s="171">
        <v>7.753753291650054E-7</v>
      </c>
      <c r="M33" s="29">
        <v>1</v>
      </c>
      <c r="N33" s="604">
        <v>5.0949158853185388</v>
      </c>
      <c r="O33" s="31" t="s">
        <v>1153</v>
      </c>
      <c r="P33" s="171">
        <v>7.753753291650054E-7</v>
      </c>
      <c r="Q33" s="29">
        <v>1</v>
      </c>
      <c r="R33" s="604">
        <v>5.0949158853185388</v>
      </c>
      <c r="S33" s="31" t="s">
        <v>1153</v>
      </c>
      <c r="T33" s="171">
        <v>7.753753291650054E-7</v>
      </c>
      <c r="U33" s="29">
        <v>1</v>
      </c>
      <c r="V33" s="604">
        <v>5.0949158853185388</v>
      </c>
      <c r="W33" s="31" t="s">
        <v>1153</v>
      </c>
      <c r="X33" s="171">
        <v>7.753753291650054E-7</v>
      </c>
      <c r="Y33" s="29">
        <v>1</v>
      </c>
      <c r="Z33" s="604">
        <v>5.0949158853185388</v>
      </c>
      <c r="AA33" s="31" t="s">
        <v>1153</v>
      </c>
      <c r="AB33" s="31"/>
    </row>
    <row r="34" spans="1:28">
      <c r="A34" s="54">
        <v>202</v>
      </c>
      <c r="B34" s="168" t="s">
        <v>525</v>
      </c>
      <c r="C34" s="169" t="s">
        <v>525</v>
      </c>
      <c r="D34" s="50" t="s">
        <v>402</v>
      </c>
      <c r="E34" s="632">
        <v>4</v>
      </c>
      <c r="F34" s="509" t="s">
        <v>978</v>
      </c>
      <c r="G34" s="510" t="s">
        <v>402</v>
      </c>
      <c r="H34" s="511" t="s">
        <v>325</v>
      </c>
      <c r="I34" s="511" t="s">
        <v>685</v>
      </c>
      <c r="J34" s="512" t="s">
        <v>402</v>
      </c>
      <c r="K34" s="510" t="s">
        <v>395</v>
      </c>
      <c r="L34" s="171">
        <v>6.2026518470616404E-4</v>
      </c>
      <c r="M34" s="29">
        <v>1</v>
      </c>
      <c r="N34" s="604">
        <v>5.0949158853185388</v>
      </c>
      <c r="O34" s="31" t="s">
        <v>1144</v>
      </c>
      <c r="P34" s="171">
        <v>6.2026518470616404E-4</v>
      </c>
      <c r="Q34" s="29">
        <v>1</v>
      </c>
      <c r="R34" s="604">
        <v>5.0949158853185388</v>
      </c>
      <c r="S34" s="31" t="s">
        <v>1144</v>
      </c>
      <c r="T34" s="171">
        <v>6.2026518470616404E-4</v>
      </c>
      <c r="U34" s="29">
        <v>1</v>
      </c>
      <c r="V34" s="604">
        <v>5.0949158853185388</v>
      </c>
      <c r="W34" s="31" t="s">
        <v>1144</v>
      </c>
      <c r="X34" s="171">
        <v>6.2026518470616404E-4</v>
      </c>
      <c r="Y34" s="29">
        <v>1</v>
      </c>
      <c r="Z34" s="604">
        <v>5.0949158853185388</v>
      </c>
      <c r="AA34" s="31" t="s">
        <v>1144</v>
      </c>
      <c r="AB34" s="31"/>
    </row>
    <row r="35" spans="1:28">
      <c r="A35" s="116">
        <v>208</v>
      </c>
      <c r="B35" s="168" t="s">
        <v>525</v>
      </c>
      <c r="C35" s="169" t="s">
        <v>525</v>
      </c>
      <c r="D35" s="50" t="s">
        <v>402</v>
      </c>
      <c r="E35" s="632">
        <v>4</v>
      </c>
      <c r="F35" s="509" t="s">
        <v>979</v>
      </c>
      <c r="G35" s="510" t="s">
        <v>402</v>
      </c>
      <c r="H35" s="511" t="s">
        <v>325</v>
      </c>
      <c r="I35" s="511" t="s">
        <v>685</v>
      </c>
      <c r="J35" s="512" t="s">
        <v>402</v>
      </c>
      <c r="K35" s="510" t="s">
        <v>395</v>
      </c>
      <c r="L35" s="171">
        <v>1.3797348152938362E-3</v>
      </c>
      <c r="M35" s="29">
        <v>1</v>
      </c>
      <c r="N35" s="604">
        <v>5.0949158853185388</v>
      </c>
      <c r="O35" s="31" t="s">
        <v>1144</v>
      </c>
      <c r="P35" s="171">
        <v>1.3797348152938362E-3</v>
      </c>
      <c r="Q35" s="29">
        <v>1</v>
      </c>
      <c r="R35" s="604">
        <v>5.0949158853185388</v>
      </c>
      <c r="S35" s="31" t="s">
        <v>1144</v>
      </c>
      <c r="T35" s="171">
        <v>1.3797348152938362E-3</v>
      </c>
      <c r="U35" s="29">
        <v>1</v>
      </c>
      <c r="V35" s="604">
        <v>5.0949158853185388</v>
      </c>
      <c r="W35" s="31" t="s">
        <v>1144</v>
      </c>
      <c r="X35" s="171">
        <v>1.3797348152938362E-3</v>
      </c>
      <c r="Y35" s="29">
        <v>1</v>
      </c>
      <c r="Z35" s="604">
        <v>5.0949158853185388</v>
      </c>
      <c r="AA35" s="31" t="s">
        <v>1144</v>
      </c>
      <c r="AB35" s="31"/>
    </row>
    <row r="36" spans="1:28">
      <c r="A36" s="54">
        <v>190</v>
      </c>
      <c r="B36" s="168" t="s">
        <v>525</v>
      </c>
      <c r="C36" s="169" t="s">
        <v>525</v>
      </c>
      <c r="D36" s="50" t="s">
        <v>402</v>
      </c>
      <c r="E36" s="632">
        <v>4</v>
      </c>
      <c r="F36" s="509" t="s">
        <v>976</v>
      </c>
      <c r="G36" s="510" t="s">
        <v>402</v>
      </c>
      <c r="H36" s="511" t="s">
        <v>325</v>
      </c>
      <c r="I36" s="511" t="s">
        <v>685</v>
      </c>
      <c r="J36" s="512" t="s">
        <v>402</v>
      </c>
      <c r="K36" s="510" t="s">
        <v>395</v>
      </c>
      <c r="L36" s="171">
        <v>1.6097626506024096</v>
      </c>
      <c r="M36" s="29">
        <v>1</v>
      </c>
      <c r="N36" s="604">
        <v>1.0960265024053955</v>
      </c>
      <c r="O36" s="31" t="s">
        <v>1155</v>
      </c>
      <c r="P36" s="171">
        <v>1.6097626506024096</v>
      </c>
      <c r="Q36" s="29">
        <v>1</v>
      </c>
      <c r="R36" s="604">
        <v>1.0960265024053955</v>
      </c>
      <c r="S36" s="31" t="s">
        <v>1155</v>
      </c>
      <c r="T36" s="171">
        <v>1.6097626506024096</v>
      </c>
      <c r="U36" s="29">
        <v>1</v>
      </c>
      <c r="V36" s="604">
        <v>1.0960265024053955</v>
      </c>
      <c r="W36" s="31" t="s">
        <v>1155</v>
      </c>
      <c r="X36" s="171">
        <v>1.6097626506024096</v>
      </c>
      <c r="Y36" s="29">
        <v>1</v>
      </c>
      <c r="Z36" s="604">
        <v>1.0960265024053955</v>
      </c>
      <c r="AA36" s="31" t="s">
        <v>1155</v>
      </c>
      <c r="AB36" s="31"/>
    </row>
    <row r="37" spans="1:28">
      <c r="A37" s="116">
        <v>196</v>
      </c>
      <c r="B37" s="168" t="s">
        <v>525</v>
      </c>
      <c r="C37" s="169" t="s">
        <v>525</v>
      </c>
      <c r="D37" s="50" t="s">
        <v>402</v>
      </c>
      <c r="E37" s="632">
        <v>4</v>
      </c>
      <c r="F37" s="509" t="s">
        <v>977</v>
      </c>
      <c r="G37" s="510" t="s">
        <v>402</v>
      </c>
      <c r="H37" s="511" t="s">
        <v>325</v>
      </c>
      <c r="I37" s="511" t="s">
        <v>685</v>
      </c>
      <c r="J37" s="512" t="s">
        <v>402</v>
      </c>
      <c r="K37" s="510" t="s">
        <v>395</v>
      </c>
      <c r="L37" s="171">
        <v>3.5808</v>
      </c>
      <c r="M37" s="29">
        <v>1</v>
      </c>
      <c r="N37" s="604">
        <v>1.0960265024053955</v>
      </c>
      <c r="O37" s="31" t="s">
        <v>1156</v>
      </c>
      <c r="P37" s="171">
        <v>3.5808</v>
      </c>
      <c r="Q37" s="29">
        <v>1</v>
      </c>
      <c r="R37" s="604">
        <v>1.0960265024053955</v>
      </c>
      <c r="S37" s="31" t="s">
        <v>1156</v>
      </c>
      <c r="T37" s="171">
        <v>3.5808</v>
      </c>
      <c r="U37" s="29">
        <v>1</v>
      </c>
      <c r="V37" s="604">
        <v>1.0960265024053955</v>
      </c>
      <c r="W37" s="31" t="s">
        <v>1156</v>
      </c>
      <c r="X37" s="171">
        <v>3.5808</v>
      </c>
      <c r="Y37" s="29">
        <v>1</v>
      </c>
      <c r="Z37" s="604">
        <v>1.0960265024053955</v>
      </c>
      <c r="AA37" s="31" t="s">
        <v>1156</v>
      </c>
      <c r="AB37" s="31"/>
    </row>
    <row r="38" spans="1:28">
      <c r="A38" s="36">
        <v>251</v>
      </c>
      <c r="B38" s="168" t="s">
        <v>525</v>
      </c>
      <c r="C38" s="169" t="s">
        <v>525</v>
      </c>
      <c r="D38" s="50" t="s">
        <v>402</v>
      </c>
      <c r="E38" s="632">
        <v>4</v>
      </c>
      <c r="F38" s="509" t="s">
        <v>981</v>
      </c>
      <c r="G38" s="510" t="s">
        <v>402</v>
      </c>
      <c r="H38" s="511" t="s">
        <v>325</v>
      </c>
      <c r="I38" s="511" t="s">
        <v>686</v>
      </c>
      <c r="J38" s="512" t="s">
        <v>402</v>
      </c>
      <c r="K38" s="510" t="s">
        <v>395</v>
      </c>
      <c r="L38" s="171">
        <v>7.8519020674937259E-9</v>
      </c>
      <c r="M38" s="29">
        <v>1</v>
      </c>
      <c r="N38" s="604">
        <v>5.0949158853185388</v>
      </c>
      <c r="O38" s="31" t="s">
        <v>1153</v>
      </c>
      <c r="P38" s="171">
        <v>7.8519020674937259E-9</v>
      </c>
      <c r="Q38" s="29">
        <v>1</v>
      </c>
      <c r="R38" s="604">
        <v>5.0949158853185388</v>
      </c>
      <c r="S38" s="31" t="s">
        <v>1153</v>
      </c>
      <c r="T38" s="171">
        <v>7.8519020674937259E-9</v>
      </c>
      <c r="U38" s="29">
        <v>1</v>
      </c>
      <c r="V38" s="604">
        <v>5.0949158853185388</v>
      </c>
      <c r="W38" s="31" t="s">
        <v>1153</v>
      </c>
      <c r="X38" s="171">
        <v>7.8519020674937259E-9</v>
      </c>
      <c r="Y38" s="29">
        <v>1</v>
      </c>
      <c r="Z38" s="604">
        <v>5.0949158853185388</v>
      </c>
      <c r="AA38" s="31" t="s">
        <v>1153</v>
      </c>
      <c r="AB38" s="31"/>
    </row>
    <row r="39" spans="1:28">
      <c r="A39" s="175">
        <v>3286</v>
      </c>
      <c r="B39" s="168"/>
      <c r="C39" s="169" t="s">
        <v>525</v>
      </c>
      <c r="D39" s="50" t="s">
        <v>402</v>
      </c>
      <c r="E39" s="632">
        <v>4</v>
      </c>
      <c r="F39" s="509" t="s">
        <v>980</v>
      </c>
      <c r="G39" s="510" t="s">
        <v>402</v>
      </c>
      <c r="H39" s="511" t="s">
        <v>325</v>
      </c>
      <c r="I39" s="511" t="s">
        <v>685</v>
      </c>
      <c r="J39" s="512" t="s">
        <v>402</v>
      </c>
      <c r="K39" s="510" t="s">
        <v>395</v>
      </c>
      <c r="L39" s="171">
        <v>7.8519020674937249E-8</v>
      </c>
      <c r="M39" s="29">
        <v>1</v>
      </c>
      <c r="N39" s="604">
        <v>1.6074425446378071</v>
      </c>
      <c r="O39" s="31" t="s">
        <v>1144</v>
      </c>
      <c r="P39" s="171">
        <v>7.8519020674937249E-8</v>
      </c>
      <c r="Q39" s="29">
        <v>1</v>
      </c>
      <c r="R39" s="604">
        <v>1.6074425446378071</v>
      </c>
      <c r="S39" s="31" t="s">
        <v>1144</v>
      </c>
      <c r="T39" s="171">
        <v>7.8519020674937249E-8</v>
      </c>
      <c r="U39" s="29">
        <v>1</v>
      </c>
      <c r="V39" s="604">
        <v>1.6074425446378071</v>
      </c>
      <c r="W39" s="31" t="s">
        <v>1144</v>
      </c>
      <c r="X39" s="171">
        <v>7.8519020674937249E-8</v>
      </c>
      <c r="Y39" s="29">
        <v>1</v>
      </c>
      <c r="Z39" s="604">
        <v>1.6074425446378071</v>
      </c>
      <c r="AA39" s="31" t="s">
        <v>1144</v>
      </c>
      <c r="AB39" s="31"/>
    </row>
    <row r="40" spans="1:28">
      <c r="A40" s="36">
        <v>317</v>
      </c>
      <c r="B40" s="168" t="s">
        <v>525</v>
      </c>
      <c r="C40" s="169" t="s">
        <v>525</v>
      </c>
      <c r="D40" s="50" t="s">
        <v>402</v>
      </c>
      <c r="E40" s="632">
        <v>4</v>
      </c>
      <c r="F40" s="509" t="s">
        <v>983</v>
      </c>
      <c r="G40" s="510" t="s">
        <v>402</v>
      </c>
      <c r="H40" s="511" t="s">
        <v>325</v>
      </c>
      <c r="I40" s="511" t="s">
        <v>686</v>
      </c>
      <c r="J40" s="512" t="s">
        <v>402</v>
      </c>
      <c r="K40" s="510" t="s">
        <v>395</v>
      </c>
      <c r="L40" s="171">
        <v>6.8704143090570083E-6</v>
      </c>
      <c r="M40" s="29">
        <v>1</v>
      </c>
      <c r="N40" s="604">
        <v>1.6074425446378071</v>
      </c>
      <c r="O40" s="31" t="s">
        <v>1157</v>
      </c>
      <c r="P40" s="171">
        <v>6.8704143090570083E-6</v>
      </c>
      <c r="Q40" s="29">
        <v>1</v>
      </c>
      <c r="R40" s="604">
        <v>1.6074425446378071</v>
      </c>
      <c r="S40" s="31" t="s">
        <v>1157</v>
      </c>
      <c r="T40" s="171">
        <v>6.8704143090570083E-6</v>
      </c>
      <c r="U40" s="29">
        <v>1</v>
      </c>
      <c r="V40" s="604">
        <v>1.6074425446378071</v>
      </c>
      <c r="W40" s="31" t="s">
        <v>1157</v>
      </c>
      <c r="X40" s="171">
        <v>6.8704143090570083E-6</v>
      </c>
      <c r="Y40" s="29">
        <v>1</v>
      </c>
      <c r="Z40" s="604">
        <v>1.6074425446378071</v>
      </c>
      <c r="AA40" s="31" t="s">
        <v>1157</v>
      </c>
      <c r="AB40" s="31"/>
    </row>
    <row r="41" spans="1:28">
      <c r="A41" s="214">
        <v>3345</v>
      </c>
      <c r="B41" s="168" t="s">
        <v>525</v>
      </c>
      <c r="C41" s="169" t="s">
        <v>525</v>
      </c>
      <c r="D41" s="50" t="s">
        <v>402</v>
      </c>
      <c r="E41" s="632">
        <v>4</v>
      </c>
      <c r="F41" s="509" t="s">
        <v>986</v>
      </c>
      <c r="G41" s="510" t="s">
        <v>402</v>
      </c>
      <c r="H41" s="511" t="s">
        <v>325</v>
      </c>
      <c r="I41" s="511" t="s">
        <v>1154</v>
      </c>
      <c r="J41" s="512" t="s">
        <v>402</v>
      </c>
      <c r="K41" s="510" t="s">
        <v>395</v>
      </c>
      <c r="L41" s="171">
        <v>3.876876645825027E-8</v>
      </c>
      <c r="M41" s="29">
        <v>1</v>
      </c>
      <c r="N41" s="604">
        <v>1.6074425446378071</v>
      </c>
      <c r="O41" s="31" t="s">
        <v>1153</v>
      </c>
      <c r="P41" s="171">
        <v>3.876876645825027E-8</v>
      </c>
      <c r="Q41" s="29">
        <v>1</v>
      </c>
      <c r="R41" s="604">
        <v>1.6074425446378071</v>
      </c>
      <c r="S41" s="31" t="s">
        <v>1153</v>
      </c>
      <c r="T41" s="171">
        <v>3.876876645825027E-8</v>
      </c>
      <c r="U41" s="29">
        <v>1</v>
      </c>
      <c r="V41" s="604">
        <v>1.6074425446378071</v>
      </c>
      <c r="W41" s="31" t="s">
        <v>1153</v>
      </c>
      <c r="X41" s="171">
        <v>3.876876645825027E-8</v>
      </c>
      <c r="Y41" s="29">
        <v>1</v>
      </c>
      <c r="Z41" s="604">
        <v>1.6074425446378071</v>
      </c>
      <c r="AA41" s="31" t="s">
        <v>1153</v>
      </c>
      <c r="AB41" s="31"/>
    </row>
    <row r="42" spans="1:28">
      <c r="A42" s="36">
        <v>557</v>
      </c>
      <c r="B42" s="168" t="s">
        <v>525</v>
      </c>
      <c r="C42" s="169" t="s">
        <v>525</v>
      </c>
      <c r="D42" s="50" t="s">
        <v>402</v>
      </c>
      <c r="E42" s="632">
        <v>4</v>
      </c>
      <c r="F42" s="509" t="s">
        <v>990</v>
      </c>
      <c r="G42" s="510" t="s">
        <v>402</v>
      </c>
      <c r="H42" s="511" t="s">
        <v>325</v>
      </c>
      <c r="I42" s="511" t="s">
        <v>686</v>
      </c>
      <c r="J42" s="512" t="s">
        <v>402</v>
      </c>
      <c r="K42" s="510" t="s">
        <v>395</v>
      </c>
      <c r="L42" s="171">
        <v>5.0000000000000001E-4</v>
      </c>
      <c r="M42" s="29">
        <v>1</v>
      </c>
      <c r="N42" s="604">
        <v>1.6074425446378071</v>
      </c>
      <c r="O42" s="31" t="s">
        <v>1157</v>
      </c>
      <c r="P42" s="171">
        <v>5.0000000000000001E-4</v>
      </c>
      <c r="Q42" s="29">
        <v>1</v>
      </c>
      <c r="R42" s="604">
        <v>1.6074425446378071</v>
      </c>
      <c r="S42" s="31" t="s">
        <v>1157</v>
      </c>
      <c r="T42" s="171">
        <v>5.0000000000000001E-4</v>
      </c>
      <c r="U42" s="29">
        <v>1</v>
      </c>
      <c r="V42" s="604">
        <v>1.6074425446378071</v>
      </c>
      <c r="W42" s="31" t="s">
        <v>1157</v>
      </c>
      <c r="X42" s="171">
        <v>5.0000000000000001E-4</v>
      </c>
      <c r="Y42" s="29">
        <v>1</v>
      </c>
      <c r="Z42" s="604">
        <v>1.6074425446378071</v>
      </c>
      <c r="AA42" s="31" t="s">
        <v>1157</v>
      </c>
      <c r="AB42" s="31"/>
    </row>
    <row r="43" spans="1:28">
      <c r="A43" s="36">
        <v>551</v>
      </c>
      <c r="B43" s="168" t="s">
        <v>525</v>
      </c>
      <c r="C43" s="169" t="s">
        <v>525</v>
      </c>
      <c r="D43" s="50" t="s">
        <v>402</v>
      </c>
      <c r="E43" s="632">
        <v>4</v>
      </c>
      <c r="F43" s="509" t="s">
        <v>989</v>
      </c>
      <c r="G43" s="510" t="s">
        <v>402</v>
      </c>
      <c r="H43" s="511" t="s">
        <v>325</v>
      </c>
      <c r="I43" s="511" t="s">
        <v>686</v>
      </c>
      <c r="J43" s="512" t="s">
        <v>402</v>
      </c>
      <c r="K43" s="510" t="s">
        <v>395</v>
      </c>
      <c r="L43" s="171">
        <v>5.0000000000000001E-4</v>
      </c>
      <c r="M43" s="29">
        <v>1</v>
      </c>
      <c r="N43" s="604">
        <v>1.6074425446378071</v>
      </c>
      <c r="O43" s="31" t="s">
        <v>1157</v>
      </c>
      <c r="P43" s="171">
        <v>5.0000000000000001E-4</v>
      </c>
      <c r="Q43" s="29">
        <v>1</v>
      </c>
      <c r="R43" s="604">
        <v>1.6074425446378071</v>
      </c>
      <c r="S43" s="31" t="s">
        <v>1157</v>
      </c>
      <c r="T43" s="171">
        <v>5.0000000000000001E-4</v>
      </c>
      <c r="U43" s="29">
        <v>1</v>
      </c>
      <c r="V43" s="604">
        <v>1.6074425446378071</v>
      </c>
      <c r="W43" s="31" t="s">
        <v>1157</v>
      </c>
      <c r="X43" s="171">
        <v>5.0000000000000001E-4</v>
      </c>
      <c r="Y43" s="29">
        <v>1</v>
      </c>
      <c r="Z43" s="604">
        <v>1.6074425446378071</v>
      </c>
      <c r="AA43" s="31" t="s">
        <v>1157</v>
      </c>
      <c r="AB43" s="31"/>
    </row>
    <row r="44" spans="1:28">
      <c r="A44" s="214">
        <v>596</v>
      </c>
      <c r="B44" s="168" t="s">
        <v>525</v>
      </c>
      <c r="C44" s="169" t="s">
        <v>525</v>
      </c>
      <c r="D44" s="50" t="s">
        <v>402</v>
      </c>
      <c r="E44" s="632">
        <v>4</v>
      </c>
      <c r="F44" s="509" t="s">
        <v>991</v>
      </c>
      <c r="G44" s="510" t="s">
        <v>402</v>
      </c>
      <c r="H44" s="511" t="s">
        <v>325</v>
      </c>
      <c r="I44" s="511" t="s">
        <v>1154</v>
      </c>
      <c r="J44" s="512" t="s">
        <v>402</v>
      </c>
      <c r="K44" s="510" t="s">
        <v>395</v>
      </c>
      <c r="L44" s="171">
        <v>3.876876645825027E-6</v>
      </c>
      <c r="M44" s="29">
        <v>1</v>
      </c>
      <c r="N44" s="604">
        <v>5.0949158853185388</v>
      </c>
      <c r="O44" s="31" t="s">
        <v>1153</v>
      </c>
      <c r="P44" s="171">
        <v>3.876876645825027E-6</v>
      </c>
      <c r="Q44" s="29">
        <v>1</v>
      </c>
      <c r="R44" s="604">
        <v>5.0949158853185388</v>
      </c>
      <c r="S44" s="31" t="s">
        <v>1153</v>
      </c>
      <c r="T44" s="171">
        <v>3.876876645825027E-6</v>
      </c>
      <c r="U44" s="29">
        <v>1</v>
      </c>
      <c r="V44" s="604">
        <v>5.0949158853185388</v>
      </c>
      <c r="W44" s="31" t="s">
        <v>1153</v>
      </c>
      <c r="X44" s="171">
        <v>3.876876645825027E-6</v>
      </c>
      <c r="Y44" s="29">
        <v>1</v>
      </c>
      <c r="Z44" s="604">
        <v>5.0949158853185388</v>
      </c>
      <c r="AA44" s="31" t="s">
        <v>1153</v>
      </c>
      <c r="AB44" s="31"/>
    </row>
    <row r="45" spans="1:28">
      <c r="A45" s="36">
        <v>653</v>
      </c>
      <c r="B45" s="168" t="s">
        <v>525</v>
      </c>
      <c r="C45" s="169" t="s">
        <v>525</v>
      </c>
      <c r="D45" s="50" t="s">
        <v>402</v>
      </c>
      <c r="E45" s="632">
        <v>4</v>
      </c>
      <c r="F45" s="509" t="s">
        <v>992</v>
      </c>
      <c r="G45" s="510" t="s">
        <v>402</v>
      </c>
      <c r="H45" s="511" t="s">
        <v>325</v>
      </c>
      <c r="I45" s="511" t="s">
        <v>686</v>
      </c>
      <c r="J45" s="512" t="s">
        <v>402</v>
      </c>
      <c r="K45" s="510" t="s">
        <v>395</v>
      </c>
      <c r="L45" s="171">
        <v>3.4352071545285044E-7</v>
      </c>
      <c r="M45" s="29">
        <v>1</v>
      </c>
      <c r="N45" s="604">
        <v>5.0949158853185388</v>
      </c>
      <c r="O45" s="31" t="s">
        <v>1153</v>
      </c>
      <c r="P45" s="171">
        <v>3.4352071545285044E-7</v>
      </c>
      <c r="Q45" s="29">
        <v>1</v>
      </c>
      <c r="R45" s="604">
        <v>5.0949158853185388</v>
      </c>
      <c r="S45" s="31" t="s">
        <v>1153</v>
      </c>
      <c r="T45" s="171">
        <v>3.4352071545285044E-7</v>
      </c>
      <c r="U45" s="29">
        <v>1</v>
      </c>
      <c r="V45" s="604">
        <v>5.0949158853185388</v>
      </c>
      <c r="W45" s="31" t="s">
        <v>1153</v>
      </c>
      <c r="X45" s="171">
        <v>3.4352071545285044E-7</v>
      </c>
      <c r="Y45" s="29">
        <v>1</v>
      </c>
      <c r="Z45" s="604">
        <v>5.0949158853185388</v>
      </c>
      <c r="AA45" s="31" t="s">
        <v>1153</v>
      </c>
      <c r="AB45" s="31"/>
    </row>
    <row r="46" spans="1:28">
      <c r="A46" s="36">
        <v>683</v>
      </c>
      <c r="B46" s="168" t="s">
        <v>525</v>
      </c>
      <c r="C46" s="169" t="s">
        <v>525</v>
      </c>
      <c r="D46" s="50" t="s">
        <v>402</v>
      </c>
      <c r="E46" s="632">
        <v>4</v>
      </c>
      <c r="F46" s="509" t="s">
        <v>993</v>
      </c>
      <c r="G46" s="510" t="s">
        <v>402</v>
      </c>
      <c r="H46" s="511" t="s">
        <v>325</v>
      </c>
      <c r="I46" s="511" t="s">
        <v>686</v>
      </c>
      <c r="J46" s="512" t="s">
        <v>402</v>
      </c>
      <c r="K46" s="510" t="s">
        <v>395</v>
      </c>
      <c r="L46" s="171">
        <v>7.8519020674937259E-9</v>
      </c>
      <c r="M46" s="29">
        <v>1</v>
      </c>
      <c r="N46" s="604">
        <v>5.0949158853185388</v>
      </c>
      <c r="O46" s="31" t="s">
        <v>1153</v>
      </c>
      <c r="P46" s="171">
        <v>7.8519020674937259E-9</v>
      </c>
      <c r="Q46" s="29">
        <v>1</v>
      </c>
      <c r="R46" s="604">
        <v>5.0949158853185388</v>
      </c>
      <c r="S46" s="31" t="s">
        <v>1153</v>
      </c>
      <c r="T46" s="171">
        <v>7.8519020674937259E-9</v>
      </c>
      <c r="U46" s="29">
        <v>1</v>
      </c>
      <c r="V46" s="604">
        <v>5.0949158853185388</v>
      </c>
      <c r="W46" s="31" t="s">
        <v>1153</v>
      </c>
      <c r="X46" s="171">
        <v>7.8519020674937259E-9</v>
      </c>
      <c r="Y46" s="29">
        <v>1</v>
      </c>
      <c r="Z46" s="604">
        <v>5.0949158853185388</v>
      </c>
      <c r="AA46" s="31" t="s">
        <v>1153</v>
      </c>
      <c r="AB46" s="31"/>
    </row>
    <row r="47" spans="1:28" ht="24">
      <c r="A47" s="36">
        <v>833</v>
      </c>
      <c r="B47" s="168" t="s">
        <v>525</v>
      </c>
      <c r="C47" s="169" t="s">
        <v>525</v>
      </c>
      <c r="D47" s="50" t="s">
        <v>402</v>
      </c>
      <c r="E47" s="632">
        <v>4</v>
      </c>
      <c r="F47" s="509" t="s">
        <v>997</v>
      </c>
      <c r="G47" s="510" t="s">
        <v>402</v>
      </c>
      <c r="H47" s="511" t="s">
        <v>325</v>
      </c>
      <c r="I47" s="511" t="s">
        <v>686</v>
      </c>
      <c r="J47" s="512" t="s">
        <v>402</v>
      </c>
      <c r="K47" s="510" t="s">
        <v>395</v>
      </c>
      <c r="L47" s="171">
        <v>9.6000000000000002E-5</v>
      </c>
      <c r="M47" s="29">
        <v>1</v>
      </c>
      <c r="N47" s="604">
        <v>1.6074425446378071</v>
      </c>
      <c r="O47" s="31" t="s">
        <v>1144</v>
      </c>
      <c r="P47" s="171">
        <v>9.6000000000000002E-5</v>
      </c>
      <c r="Q47" s="29">
        <v>1</v>
      </c>
      <c r="R47" s="604">
        <v>1.6074425446378071</v>
      </c>
      <c r="S47" s="31" t="s">
        <v>1144</v>
      </c>
      <c r="T47" s="171">
        <v>9.6000000000000002E-5</v>
      </c>
      <c r="U47" s="29">
        <v>1</v>
      </c>
      <c r="V47" s="604">
        <v>1.6074425446378071</v>
      </c>
      <c r="W47" s="31" t="s">
        <v>1144</v>
      </c>
      <c r="X47" s="171">
        <v>9.6000000000000002E-5</v>
      </c>
      <c r="Y47" s="29">
        <v>1</v>
      </c>
      <c r="Z47" s="604">
        <v>1.6074425446378071</v>
      </c>
      <c r="AA47" s="31" t="s">
        <v>1144</v>
      </c>
      <c r="AB47" s="31"/>
    </row>
    <row r="48" spans="1:28" ht="24">
      <c r="A48" s="36">
        <v>827</v>
      </c>
      <c r="B48" s="168" t="s">
        <v>525</v>
      </c>
      <c r="C48" s="169" t="s">
        <v>525</v>
      </c>
      <c r="D48" s="50" t="s">
        <v>402</v>
      </c>
      <c r="E48" s="632">
        <v>4</v>
      </c>
      <c r="F48" s="509" t="s">
        <v>996</v>
      </c>
      <c r="G48" s="510" t="s">
        <v>402</v>
      </c>
      <c r="H48" s="511" t="s">
        <v>325</v>
      </c>
      <c r="I48" s="511" t="s">
        <v>686</v>
      </c>
      <c r="J48" s="512" t="s">
        <v>402</v>
      </c>
      <c r="K48" s="510" t="s">
        <v>395</v>
      </c>
      <c r="L48" s="171">
        <v>9.7431825052907393E-3</v>
      </c>
      <c r="M48" s="29">
        <v>1</v>
      </c>
      <c r="N48" s="604">
        <v>1.5232876396106587</v>
      </c>
      <c r="O48" s="31" t="s">
        <v>1158</v>
      </c>
      <c r="P48" s="171">
        <v>9.7431825052907393E-3</v>
      </c>
      <c r="Q48" s="29">
        <v>1</v>
      </c>
      <c r="R48" s="604">
        <v>1.5232876396106587</v>
      </c>
      <c r="S48" s="31" t="s">
        <v>1158</v>
      </c>
      <c r="T48" s="171">
        <v>9.7431825052907393E-3</v>
      </c>
      <c r="U48" s="29">
        <v>1</v>
      </c>
      <c r="V48" s="604">
        <v>1.5232876396106587</v>
      </c>
      <c r="W48" s="31" t="s">
        <v>1158</v>
      </c>
      <c r="X48" s="171">
        <v>9.7431825052907393E-3</v>
      </c>
      <c r="Y48" s="29">
        <v>1</v>
      </c>
      <c r="Z48" s="604">
        <v>1.5232876396106587</v>
      </c>
      <c r="AA48" s="31" t="s">
        <v>1158</v>
      </c>
      <c r="AB48" s="31"/>
    </row>
    <row r="49" spans="1:28" ht="24">
      <c r="A49" s="36">
        <v>869</v>
      </c>
      <c r="B49" s="168" t="s">
        <v>525</v>
      </c>
      <c r="C49" s="169" t="s">
        <v>525</v>
      </c>
      <c r="D49" s="50" t="s">
        <v>402</v>
      </c>
      <c r="E49" s="632">
        <v>4</v>
      </c>
      <c r="F49" s="509" t="s">
        <v>999</v>
      </c>
      <c r="G49" s="510" t="s">
        <v>402</v>
      </c>
      <c r="H49" s="511" t="s">
        <v>325</v>
      </c>
      <c r="I49" s="511" t="s">
        <v>686</v>
      </c>
      <c r="J49" s="512" t="s">
        <v>402</v>
      </c>
      <c r="K49" s="510" t="s">
        <v>395</v>
      </c>
      <c r="L49" s="171">
        <v>7.7537532916500534E-3</v>
      </c>
      <c r="M49" s="29">
        <v>1</v>
      </c>
      <c r="N49" s="604">
        <v>1.5232876396106587</v>
      </c>
      <c r="O49" s="31" t="s">
        <v>1158</v>
      </c>
      <c r="P49" s="171">
        <v>7.7537532916500534E-3</v>
      </c>
      <c r="Q49" s="29">
        <v>1</v>
      </c>
      <c r="R49" s="604">
        <v>1.5232876396106587</v>
      </c>
      <c r="S49" s="31" t="s">
        <v>1158</v>
      </c>
      <c r="T49" s="171">
        <v>7.7537532916500534E-3</v>
      </c>
      <c r="U49" s="29">
        <v>1</v>
      </c>
      <c r="V49" s="604">
        <v>1.5232876396106587</v>
      </c>
      <c r="W49" s="31" t="s">
        <v>1158</v>
      </c>
      <c r="X49" s="171">
        <v>7.7537532916500534E-3</v>
      </c>
      <c r="Y49" s="29">
        <v>1</v>
      </c>
      <c r="Z49" s="604">
        <v>1.5232876396106587</v>
      </c>
      <c r="AA49" s="31" t="s">
        <v>1158</v>
      </c>
      <c r="AB49" s="31"/>
    </row>
    <row r="50" spans="1:28">
      <c r="A50" s="214">
        <v>932</v>
      </c>
      <c r="B50" s="168" t="s">
        <v>525</v>
      </c>
      <c r="C50" s="169" t="s">
        <v>525</v>
      </c>
      <c r="D50" s="50" t="s">
        <v>402</v>
      </c>
      <c r="E50" s="632">
        <v>4</v>
      </c>
      <c r="F50" s="509" t="s">
        <v>1000</v>
      </c>
      <c r="G50" s="510" t="s">
        <v>402</v>
      </c>
      <c r="H50" s="511" t="s">
        <v>325</v>
      </c>
      <c r="I50" s="511" t="s">
        <v>1154</v>
      </c>
      <c r="J50" s="512" t="s">
        <v>402</v>
      </c>
      <c r="K50" s="510" t="s">
        <v>395</v>
      </c>
      <c r="L50" s="171">
        <v>6.2030026333200432E-5</v>
      </c>
      <c r="M50" s="29">
        <v>1</v>
      </c>
      <c r="N50" s="604">
        <v>5.0949158853185388</v>
      </c>
      <c r="O50" s="31" t="s">
        <v>1153</v>
      </c>
      <c r="P50" s="171">
        <v>6.2030026333200432E-5</v>
      </c>
      <c r="Q50" s="29">
        <v>1</v>
      </c>
      <c r="R50" s="604">
        <v>5.0949158853185388</v>
      </c>
      <c r="S50" s="31" t="s">
        <v>1153</v>
      </c>
      <c r="T50" s="171">
        <v>6.2030026333200432E-5</v>
      </c>
      <c r="U50" s="29">
        <v>1</v>
      </c>
      <c r="V50" s="604">
        <v>5.0949158853185388</v>
      </c>
      <c r="W50" s="31" t="s">
        <v>1153</v>
      </c>
      <c r="X50" s="171">
        <v>6.2030026333200432E-5</v>
      </c>
      <c r="Y50" s="29">
        <v>1</v>
      </c>
      <c r="Z50" s="604">
        <v>5.0949158853185388</v>
      </c>
      <c r="AA50" s="31" t="s">
        <v>1153</v>
      </c>
      <c r="AB50" s="31"/>
    </row>
    <row r="51" spans="1:28">
      <c r="A51" s="214">
        <v>1040</v>
      </c>
      <c r="B51" s="168" t="s">
        <v>525</v>
      </c>
      <c r="C51" s="169" t="s">
        <v>525</v>
      </c>
      <c r="D51" s="50" t="s">
        <v>402</v>
      </c>
      <c r="E51" s="632">
        <v>4</v>
      </c>
      <c r="F51" s="509" t="s">
        <v>1002</v>
      </c>
      <c r="G51" s="510" t="s">
        <v>402</v>
      </c>
      <c r="H51" s="511" t="s">
        <v>325</v>
      </c>
      <c r="I51" s="511" t="s">
        <v>1154</v>
      </c>
      <c r="J51" s="512" t="s">
        <v>402</v>
      </c>
      <c r="K51" s="510" t="s">
        <v>395</v>
      </c>
      <c r="L51" s="171">
        <v>7.5133869396089015E-3</v>
      </c>
      <c r="M51" s="29">
        <v>1</v>
      </c>
      <c r="N51" s="604">
        <v>5.0949158853185388</v>
      </c>
      <c r="O51" s="31" t="s">
        <v>1159</v>
      </c>
      <c r="P51" s="171">
        <v>7.5133869396089015E-3</v>
      </c>
      <c r="Q51" s="29">
        <v>1</v>
      </c>
      <c r="R51" s="604">
        <v>5.0949158853185388</v>
      </c>
      <c r="S51" s="31" t="s">
        <v>1159</v>
      </c>
      <c r="T51" s="171">
        <v>7.5133869396089015E-3</v>
      </c>
      <c r="U51" s="29">
        <v>1</v>
      </c>
      <c r="V51" s="604">
        <v>5.0949158853185388</v>
      </c>
      <c r="W51" s="31" t="s">
        <v>1159</v>
      </c>
      <c r="X51" s="171">
        <v>7.5133869396089015E-3</v>
      </c>
      <c r="Y51" s="29">
        <v>1</v>
      </c>
      <c r="Z51" s="604">
        <v>5.0949158853185388</v>
      </c>
      <c r="AA51" s="31" t="s">
        <v>1159</v>
      </c>
      <c r="AB51" s="31"/>
    </row>
    <row r="52" spans="1:28">
      <c r="A52" s="214">
        <v>1052</v>
      </c>
      <c r="B52" s="168" t="s">
        <v>525</v>
      </c>
      <c r="C52" s="169" t="s">
        <v>525</v>
      </c>
      <c r="D52" s="50" t="s">
        <v>402</v>
      </c>
      <c r="E52" s="632">
        <v>4</v>
      </c>
      <c r="F52" s="509" t="s">
        <v>1005</v>
      </c>
      <c r="G52" s="510" t="s">
        <v>402</v>
      </c>
      <c r="H52" s="511" t="s">
        <v>325</v>
      </c>
      <c r="I52" s="511" t="s">
        <v>1154</v>
      </c>
      <c r="J52" s="512" t="s">
        <v>402</v>
      </c>
      <c r="K52" s="510" t="s">
        <v>395</v>
      </c>
      <c r="L52" s="171">
        <v>7.753753291650054E-7</v>
      </c>
      <c r="M52" s="29">
        <v>1</v>
      </c>
      <c r="N52" s="604">
        <v>5.0949158853185388</v>
      </c>
      <c r="O52" s="31" t="s">
        <v>1153</v>
      </c>
      <c r="P52" s="171">
        <v>7.753753291650054E-7</v>
      </c>
      <c r="Q52" s="29">
        <v>1</v>
      </c>
      <c r="R52" s="604">
        <v>5.0949158853185388</v>
      </c>
      <c r="S52" s="31" t="s">
        <v>1153</v>
      </c>
      <c r="T52" s="171">
        <v>7.753753291650054E-7</v>
      </c>
      <c r="U52" s="29">
        <v>1</v>
      </c>
      <c r="V52" s="604">
        <v>5.0949158853185388</v>
      </c>
      <c r="W52" s="31" t="s">
        <v>1153</v>
      </c>
      <c r="X52" s="171">
        <v>7.753753291650054E-7</v>
      </c>
      <c r="Y52" s="29">
        <v>1</v>
      </c>
      <c r="Z52" s="604">
        <v>5.0949158853185388</v>
      </c>
      <c r="AA52" s="31" t="s">
        <v>1153</v>
      </c>
      <c r="AB52" s="31"/>
    </row>
    <row r="53" spans="1:28" ht="24">
      <c r="A53" s="36">
        <v>1085</v>
      </c>
      <c r="B53" s="168" t="s">
        <v>525</v>
      </c>
      <c r="C53" s="169" t="s">
        <v>525</v>
      </c>
      <c r="D53" s="50" t="s">
        <v>402</v>
      </c>
      <c r="E53" s="632">
        <v>4</v>
      </c>
      <c r="F53" s="509" t="s">
        <v>1006</v>
      </c>
      <c r="G53" s="510" t="s">
        <v>402</v>
      </c>
      <c r="H53" s="511" t="s">
        <v>325</v>
      </c>
      <c r="I53" s="511" t="s">
        <v>686</v>
      </c>
      <c r="J53" s="512" t="s">
        <v>402</v>
      </c>
      <c r="K53" s="510" t="s">
        <v>395</v>
      </c>
      <c r="L53" s="171">
        <v>1.2240951675729202E-2</v>
      </c>
      <c r="M53" s="29">
        <v>1</v>
      </c>
      <c r="N53" s="604">
        <v>1.1308009960566481</v>
      </c>
      <c r="O53" s="31" t="s">
        <v>1158</v>
      </c>
      <c r="P53" s="171">
        <v>1.2240951675729202E-2</v>
      </c>
      <c r="Q53" s="29">
        <v>1</v>
      </c>
      <c r="R53" s="604">
        <v>1.1308009960566481</v>
      </c>
      <c r="S53" s="31" t="s">
        <v>1158</v>
      </c>
      <c r="T53" s="171">
        <v>1.2240951675729202E-2</v>
      </c>
      <c r="U53" s="29">
        <v>1</v>
      </c>
      <c r="V53" s="604">
        <v>1.1308009960566481</v>
      </c>
      <c r="W53" s="31" t="s">
        <v>1158</v>
      </c>
      <c r="X53" s="171">
        <v>1.2240951675729202E-2</v>
      </c>
      <c r="Y53" s="29">
        <v>1</v>
      </c>
      <c r="Z53" s="604">
        <v>1.1308009960566481</v>
      </c>
      <c r="AA53" s="31" t="s">
        <v>1158</v>
      </c>
      <c r="AB53" s="31"/>
    </row>
    <row r="54" spans="1:28">
      <c r="A54" s="36">
        <v>1151</v>
      </c>
      <c r="B54" s="168" t="s">
        <v>525</v>
      </c>
      <c r="C54" s="169" t="s">
        <v>525</v>
      </c>
      <c r="D54" s="50" t="s">
        <v>402</v>
      </c>
      <c r="E54" s="632">
        <v>4</v>
      </c>
      <c r="F54" s="509" t="s">
        <v>1007</v>
      </c>
      <c r="G54" s="510" t="s">
        <v>402</v>
      </c>
      <c r="H54" s="511" t="s">
        <v>325</v>
      </c>
      <c r="I54" s="511" t="s">
        <v>686</v>
      </c>
      <c r="J54" s="512" t="s">
        <v>402</v>
      </c>
      <c r="K54" s="510" t="s">
        <v>395</v>
      </c>
      <c r="L54" s="171">
        <v>7.8519020674937259E-9</v>
      </c>
      <c r="M54" s="29">
        <v>1</v>
      </c>
      <c r="N54" s="604">
        <v>5.0949158853185388</v>
      </c>
      <c r="O54" s="31" t="s">
        <v>1153</v>
      </c>
      <c r="P54" s="171">
        <v>7.8519020674937259E-9</v>
      </c>
      <c r="Q54" s="29">
        <v>1</v>
      </c>
      <c r="R54" s="604">
        <v>5.0949158853185388</v>
      </c>
      <c r="S54" s="31" t="s">
        <v>1153</v>
      </c>
      <c r="T54" s="171">
        <v>7.8519020674937259E-9</v>
      </c>
      <c r="U54" s="29">
        <v>1</v>
      </c>
      <c r="V54" s="604">
        <v>5.0949158853185388</v>
      </c>
      <c r="W54" s="31" t="s">
        <v>1153</v>
      </c>
      <c r="X54" s="171">
        <v>7.8519020674937259E-9</v>
      </c>
      <c r="Y54" s="29">
        <v>1</v>
      </c>
      <c r="Z54" s="604">
        <v>5.0949158853185388</v>
      </c>
      <c r="AA54" s="31" t="s">
        <v>1153</v>
      </c>
      <c r="AB54" s="31"/>
    </row>
    <row r="55" spans="1:28" s="174" customFormat="1" ht="12.75">
      <c r="B55" s="190"/>
      <c r="C55" s="631"/>
      <c r="D55" s="198"/>
      <c r="E55" s="132"/>
      <c r="F55" s="341"/>
      <c r="G55" s="359"/>
      <c r="H55" s="360"/>
      <c r="I55" s="320"/>
      <c r="J55" s="362"/>
      <c r="K55" s="359"/>
      <c r="L55" s="180"/>
      <c r="M55" s="29"/>
      <c r="N55" s="139"/>
      <c r="O55" s="139"/>
      <c r="P55" s="180"/>
      <c r="Q55" s="139"/>
      <c r="R55" s="139"/>
      <c r="S55" s="139"/>
      <c r="T55" s="180"/>
      <c r="U55" s="29"/>
      <c r="V55" s="1"/>
      <c r="W55" s="31"/>
      <c r="X55" s="180"/>
      <c r="Y55" s="29"/>
      <c r="Z55" s="1"/>
      <c r="AA55" s="31"/>
      <c r="AB55" s="31"/>
    </row>
  </sheetData>
  <phoneticPr fontId="0" type="noConversion"/>
  <dataValidations xWindow="445" yWindow="487" count="2">
    <dataValidation allowBlank="1" showInputMessage="1" showErrorMessage="1" prompt="always 1" sqref="P7:P10 L7:L10 T7:T10 X7:X10"/>
    <dataValidation allowBlank="1" showInputMessage="1" showErrorMessage="1" prompt="Do not enter anything into these fields. _x000a__x000a_Entering the Index-Number in column A will update these fields accordingly (maybe you need to press &quot;F9&quot; to have Excel recalculate the fields). Be sure to have the names-list open._x000a_" sqref="F27:K54"/>
  </dataValidations>
  <pageMargins left="0.78740157499999996" right="0.78740157499999996" top="0.984251969" bottom="0.984251969" header="0.4921259845" footer="0.4921259845"/>
  <pageSetup paperSize="9" scale="6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5">
    <pageSetUpPr fitToPage="1"/>
  </sheetPr>
  <dimension ref="A1:CA48"/>
  <sheetViews>
    <sheetView topLeftCell="L1" zoomScale="75" workbookViewId="0">
      <selection activeCell="J46" sqref="J46"/>
    </sheetView>
  </sheetViews>
  <sheetFormatPr defaultColWidth="11.42578125" defaultRowHeight="12" outlineLevelRow="1" outlineLevelCol="1"/>
  <cols>
    <col min="1" max="1" width="8.42578125" style="7" customWidth="1" outlineLevel="1"/>
    <col min="2" max="2" width="12.7109375" style="158" bestFit="1" customWidth="1"/>
    <col min="3" max="3" width="4.7109375" style="159" hidden="1" customWidth="1" outlineLevel="1"/>
    <col min="4" max="4" width="4.85546875" style="7" hidden="1" customWidth="1" outlineLevel="1"/>
    <col min="5" max="5" width="7.85546875" style="7" hidden="1" customWidth="1" outlineLevel="1"/>
    <col min="6" max="6" width="58.7109375" style="8" customWidth="1" collapsed="1"/>
    <col min="7" max="7" width="5" style="7" customWidth="1"/>
    <col min="8" max="8" width="5.7109375" style="7" hidden="1" customWidth="1" outlineLevel="1"/>
    <col min="9" max="9" width="19.42578125" style="7" hidden="1" customWidth="1" outlineLevel="1"/>
    <col min="10" max="10" width="5.7109375" style="7" hidden="1" customWidth="1" outlineLevel="1" collapsed="1"/>
    <col min="11" max="11" width="5.85546875" style="7" customWidth="1" collapsed="1"/>
    <col min="12" max="12" width="8.7109375" style="7" customWidth="1"/>
    <col min="13" max="13" width="5.42578125" style="140" hidden="1" customWidth="1" outlineLevel="1"/>
    <col min="14" max="14" width="5.85546875" style="140" hidden="1" customWidth="1" outlineLevel="1"/>
    <col min="15" max="15" width="31.140625" style="140" hidden="1" customWidth="1" outlineLevel="1"/>
    <col min="16" max="16" width="10.28515625" style="7" customWidth="1" collapsed="1"/>
    <col min="17" max="17" width="5.42578125" style="140" hidden="1" customWidth="1" outlineLevel="1"/>
    <col min="18" max="18" width="5.85546875" style="140" hidden="1" customWidth="1" outlineLevel="1"/>
    <col min="19" max="19" width="31.140625" style="140" hidden="1" customWidth="1" outlineLevel="1"/>
    <col min="20" max="20" width="10.28515625" style="7" customWidth="1" collapsed="1"/>
    <col min="21" max="21" width="5.42578125" style="140" hidden="1" customWidth="1" outlineLevel="1"/>
    <col min="22" max="22" width="5.85546875" style="140" hidden="1" customWidth="1" outlineLevel="1"/>
    <col min="23" max="23" width="31.140625" style="140" hidden="1" customWidth="1" outlineLevel="1"/>
    <col min="24" max="24" width="10.28515625" style="7" customWidth="1" collapsed="1"/>
    <col min="25" max="25" width="5.42578125" style="140" hidden="1" customWidth="1" outlineLevel="1"/>
    <col min="26" max="26" width="5.85546875" style="140" hidden="1" customWidth="1" outlineLevel="1"/>
    <col min="27" max="27" width="31.140625" style="140" hidden="1" customWidth="1" outlineLevel="1"/>
    <col min="28" max="28" width="10.28515625" style="7" customWidth="1" collapsed="1"/>
    <col min="29" max="29" width="5.42578125" style="140" hidden="1" customWidth="1" outlineLevel="1"/>
    <col min="30" max="30" width="5.85546875" style="140" hidden="1" customWidth="1" outlineLevel="1"/>
    <col min="31" max="31" width="31.140625" style="140" hidden="1" customWidth="1" outlineLevel="1"/>
    <col min="32" max="32" width="10.28515625" style="7" customWidth="1" collapsed="1"/>
    <col min="33" max="33" width="5.42578125" style="140" hidden="1" customWidth="1" outlineLevel="1"/>
    <col min="34" max="34" width="5.85546875" style="140" hidden="1" customWidth="1" outlineLevel="1"/>
    <col min="35" max="35" width="31.140625" style="140" hidden="1" customWidth="1" outlineLevel="1"/>
    <col min="36" max="36" width="10.28515625" style="7" customWidth="1" collapsed="1"/>
    <col min="37" max="37" width="5.42578125" style="140" hidden="1" customWidth="1" outlineLevel="1"/>
    <col min="38" max="38" width="5.85546875" style="140" hidden="1" customWidth="1" outlineLevel="1"/>
    <col min="39" max="39" width="31.140625" style="140" hidden="1" customWidth="1" outlineLevel="1"/>
    <col min="40" max="40" width="10.28515625" style="7" customWidth="1" collapsed="1"/>
    <col min="41" max="41" width="5.42578125" style="140" hidden="1" customWidth="1" outlineLevel="1"/>
    <col min="42" max="42" width="5.85546875" style="140" hidden="1" customWidth="1" outlineLevel="1"/>
    <col min="43" max="43" width="31.140625" style="140" hidden="1" customWidth="1" outlineLevel="1"/>
    <col min="44" max="44" width="10.28515625" style="7" customWidth="1" collapsed="1"/>
    <col min="45" max="45" width="5.42578125" style="140" hidden="1" customWidth="1" outlineLevel="1"/>
    <col min="46" max="46" width="5.85546875" style="140" hidden="1" customWidth="1" outlineLevel="1"/>
    <col min="47" max="47" width="31.140625" style="140" hidden="1" customWidth="1" outlineLevel="1"/>
    <col min="48" max="48" width="10.28515625" style="7" bestFit="1" customWidth="1" collapsed="1"/>
    <col min="49" max="49" width="5.42578125" style="140" hidden="1" customWidth="1" outlineLevel="1"/>
    <col min="50" max="50" width="5.85546875" style="140" hidden="1" customWidth="1" outlineLevel="1"/>
    <col min="51" max="51" width="31.140625" style="140" hidden="1" customWidth="1" outlineLevel="1"/>
    <col min="52" max="52" width="10.28515625" style="7" bestFit="1" customWidth="1" collapsed="1"/>
    <col min="53" max="53" width="5.42578125" style="140" hidden="1" customWidth="1" outlineLevel="1"/>
    <col min="54" max="54" width="5.85546875" style="140" hidden="1" customWidth="1" outlineLevel="1"/>
    <col min="55" max="55" width="31.140625" style="140" hidden="1" customWidth="1" outlineLevel="1"/>
    <col min="56" max="56" width="10.28515625" style="7" bestFit="1" customWidth="1" collapsed="1"/>
    <col min="57" max="57" width="5.42578125" style="140" hidden="1" customWidth="1" outlineLevel="1"/>
    <col min="58" max="58" width="5.85546875" style="140" hidden="1" customWidth="1" outlineLevel="1"/>
    <col min="59" max="59" width="31.140625" style="140" hidden="1" customWidth="1" outlineLevel="1"/>
    <col min="60" max="60" width="10.28515625" style="7" bestFit="1" customWidth="1" collapsed="1"/>
    <col min="61" max="61" width="5.42578125" style="140" hidden="1" customWidth="1" outlineLevel="1"/>
    <col min="62" max="62" width="5.85546875" style="140" hidden="1" customWidth="1" outlineLevel="1"/>
    <col min="63" max="63" width="31.140625" style="140" hidden="1" customWidth="1" outlineLevel="1"/>
    <col min="64" max="64" width="10.28515625" style="7" bestFit="1" customWidth="1" collapsed="1"/>
    <col min="65" max="65" width="5.42578125" style="140" hidden="1" customWidth="1" outlineLevel="1"/>
    <col min="66" max="66" width="5.85546875" style="140" hidden="1" customWidth="1" outlineLevel="1"/>
    <col min="67" max="67" width="31.140625" style="140" hidden="1" customWidth="1" outlineLevel="1"/>
    <col min="68" max="68" width="10.28515625" style="7" bestFit="1" customWidth="1" collapsed="1"/>
    <col min="69" max="69" width="5.42578125" style="140" hidden="1" customWidth="1" outlineLevel="1"/>
    <col min="70" max="70" width="5.85546875" style="140" hidden="1" customWidth="1" outlineLevel="1"/>
    <col min="71" max="71" width="31.140625" style="140" hidden="1" customWidth="1" outlineLevel="1"/>
    <col min="72" max="72" width="10.28515625" style="7" bestFit="1" customWidth="1" collapsed="1"/>
    <col min="73" max="73" width="5.42578125" style="140" hidden="1" customWidth="1" outlineLevel="1"/>
    <col min="74" max="74" width="5.85546875" style="140" hidden="1" customWidth="1" outlineLevel="1"/>
    <col min="75" max="75" width="31.140625" style="140" hidden="1" customWidth="1" outlineLevel="1"/>
    <col min="76" max="76" width="8.5703125" style="7" customWidth="1" collapsed="1"/>
    <col min="77" max="77" width="5.42578125" style="140" customWidth="1" outlineLevel="1"/>
    <col min="78" max="78" width="5.85546875" style="140" customWidth="1" outlineLevel="1"/>
    <col min="79" max="79" width="31.140625" style="140" customWidth="1" outlineLevel="1"/>
    <col min="80" max="16384" width="11.42578125" style="7"/>
  </cols>
  <sheetData>
    <row r="1" spans="1:79">
      <c r="A1" s="36"/>
      <c r="B1" s="34"/>
      <c r="C1" s="35"/>
      <c r="D1" s="36"/>
      <c r="E1" s="36"/>
      <c r="F1" s="37" t="s">
        <v>510</v>
      </c>
      <c r="G1" s="36"/>
      <c r="H1" s="36"/>
      <c r="I1" s="36"/>
      <c r="J1" s="36"/>
      <c r="K1" s="36"/>
      <c r="L1" s="189">
        <v>1459</v>
      </c>
      <c r="M1" s="184"/>
      <c r="N1" s="184"/>
      <c r="O1" s="184"/>
      <c r="P1" s="189">
        <v>1460</v>
      </c>
      <c r="Q1" s="184"/>
      <c r="R1" s="184"/>
      <c r="S1" s="184"/>
      <c r="T1" s="189">
        <v>1461</v>
      </c>
      <c r="U1" s="184"/>
      <c r="V1" s="184"/>
      <c r="W1" s="184"/>
      <c r="X1" s="189">
        <v>1462</v>
      </c>
      <c r="Y1" s="184"/>
      <c r="Z1" s="184"/>
      <c r="AA1" s="184"/>
      <c r="AB1" s="189">
        <v>1463</v>
      </c>
      <c r="AC1" s="184"/>
      <c r="AD1" s="184"/>
      <c r="AE1" s="184"/>
      <c r="AF1" s="189">
        <v>1464</v>
      </c>
      <c r="AG1" s="184"/>
      <c r="AH1" s="184"/>
      <c r="AI1" s="184"/>
      <c r="AJ1" s="189">
        <v>1465</v>
      </c>
      <c r="AK1" s="184"/>
      <c r="AL1" s="184"/>
      <c r="AM1" s="184"/>
      <c r="AN1" s="189">
        <v>1466</v>
      </c>
      <c r="AO1" s="184"/>
      <c r="AP1" s="184"/>
      <c r="AQ1" s="184"/>
      <c r="AR1" s="189">
        <v>1467</v>
      </c>
      <c r="AS1" s="184"/>
      <c r="AT1" s="184"/>
      <c r="AU1" s="184"/>
      <c r="AV1" s="189">
        <v>1468</v>
      </c>
      <c r="AW1" s="184"/>
      <c r="AX1" s="184"/>
      <c r="AY1" s="184"/>
      <c r="AZ1" s="226">
        <v>32067</v>
      </c>
      <c r="BA1" s="184"/>
      <c r="BB1" s="184"/>
      <c r="BC1" s="184"/>
      <c r="BD1" s="120">
        <v>32125</v>
      </c>
      <c r="BE1" s="184"/>
      <c r="BF1" s="184"/>
      <c r="BG1" s="184"/>
      <c r="BH1" s="417">
        <v>32077</v>
      </c>
      <c r="BI1" s="184"/>
      <c r="BJ1" s="184"/>
      <c r="BK1" s="184"/>
      <c r="BL1" s="120">
        <v>32081</v>
      </c>
      <c r="BM1" s="184"/>
      <c r="BN1" s="184"/>
      <c r="BO1" s="184"/>
      <c r="BP1" s="120">
        <v>32133</v>
      </c>
      <c r="BQ1" s="184"/>
      <c r="BR1" s="184"/>
      <c r="BS1" s="184"/>
      <c r="BT1" s="120">
        <v>32132</v>
      </c>
      <c r="BU1" s="184"/>
      <c r="BV1" s="184"/>
      <c r="BW1" s="184"/>
      <c r="BX1" s="3">
        <v>4853</v>
      </c>
      <c r="BY1" s="184"/>
      <c r="BZ1" s="184"/>
      <c r="CA1" s="184"/>
    </row>
    <row r="2" spans="1:79">
      <c r="A2" s="36"/>
      <c r="B2" s="147"/>
      <c r="C2" s="35" t="s">
        <v>511</v>
      </c>
      <c r="D2" s="147">
        <v>3503</v>
      </c>
      <c r="E2" s="147">
        <v>3504</v>
      </c>
      <c r="F2" s="147">
        <v>3702</v>
      </c>
      <c r="G2" s="147">
        <v>3703</v>
      </c>
      <c r="H2" s="147">
        <v>3506</v>
      </c>
      <c r="I2" s="147">
        <v>3507</v>
      </c>
      <c r="J2" s="147">
        <v>3508</v>
      </c>
      <c r="K2" s="147">
        <v>3706</v>
      </c>
      <c r="L2" s="147">
        <v>3707</v>
      </c>
      <c r="M2" s="641">
        <v>3708</v>
      </c>
      <c r="N2" s="641">
        <v>3709</v>
      </c>
      <c r="O2" s="642">
        <v>3792</v>
      </c>
      <c r="P2" s="147">
        <v>3707</v>
      </c>
      <c r="Q2" s="641">
        <v>3708</v>
      </c>
      <c r="R2" s="641">
        <v>3709</v>
      </c>
      <c r="S2" s="642">
        <v>3792</v>
      </c>
      <c r="T2" s="147">
        <v>3707</v>
      </c>
      <c r="U2" s="641">
        <v>3708</v>
      </c>
      <c r="V2" s="641">
        <v>3709</v>
      </c>
      <c r="W2" s="642">
        <v>3792</v>
      </c>
      <c r="X2" s="147">
        <v>3707</v>
      </c>
      <c r="Y2" s="641">
        <v>3708</v>
      </c>
      <c r="Z2" s="641">
        <v>3709</v>
      </c>
      <c r="AA2" s="642">
        <v>3792</v>
      </c>
      <c r="AB2" s="147">
        <v>3707</v>
      </c>
      <c r="AC2" s="641">
        <v>3708</v>
      </c>
      <c r="AD2" s="641">
        <v>3709</v>
      </c>
      <c r="AE2" s="642">
        <v>3792</v>
      </c>
      <c r="AF2" s="147">
        <v>3707</v>
      </c>
      <c r="AG2" s="641">
        <v>3708</v>
      </c>
      <c r="AH2" s="641">
        <v>3709</v>
      </c>
      <c r="AI2" s="642">
        <v>3792</v>
      </c>
      <c r="AJ2" s="147">
        <v>3707</v>
      </c>
      <c r="AK2" s="641">
        <v>3708</v>
      </c>
      <c r="AL2" s="641">
        <v>3709</v>
      </c>
      <c r="AM2" s="642">
        <v>3792</v>
      </c>
      <c r="AN2" s="147">
        <v>3707</v>
      </c>
      <c r="AO2" s="641">
        <v>3708</v>
      </c>
      <c r="AP2" s="641">
        <v>3709</v>
      </c>
      <c r="AQ2" s="642">
        <v>3792</v>
      </c>
      <c r="AR2" s="147">
        <v>3707</v>
      </c>
      <c r="AS2" s="641">
        <v>3708</v>
      </c>
      <c r="AT2" s="641">
        <v>3709</v>
      </c>
      <c r="AU2" s="642">
        <v>3792</v>
      </c>
      <c r="AV2" s="147">
        <v>3707</v>
      </c>
      <c r="AW2" s="641">
        <v>3708</v>
      </c>
      <c r="AX2" s="641">
        <v>3709</v>
      </c>
      <c r="AY2" s="642">
        <v>3792</v>
      </c>
      <c r="AZ2" s="147">
        <v>3707</v>
      </c>
      <c r="BA2" s="641">
        <v>3708</v>
      </c>
      <c r="BB2" s="641">
        <v>3709</v>
      </c>
      <c r="BC2" s="642">
        <v>3792</v>
      </c>
      <c r="BD2" s="147">
        <v>3707</v>
      </c>
      <c r="BE2" s="641">
        <v>3708</v>
      </c>
      <c r="BF2" s="641">
        <v>3709</v>
      </c>
      <c r="BG2" s="642">
        <v>3792</v>
      </c>
      <c r="BH2" s="147">
        <v>3707</v>
      </c>
      <c r="BI2" s="641">
        <v>3708</v>
      </c>
      <c r="BJ2" s="641">
        <v>3709</v>
      </c>
      <c r="BK2" s="642">
        <v>3792</v>
      </c>
      <c r="BL2" s="147">
        <v>3707</v>
      </c>
      <c r="BM2" s="641">
        <v>3708</v>
      </c>
      <c r="BN2" s="641">
        <v>3709</v>
      </c>
      <c r="BO2" s="642">
        <v>3792</v>
      </c>
      <c r="BP2" s="147">
        <v>3707</v>
      </c>
      <c r="BQ2" s="641">
        <v>3708</v>
      </c>
      <c r="BR2" s="641">
        <v>3709</v>
      </c>
      <c r="BS2" s="642">
        <v>3792</v>
      </c>
      <c r="BT2" s="147">
        <v>3707</v>
      </c>
      <c r="BU2" s="641">
        <v>3708</v>
      </c>
      <c r="BV2" s="641">
        <v>3709</v>
      </c>
      <c r="BW2" s="642">
        <v>3792</v>
      </c>
      <c r="BX2" s="147">
        <v>3707</v>
      </c>
      <c r="BY2" s="641">
        <v>3708</v>
      </c>
      <c r="BZ2" s="641">
        <v>3709</v>
      </c>
      <c r="CA2" s="642">
        <v>3792</v>
      </c>
    </row>
    <row r="3" spans="1:79" ht="101.25">
      <c r="A3" s="36" t="s">
        <v>398</v>
      </c>
      <c r="B3" s="166"/>
      <c r="C3" s="35">
        <v>401</v>
      </c>
      <c r="D3" s="167" t="s">
        <v>514</v>
      </c>
      <c r="E3" s="167" t="s">
        <v>515</v>
      </c>
      <c r="F3" s="43" t="s">
        <v>516</v>
      </c>
      <c r="G3" s="41" t="s">
        <v>517</v>
      </c>
      <c r="H3" s="41" t="s">
        <v>518</v>
      </c>
      <c r="I3" s="41" t="s">
        <v>519</v>
      </c>
      <c r="J3" s="41" t="s">
        <v>520</v>
      </c>
      <c r="K3" s="41" t="s">
        <v>394</v>
      </c>
      <c r="L3" s="322" t="s">
        <v>90</v>
      </c>
      <c r="M3" s="643" t="s">
        <v>265</v>
      </c>
      <c r="N3" s="643" t="s">
        <v>266</v>
      </c>
      <c r="O3" s="644" t="s">
        <v>548</v>
      </c>
      <c r="P3" s="322" t="s">
        <v>91</v>
      </c>
      <c r="Q3" s="643" t="s">
        <v>265</v>
      </c>
      <c r="R3" s="643" t="s">
        <v>266</v>
      </c>
      <c r="S3" s="644" t="s">
        <v>548</v>
      </c>
      <c r="T3" s="322" t="s">
        <v>92</v>
      </c>
      <c r="U3" s="643" t="s">
        <v>265</v>
      </c>
      <c r="V3" s="643" t="s">
        <v>266</v>
      </c>
      <c r="W3" s="644" t="s">
        <v>548</v>
      </c>
      <c r="X3" s="322" t="s">
        <v>93</v>
      </c>
      <c r="Y3" s="643" t="s">
        <v>265</v>
      </c>
      <c r="Z3" s="643" t="s">
        <v>266</v>
      </c>
      <c r="AA3" s="644" t="s">
        <v>548</v>
      </c>
      <c r="AB3" s="322" t="s">
        <v>94</v>
      </c>
      <c r="AC3" s="643" t="s">
        <v>265</v>
      </c>
      <c r="AD3" s="643" t="s">
        <v>266</v>
      </c>
      <c r="AE3" s="644" t="s">
        <v>548</v>
      </c>
      <c r="AF3" s="322" t="s">
        <v>95</v>
      </c>
      <c r="AG3" s="643" t="s">
        <v>265</v>
      </c>
      <c r="AH3" s="643" t="s">
        <v>266</v>
      </c>
      <c r="AI3" s="644" t="s">
        <v>548</v>
      </c>
      <c r="AJ3" s="322" t="s">
        <v>96</v>
      </c>
      <c r="AK3" s="643" t="s">
        <v>265</v>
      </c>
      <c r="AL3" s="643" t="s">
        <v>266</v>
      </c>
      <c r="AM3" s="644" t="s">
        <v>548</v>
      </c>
      <c r="AN3" s="322" t="s">
        <v>97</v>
      </c>
      <c r="AO3" s="643" t="s">
        <v>265</v>
      </c>
      <c r="AP3" s="643" t="s">
        <v>266</v>
      </c>
      <c r="AQ3" s="644" t="s">
        <v>548</v>
      </c>
      <c r="AR3" s="322" t="s">
        <v>98</v>
      </c>
      <c r="AS3" s="643" t="s">
        <v>265</v>
      </c>
      <c r="AT3" s="643" t="s">
        <v>266</v>
      </c>
      <c r="AU3" s="644" t="s">
        <v>548</v>
      </c>
      <c r="AV3" s="322" t="s">
        <v>99</v>
      </c>
      <c r="AW3" s="643" t="s">
        <v>265</v>
      </c>
      <c r="AX3" s="643" t="s">
        <v>266</v>
      </c>
      <c r="AY3" s="644" t="s">
        <v>548</v>
      </c>
      <c r="AZ3" s="322" t="s">
        <v>100</v>
      </c>
      <c r="BA3" s="643" t="s">
        <v>265</v>
      </c>
      <c r="BB3" s="643" t="s">
        <v>266</v>
      </c>
      <c r="BC3" s="644" t="s">
        <v>548</v>
      </c>
      <c r="BD3" s="322" t="s">
        <v>101</v>
      </c>
      <c r="BE3" s="643" t="s">
        <v>265</v>
      </c>
      <c r="BF3" s="643" t="s">
        <v>266</v>
      </c>
      <c r="BG3" s="644" t="s">
        <v>548</v>
      </c>
      <c r="BH3" s="322" t="s">
        <v>102</v>
      </c>
      <c r="BI3" s="643" t="s">
        <v>265</v>
      </c>
      <c r="BJ3" s="643" t="s">
        <v>266</v>
      </c>
      <c r="BK3" s="644" t="s">
        <v>548</v>
      </c>
      <c r="BL3" s="322" t="s">
        <v>103</v>
      </c>
      <c r="BM3" s="643" t="s">
        <v>265</v>
      </c>
      <c r="BN3" s="643" t="s">
        <v>266</v>
      </c>
      <c r="BO3" s="644" t="s">
        <v>548</v>
      </c>
      <c r="BP3" s="322" t="s">
        <v>104</v>
      </c>
      <c r="BQ3" s="643" t="s">
        <v>265</v>
      </c>
      <c r="BR3" s="643" t="s">
        <v>266</v>
      </c>
      <c r="BS3" s="644" t="s">
        <v>548</v>
      </c>
      <c r="BT3" s="322" t="s">
        <v>105</v>
      </c>
      <c r="BU3" s="643" t="s">
        <v>265</v>
      </c>
      <c r="BV3" s="643" t="s">
        <v>266</v>
      </c>
      <c r="BW3" s="644" t="s">
        <v>548</v>
      </c>
      <c r="BX3" s="322" t="s">
        <v>106</v>
      </c>
      <c r="BY3" s="643" t="s">
        <v>265</v>
      </c>
      <c r="BZ3" s="643" t="s">
        <v>266</v>
      </c>
      <c r="CA3" s="644" t="s">
        <v>548</v>
      </c>
    </row>
    <row r="4" spans="1:79" ht="12.75" customHeight="1">
      <c r="A4" s="36"/>
      <c r="B4" s="166"/>
      <c r="C4" s="35">
        <v>662</v>
      </c>
      <c r="D4" s="13"/>
      <c r="E4" s="13"/>
      <c r="F4" s="43" t="s">
        <v>517</v>
      </c>
      <c r="G4" s="43"/>
      <c r="H4" s="43"/>
      <c r="I4" s="43"/>
      <c r="J4" s="43"/>
      <c r="K4" s="43"/>
      <c r="L4" s="177" t="s">
        <v>393</v>
      </c>
      <c r="M4" s="645"/>
      <c r="N4" s="645"/>
      <c r="O4" s="646"/>
      <c r="P4" s="177" t="s">
        <v>393</v>
      </c>
      <c r="Q4" s="645"/>
      <c r="R4" s="645"/>
      <c r="S4" s="646"/>
      <c r="T4" s="177" t="s">
        <v>393</v>
      </c>
      <c r="U4" s="645"/>
      <c r="V4" s="645"/>
      <c r="W4" s="646"/>
      <c r="X4" s="177" t="s">
        <v>393</v>
      </c>
      <c r="Y4" s="645"/>
      <c r="Z4" s="645"/>
      <c r="AA4" s="646"/>
      <c r="AB4" s="177" t="s">
        <v>393</v>
      </c>
      <c r="AC4" s="645"/>
      <c r="AD4" s="645"/>
      <c r="AE4" s="646"/>
      <c r="AF4" s="177" t="s">
        <v>393</v>
      </c>
      <c r="AG4" s="645"/>
      <c r="AH4" s="645"/>
      <c r="AI4" s="646"/>
      <c r="AJ4" s="177" t="s">
        <v>393</v>
      </c>
      <c r="AK4" s="645"/>
      <c r="AL4" s="645"/>
      <c r="AM4" s="646"/>
      <c r="AN4" s="177" t="s">
        <v>393</v>
      </c>
      <c r="AO4" s="645"/>
      <c r="AP4" s="645"/>
      <c r="AQ4" s="646"/>
      <c r="AR4" s="177" t="s">
        <v>393</v>
      </c>
      <c r="AS4" s="645"/>
      <c r="AT4" s="645"/>
      <c r="AU4" s="646"/>
      <c r="AV4" s="177" t="s">
        <v>393</v>
      </c>
      <c r="AW4" s="645"/>
      <c r="AX4" s="645"/>
      <c r="AY4" s="646"/>
      <c r="AZ4" s="177" t="s">
        <v>393</v>
      </c>
      <c r="BA4" s="645"/>
      <c r="BB4" s="645"/>
      <c r="BC4" s="646"/>
      <c r="BD4" s="177" t="s">
        <v>393</v>
      </c>
      <c r="BE4" s="645"/>
      <c r="BF4" s="645"/>
      <c r="BG4" s="646"/>
      <c r="BH4" s="177" t="s">
        <v>393</v>
      </c>
      <c r="BI4" s="645"/>
      <c r="BJ4" s="645"/>
      <c r="BK4" s="646"/>
      <c r="BL4" s="177" t="s">
        <v>393</v>
      </c>
      <c r="BM4" s="645"/>
      <c r="BN4" s="645"/>
      <c r="BO4" s="646"/>
      <c r="BP4" s="177" t="s">
        <v>393</v>
      </c>
      <c r="BQ4" s="645"/>
      <c r="BR4" s="645"/>
      <c r="BS4" s="646"/>
      <c r="BT4" s="177" t="s">
        <v>393</v>
      </c>
      <c r="BU4" s="645"/>
      <c r="BV4" s="645"/>
      <c r="BW4" s="646"/>
      <c r="BX4" s="177" t="s">
        <v>393</v>
      </c>
      <c r="BY4" s="645"/>
      <c r="BZ4" s="645"/>
      <c r="CA4" s="646"/>
    </row>
    <row r="5" spans="1:79">
      <c r="A5" s="36"/>
      <c r="B5" s="166"/>
      <c r="C5" s="35">
        <v>493</v>
      </c>
      <c r="D5" s="13"/>
      <c r="E5" s="13"/>
      <c r="F5" s="43" t="s">
        <v>520</v>
      </c>
      <c r="G5" s="43"/>
      <c r="H5" s="43"/>
      <c r="I5" s="43"/>
      <c r="J5" s="43"/>
      <c r="K5" s="43"/>
      <c r="L5" s="177">
        <v>0</v>
      </c>
      <c r="M5" s="645"/>
      <c r="N5" s="645"/>
      <c r="O5" s="646"/>
      <c r="P5" s="177">
        <v>0</v>
      </c>
      <c r="Q5" s="645"/>
      <c r="R5" s="645"/>
      <c r="S5" s="646"/>
      <c r="T5" s="177">
        <v>0</v>
      </c>
      <c r="U5" s="645"/>
      <c r="V5" s="645"/>
      <c r="W5" s="646"/>
      <c r="X5" s="177">
        <v>0</v>
      </c>
      <c r="Y5" s="645"/>
      <c r="Z5" s="645"/>
      <c r="AA5" s="646"/>
      <c r="AB5" s="177">
        <v>0</v>
      </c>
      <c r="AC5" s="645"/>
      <c r="AD5" s="645"/>
      <c r="AE5" s="646"/>
      <c r="AF5" s="177">
        <v>0</v>
      </c>
      <c r="AG5" s="645"/>
      <c r="AH5" s="645"/>
      <c r="AI5" s="646"/>
      <c r="AJ5" s="177">
        <v>0</v>
      </c>
      <c r="AK5" s="645"/>
      <c r="AL5" s="645"/>
      <c r="AM5" s="646"/>
      <c r="AN5" s="177">
        <v>0</v>
      </c>
      <c r="AO5" s="645"/>
      <c r="AP5" s="645"/>
      <c r="AQ5" s="646"/>
      <c r="AR5" s="177">
        <v>0</v>
      </c>
      <c r="AS5" s="645"/>
      <c r="AT5" s="645"/>
      <c r="AU5" s="646"/>
      <c r="AV5" s="177">
        <v>0</v>
      </c>
      <c r="AW5" s="645"/>
      <c r="AX5" s="645"/>
      <c r="AY5" s="646"/>
      <c r="AZ5" s="177">
        <v>0</v>
      </c>
      <c r="BA5" s="645"/>
      <c r="BB5" s="645"/>
      <c r="BC5" s="646"/>
      <c r="BD5" s="177">
        <v>0</v>
      </c>
      <c r="BE5" s="645"/>
      <c r="BF5" s="645"/>
      <c r="BG5" s="646"/>
      <c r="BH5" s="177">
        <v>0</v>
      </c>
      <c r="BI5" s="645"/>
      <c r="BJ5" s="645"/>
      <c r="BK5" s="646"/>
      <c r="BL5" s="177">
        <v>0</v>
      </c>
      <c r="BM5" s="645"/>
      <c r="BN5" s="645"/>
      <c r="BO5" s="646"/>
      <c r="BP5" s="177">
        <v>0</v>
      </c>
      <c r="BQ5" s="645"/>
      <c r="BR5" s="645"/>
      <c r="BS5" s="646"/>
      <c r="BT5" s="177">
        <v>0</v>
      </c>
      <c r="BU5" s="645"/>
      <c r="BV5" s="645"/>
      <c r="BW5" s="646"/>
      <c r="BX5" s="177">
        <v>0</v>
      </c>
      <c r="BY5" s="645"/>
      <c r="BZ5" s="645"/>
      <c r="CA5" s="646"/>
    </row>
    <row r="6" spans="1:79">
      <c r="A6" s="36"/>
      <c r="B6" s="166"/>
      <c r="C6" s="35">
        <v>403</v>
      </c>
      <c r="D6" s="13"/>
      <c r="E6" s="13"/>
      <c r="F6" s="43" t="s">
        <v>394</v>
      </c>
      <c r="G6" s="351"/>
      <c r="H6" s="43"/>
      <c r="I6" s="43"/>
      <c r="J6" s="43"/>
      <c r="K6" s="43"/>
      <c r="L6" s="177" t="s">
        <v>678</v>
      </c>
      <c r="M6" s="645"/>
      <c r="N6" s="645"/>
      <c r="O6" s="646"/>
      <c r="P6" s="177" t="s">
        <v>678</v>
      </c>
      <c r="Q6" s="645"/>
      <c r="R6" s="645"/>
      <c r="S6" s="646"/>
      <c r="T6" s="177" t="s">
        <v>678</v>
      </c>
      <c r="U6" s="645"/>
      <c r="V6" s="645"/>
      <c r="W6" s="646"/>
      <c r="X6" s="177" t="s">
        <v>678</v>
      </c>
      <c r="Y6" s="645"/>
      <c r="Z6" s="645"/>
      <c r="AA6" s="646"/>
      <c r="AB6" s="177" t="s">
        <v>678</v>
      </c>
      <c r="AC6" s="645"/>
      <c r="AD6" s="645"/>
      <c r="AE6" s="646"/>
      <c r="AF6" s="177" t="s">
        <v>678</v>
      </c>
      <c r="AG6" s="645"/>
      <c r="AH6" s="645"/>
      <c r="AI6" s="646"/>
      <c r="AJ6" s="177" t="s">
        <v>678</v>
      </c>
      <c r="AK6" s="645"/>
      <c r="AL6" s="645"/>
      <c r="AM6" s="646"/>
      <c r="AN6" s="177" t="s">
        <v>678</v>
      </c>
      <c r="AO6" s="645"/>
      <c r="AP6" s="645"/>
      <c r="AQ6" s="646"/>
      <c r="AR6" s="177" t="s">
        <v>678</v>
      </c>
      <c r="AS6" s="645"/>
      <c r="AT6" s="645"/>
      <c r="AU6" s="646"/>
      <c r="AV6" s="177" t="s">
        <v>678</v>
      </c>
      <c r="AW6" s="645"/>
      <c r="AX6" s="645"/>
      <c r="AY6" s="646"/>
      <c r="AZ6" s="177" t="s">
        <v>678</v>
      </c>
      <c r="BA6" s="645"/>
      <c r="BB6" s="645"/>
      <c r="BC6" s="646"/>
      <c r="BD6" s="177" t="s">
        <v>678</v>
      </c>
      <c r="BE6" s="645"/>
      <c r="BF6" s="645"/>
      <c r="BG6" s="646"/>
      <c r="BH6" s="177" t="s">
        <v>678</v>
      </c>
      <c r="BI6" s="645"/>
      <c r="BJ6" s="645"/>
      <c r="BK6" s="646"/>
      <c r="BL6" s="177" t="s">
        <v>678</v>
      </c>
      <c r="BM6" s="645"/>
      <c r="BN6" s="645"/>
      <c r="BO6" s="646"/>
      <c r="BP6" s="177" t="s">
        <v>678</v>
      </c>
      <c r="BQ6" s="645"/>
      <c r="BR6" s="645"/>
      <c r="BS6" s="646"/>
      <c r="BT6" s="177" t="s">
        <v>678</v>
      </c>
      <c r="BU6" s="645"/>
      <c r="BV6" s="645"/>
      <c r="BW6" s="646"/>
      <c r="BX6" s="177" t="s">
        <v>678</v>
      </c>
      <c r="BY6" s="645"/>
      <c r="BZ6" s="645"/>
      <c r="CA6" s="646"/>
    </row>
    <row r="7" spans="1:79" ht="12.75">
      <c r="A7" s="156">
        <v>1289</v>
      </c>
      <c r="B7" s="168" t="s">
        <v>406</v>
      </c>
      <c r="C7" s="151" t="s">
        <v>525</v>
      </c>
      <c r="D7" s="152" t="s">
        <v>527</v>
      </c>
      <c r="E7" s="153" t="s">
        <v>402</v>
      </c>
      <c r="F7" s="144" t="s">
        <v>107</v>
      </c>
      <c r="G7" s="125" t="s">
        <v>402</v>
      </c>
      <c r="H7" s="154" t="s">
        <v>273</v>
      </c>
      <c r="I7" s="123" t="s">
        <v>108</v>
      </c>
      <c r="J7" s="124" t="s">
        <v>402</v>
      </c>
      <c r="K7" s="125" t="s">
        <v>677</v>
      </c>
      <c r="L7" s="155">
        <v>3.8502673796791442</v>
      </c>
      <c r="M7" s="29">
        <v>1</v>
      </c>
      <c r="N7" s="1">
        <v>1.0906744032152329</v>
      </c>
      <c r="O7" s="139" t="s">
        <v>109</v>
      </c>
      <c r="P7" s="155">
        <v>3.8502673796791442</v>
      </c>
      <c r="Q7" s="29">
        <v>1</v>
      </c>
      <c r="R7" s="1">
        <v>1.0906744032152329</v>
      </c>
      <c r="S7" s="139" t="s">
        <v>109</v>
      </c>
      <c r="T7" s="155">
        <v>3.8502673796791442</v>
      </c>
      <c r="U7" s="29">
        <v>1</v>
      </c>
      <c r="V7" s="1">
        <v>1.0906744032152329</v>
      </c>
      <c r="W7" s="139" t="s">
        <v>109</v>
      </c>
      <c r="X7" s="155">
        <v>3.8502673796791442</v>
      </c>
      <c r="Y7" s="29">
        <v>1</v>
      </c>
      <c r="Z7" s="1">
        <v>1.0906744032152329</v>
      </c>
      <c r="AA7" s="139" t="s">
        <v>109</v>
      </c>
      <c r="AB7" s="155">
        <v>3.8502673796791442</v>
      </c>
      <c r="AC7" s="29">
        <v>1</v>
      </c>
      <c r="AD7" s="1">
        <v>1.0906744032152329</v>
      </c>
      <c r="AE7" s="139" t="s">
        <v>109</v>
      </c>
      <c r="AF7" s="155">
        <v>3.8502673796791442</v>
      </c>
      <c r="AG7" s="29">
        <v>1</v>
      </c>
      <c r="AH7" s="1">
        <v>1.0906744032152329</v>
      </c>
      <c r="AI7" s="139" t="s">
        <v>109</v>
      </c>
      <c r="AJ7" s="155">
        <v>3.8502673796791442</v>
      </c>
      <c r="AK7" s="29">
        <v>1</v>
      </c>
      <c r="AL7" s="1">
        <v>1.0906744032152329</v>
      </c>
      <c r="AM7" s="139" t="s">
        <v>109</v>
      </c>
      <c r="AN7" s="155">
        <v>3.8502673796791442</v>
      </c>
      <c r="AO7" s="29">
        <v>1</v>
      </c>
      <c r="AP7" s="1">
        <v>1.0906744032152329</v>
      </c>
      <c r="AQ7" s="139" t="s">
        <v>109</v>
      </c>
      <c r="AR7" s="155">
        <v>3.8502673796791442</v>
      </c>
      <c r="AS7" s="29">
        <v>1</v>
      </c>
      <c r="AT7" s="1">
        <v>1.0906744032152329</v>
      </c>
      <c r="AU7" s="139" t="s">
        <v>109</v>
      </c>
      <c r="AV7" s="155">
        <v>3.8502673796791442</v>
      </c>
      <c r="AW7" s="29">
        <v>1</v>
      </c>
      <c r="AX7" s="1">
        <v>1.0906744032152329</v>
      </c>
      <c r="AY7" s="139" t="s">
        <v>109</v>
      </c>
      <c r="AZ7" s="155">
        <v>3.8502673796791442</v>
      </c>
      <c r="BA7" s="29">
        <v>1</v>
      </c>
      <c r="BB7" s="1">
        <v>1.0906744032152329</v>
      </c>
      <c r="BC7" s="139" t="s">
        <v>109</v>
      </c>
      <c r="BD7" s="155">
        <v>3.8502673796791442</v>
      </c>
      <c r="BE7" s="29">
        <v>1</v>
      </c>
      <c r="BF7" s="1">
        <v>1.0906744032152329</v>
      </c>
      <c r="BG7" s="139" t="s">
        <v>109</v>
      </c>
      <c r="BH7" s="155">
        <v>3.8502673796791442</v>
      </c>
      <c r="BI7" s="29">
        <v>1</v>
      </c>
      <c r="BJ7" s="1">
        <v>1.0906744032152329</v>
      </c>
      <c r="BK7" s="139" t="s">
        <v>109</v>
      </c>
      <c r="BL7" s="155">
        <v>3.8502673796791442</v>
      </c>
      <c r="BM7" s="29">
        <v>1</v>
      </c>
      <c r="BN7" s="1">
        <v>1.0906744032152329</v>
      </c>
      <c r="BO7" s="139" t="s">
        <v>109</v>
      </c>
      <c r="BP7" s="155">
        <v>3.8502673796791442</v>
      </c>
      <c r="BQ7" s="29">
        <v>1</v>
      </c>
      <c r="BR7" s="1">
        <v>1.0906744032152329</v>
      </c>
      <c r="BS7" s="139" t="s">
        <v>109</v>
      </c>
      <c r="BT7" s="155">
        <v>3.8502673796791442</v>
      </c>
      <c r="BU7" s="29">
        <v>1</v>
      </c>
      <c r="BV7" s="1">
        <v>1.0906744032152329</v>
      </c>
      <c r="BW7" s="139" t="s">
        <v>109</v>
      </c>
      <c r="BX7" s="155">
        <v>3.8502673796791442</v>
      </c>
      <c r="BY7" s="29">
        <v>1</v>
      </c>
      <c r="BZ7" s="1">
        <v>1.0906744032152329</v>
      </c>
      <c r="CA7" s="139" t="s">
        <v>109</v>
      </c>
    </row>
    <row r="8" spans="1:79" ht="25.5" customHeight="1">
      <c r="A8" s="226">
        <v>678</v>
      </c>
      <c r="B8" s="168" t="s">
        <v>524</v>
      </c>
      <c r="C8" s="151"/>
      <c r="D8" s="152" t="s">
        <v>526</v>
      </c>
      <c r="E8" s="153" t="s">
        <v>402</v>
      </c>
      <c r="F8" s="144" t="s">
        <v>111</v>
      </c>
      <c r="G8" s="125" t="s">
        <v>393</v>
      </c>
      <c r="H8" s="154" t="s">
        <v>402</v>
      </c>
      <c r="I8" s="123" t="s">
        <v>402</v>
      </c>
      <c r="J8" s="124">
        <v>0</v>
      </c>
      <c r="K8" s="125" t="s">
        <v>395</v>
      </c>
      <c r="L8" s="155">
        <v>7.1209855443993449E-3</v>
      </c>
      <c r="M8" s="29">
        <v>1</v>
      </c>
      <c r="N8" s="1">
        <v>1.0906744032152329</v>
      </c>
      <c r="O8" s="139" t="s">
        <v>112</v>
      </c>
      <c r="P8" s="155">
        <v>7.1209855443993449E-3</v>
      </c>
      <c r="Q8" s="29">
        <v>1</v>
      </c>
      <c r="R8" s="1">
        <v>1.0906744032152329</v>
      </c>
      <c r="S8" s="139" t="s">
        <v>112</v>
      </c>
      <c r="T8" s="155">
        <v>7.3147538585326601E-3</v>
      </c>
      <c r="U8" s="29">
        <v>1</v>
      </c>
      <c r="V8" s="1">
        <v>1.0906744032152329</v>
      </c>
      <c r="W8" s="139" t="s">
        <v>112</v>
      </c>
      <c r="X8" s="155">
        <v>7.3147538585326601E-3</v>
      </c>
      <c r="Y8" s="29">
        <v>1</v>
      </c>
      <c r="Z8" s="1">
        <v>1.0906744032152329</v>
      </c>
      <c r="AA8" s="139" t="s">
        <v>112</v>
      </c>
      <c r="AB8" s="155">
        <v>4.788515225084158E-3</v>
      </c>
      <c r="AC8" s="29">
        <v>1</v>
      </c>
      <c r="AD8" s="1">
        <v>1.0906744032152329</v>
      </c>
      <c r="AE8" s="139" t="s">
        <v>112</v>
      </c>
      <c r="AF8" s="155">
        <v>4.9188149591000534E-3</v>
      </c>
      <c r="AG8" s="29">
        <v>1</v>
      </c>
      <c r="AH8" s="1">
        <v>1.0906744032152329</v>
      </c>
      <c r="AI8" s="139" t="s">
        <v>112</v>
      </c>
      <c r="AJ8" s="155">
        <v>4.788515225084158E-3</v>
      </c>
      <c r="AK8" s="29">
        <v>1</v>
      </c>
      <c r="AL8" s="1">
        <v>1.0906744032152329</v>
      </c>
      <c r="AM8" s="139" t="s">
        <v>112</v>
      </c>
      <c r="AN8" s="155">
        <v>4.788515225084158E-3</v>
      </c>
      <c r="AO8" s="29">
        <v>1</v>
      </c>
      <c r="AP8" s="1">
        <v>1.0906744032152329</v>
      </c>
      <c r="AQ8" s="139" t="s">
        <v>112</v>
      </c>
      <c r="AR8" s="155">
        <v>4.9188149591000534E-3</v>
      </c>
      <c r="AS8" s="29">
        <v>1</v>
      </c>
      <c r="AT8" s="1">
        <v>1.0906744032152329</v>
      </c>
      <c r="AU8" s="139" t="s">
        <v>112</v>
      </c>
      <c r="AV8" s="155">
        <v>4.9188149591000534E-3</v>
      </c>
      <c r="AW8" s="29">
        <v>1</v>
      </c>
      <c r="AX8" s="1">
        <v>1.0906744032152329</v>
      </c>
      <c r="AY8" s="139" t="s">
        <v>112</v>
      </c>
      <c r="AZ8" s="155">
        <v>5.7729804310395838E-3</v>
      </c>
      <c r="BA8" s="29">
        <v>1</v>
      </c>
      <c r="BB8" s="1">
        <v>1.0906744032152329</v>
      </c>
      <c r="BC8" s="139" t="s">
        <v>112</v>
      </c>
      <c r="BD8" s="155">
        <v>5.7729804310395838E-3</v>
      </c>
      <c r="BE8" s="29">
        <v>1</v>
      </c>
      <c r="BF8" s="1">
        <v>1.0906744032152329</v>
      </c>
      <c r="BG8" s="139" t="s">
        <v>112</v>
      </c>
      <c r="BH8" s="155">
        <v>8.7887435626464519E-3</v>
      </c>
      <c r="BI8" s="29">
        <v>1</v>
      </c>
      <c r="BJ8" s="1">
        <v>1.0906744032152329</v>
      </c>
      <c r="BK8" s="139" t="s">
        <v>112</v>
      </c>
      <c r="BL8" s="155">
        <v>6.6718874185717012E-3</v>
      </c>
      <c r="BM8" s="29">
        <v>1</v>
      </c>
      <c r="BN8" s="1">
        <v>1.0906744032152329</v>
      </c>
      <c r="BO8" s="139" t="s">
        <v>112</v>
      </c>
      <c r="BP8" s="155">
        <v>1.1210322464925704E-2</v>
      </c>
      <c r="BQ8" s="29">
        <v>1</v>
      </c>
      <c r="BR8" s="1">
        <v>1.0906744032152329</v>
      </c>
      <c r="BS8" s="139" t="s">
        <v>112</v>
      </c>
      <c r="BT8" s="155">
        <v>1.1210322464925704E-2</v>
      </c>
      <c r="BU8" s="29">
        <v>1</v>
      </c>
      <c r="BV8" s="1">
        <v>1.0906744032152329</v>
      </c>
      <c r="BW8" s="139" t="s">
        <v>112</v>
      </c>
      <c r="BX8" s="155">
        <v>5.4812620526859283E-3</v>
      </c>
      <c r="BY8" s="29">
        <v>1</v>
      </c>
      <c r="BZ8" s="1">
        <v>1.0906744032152329</v>
      </c>
      <c r="CA8" s="139" t="s">
        <v>112</v>
      </c>
    </row>
    <row r="9" spans="1:79" ht="27" customHeight="1">
      <c r="A9" s="2">
        <v>1750</v>
      </c>
      <c r="B9" s="168"/>
      <c r="C9" s="151"/>
      <c r="D9" s="152" t="s">
        <v>526</v>
      </c>
      <c r="E9" s="153" t="s">
        <v>402</v>
      </c>
      <c r="F9" s="144" t="s">
        <v>113</v>
      </c>
      <c r="G9" s="125" t="s">
        <v>393</v>
      </c>
      <c r="H9" s="154" t="s">
        <v>402</v>
      </c>
      <c r="I9" s="123" t="s">
        <v>402</v>
      </c>
      <c r="J9" s="124">
        <v>0</v>
      </c>
      <c r="K9" s="125" t="s">
        <v>409</v>
      </c>
      <c r="L9" s="155">
        <v>7.1209855443993449E-6</v>
      </c>
      <c r="M9" s="29">
        <v>1</v>
      </c>
      <c r="N9" s="1">
        <v>1.0906744032152329</v>
      </c>
      <c r="O9" s="139" t="s">
        <v>112</v>
      </c>
      <c r="P9" s="155">
        <v>7.1209855443993449E-6</v>
      </c>
      <c r="Q9" s="29">
        <v>1</v>
      </c>
      <c r="R9" s="1">
        <v>1.0906744032152329</v>
      </c>
      <c r="S9" s="139" t="s">
        <v>112</v>
      </c>
      <c r="T9" s="155">
        <v>7.31475385853266E-6</v>
      </c>
      <c r="U9" s="29">
        <v>1</v>
      </c>
      <c r="V9" s="1">
        <v>1.0906744032152329</v>
      </c>
      <c r="W9" s="139" t="s">
        <v>112</v>
      </c>
      <c r="X9" s="155">
        <v>7.31475385853266E-6</v>
      </c>
      <c r="Y9" s="29">
        <v>1</v>
      </c>
      <c r="Z9" s="1">
        <v>1.0906744032152329</v>
      </c>
      <c r="AA9" s="139" t="s">
        <v>112</v>
      </c>
      <c r="AB9" s="155">
        <v>4.7885152250841583E-6</v>
      </c>
      <c r="AC9" s="29">
        <v>1</v>
      </c>
      <c r="AD9" s="1">
        <v>1.0906744032152329</v>
      </c>
      <c r="AE9" s="139" t="s">
        <v>112</v>
      </c>
      <c r="AF9" s="155">
        <v>4.9188149591000532E-6</v>
      </c>
      <c r="AG9" s="29">
        <v>1</v>
      </c>
      <c r="AH9" s="1">
        <v>1.0906744032152329</v>
      </c>
      <c r="AI9" s="139" t="s">
        <v>112</v>
      </c>
      <c r="AJ9" s="155">
        <v>4.7885152250841583E-6</v>
      </c>
      <c r="AK9" s="29">
        <v>1</v>
      </c>
      <c r="AL9" s="1">
        <v>1.0906744032152329</v>
      </c>
      <c r="AM9" s="139" t="s">
        <v>112</v>
      </c>
      <c r="AN9" s="155">
        <v>4.7885152250841583E-6</v>
      </c>
      <c r="AO9" s="29">
        <v>1</v>
      </c>
      <c r="AP9" s="1">
        <v>1.0906744032152329</v>
      </c>
      <c r="AQ9" s="139" t="s">
        <v>112</v>
      </c>
      <c r="AR9" s="155">
        <v>4.9188149591000532E-6</v>
      </c>
      <c r="AS9" s="29">
        <v>1</v>
      </c>
      <c r="AT9" s="1">
        <v>1.0906744032152329</v>
      </c>
      <c r="AU9" s="139" t="s">
        <v>112</v>
      </c>
      <c r="AV9" s="155">
        <v>4.9188149591000532E-6</v>
      </c>
      <c r="AW9" s="29">
        <v>1</v>
      </c>
      <c r="AX9" s="1">
        <v>1.0906744032152329</v>
      </c>
      <c r="AY9" s="139" t="s">
        <v>112</v>
      </c>
      <c r="AZ9" s="155">
        <v>5.7729804310395839E-6</v>
      </c>
      <c r="BA9" s="29">
        <v>1</v>
      </c>
      <c r="BB9" s="1">
        <v>1.0906744032152329</v>
      </c>
      <c r="BC9" s="139" t="s">
        <v>112</v>
      </c>
      <c r="BD9" s="155">
        <v>5.7729804310395839E-6</v>
      </c>
      <c r="BE9" s="29">
        <v>1</v>
      </c>
      <c r="BF9" s="1">
        <v>1.0906744032152329</v>
      </c>
      <c r="BG9" s="139" t="s">
        <v>112</v>
      </c>
      <c r="BH9" s="155">
        <v>8.7887435626464518E-6</v>
      </c>
      <c r="BI9" s="29">
        <v>1</v>
      </c>
      <c r="BJ9" s="1">
        <v>1.0906744032152329</v>
      </c>
      <c r="BK9" s="139" t="s">
        <v>112</v>
      </c>
      <c r="BL9" s="155">
        <v>6.671887418571701E-6</v>
      </c>
      <c r="BM9" s="29">
        <v>1</v>
      </c>
      <c r="BN9" s="1">
        <v>1.0906744032152329</v>
      </c>
      <c r="BO9" s="139" t="s">
        <v>112</v>
      </c>
      <c r="BP9" s="354">
        <v>1.1210322464925704E-5</v>
      </c>
      <c r="BQ9" s="29">
        <v>1</v>
      </c>
      <c r="BR9" s="1">
        <v>1.0906744032152329</v>
      </c>
      <c r="BS9" s="139" t="s">
        <v>112</v>
      </c>
      <c r="BT9" s="354">
        <v>1.1210322464925704E-5</v>
      </c>
      <c r="BU9" s="29">
        <v>1</v>
      </c>
      <c r="BV9" s="1">
        <v>1.0906744032152329</v>
      </c>
      <c r="BW9" s="139" t="s">
        <v>112</v>
      </c>
      <c r="BX9" s="155">
        <v>5.4812620526859285E-6</v>
      </c>
      <c r="BY9" s="29">
        <v>1</v>
      </c>
      <c r="BZ9" s="1">
        <v>1.0906744032152329</v>
      </c>
      <c r="CA9" s="139" t="s">
        <v>112</v>
      </c>
    </row>
    <row r="10" spans="1:79" ht="18" customHeight="1">
      <c r="A10" s="464" t="s">
        <v>370</v>
      </c>
      <c r="B10" s="168"/>
      <c r="C10" s="151"/>
      <c r="D10" s="152" t="s">
        <v>526</v>
      </c>
      <c r="E10" s="153" t="s">
        <v>402</v>
      </c>
      <c r="F10" s="144" t="s">
        <v>114</v>
      </c>
      <c r="G10" s="125" t="s">
        <v>393</v>
      </c>
      <c r="H10" s="154" t="s">
        <v>402</v>
      </c>
      <c r="I10" s="123" t="s">
        <v>402</v>
      </c>
      <c r="J10" s="124">
        <v>1</v>
      </c>
      <c r="K10" s="125" t="s">
        <v>522</v>
      </c>
      <c r="L10" s="165">
        <v>0</v>
      </c>
      <c r="M10" s="29">
        <v>1</v>
      </c>
      <c r="N10" s="1">
        <v>1.2365959919080913</v>
      </c>
      <c r="O10" s="139" t="s">
        <v>1678</v>
      </c>
      <c r="P10" s="155">
        <v>0</v>
      </c>
      <c r="Q10" s="29">
        <v>1</v>
      </c>
      <c r="R10" s="1">
        <v>1.2365959919080913</v>
      </c>
      <c r="S10" s="139" t="s">
        <v>1678</v>
      </c>
      <c r="T10" s="155">
        <v>0</v>
      </c>
      <c r="U10" s="29">
        <v>1</v>
      </c>
      <c r="V10" s="1">
        <v>1.2365959919080913</v>
      </c>
      <c r="W10" s="139" t="s">
        <v>1678</v>
      </c>
      <c r="X10" s="155">
        <v>0</v>
      </c>
      <c r="Y10" s="29">
        <v>1</v>
      </c>
      <c r="Z10" s="1">
        <v>1.2365959919080913</v>
      </c>
      <c r="AA10" s="139" t="s">
        <v>1678</v>
      </c>
      <c r="AB10" s="155">
        <v>0</v>
      </c>
      <c r="AC10" s="29">
        <v>1</v>
      </c>
      <c r="AD10" s="1">
        <v>1.2365959919080913</v>
      </c>
      <c r="AE10" s="139" t="s">
        <v>1678</v>
      </c>
      <c r="AF10" s="155">
        <v>0</v>
      </c>
      <c r="AG10" s="29">
        <v>1</v>
      </c>
      <c r="AH10" s="1">
        <v>1.2365959919080913</v>
      </c>
      <c r="AI10" s="139" t="s">
        <v>1678</v>
      </c>
      <c r="AJ10" s="155">
        <v>0</v>
      </c>
      <c r="AK10" s="29">
        <v>1</v>
      </c>
      <c r="AL10" s="1">
        <v>1.2365959919080913</v>
      </c>
      <c r="AM10" s="139" t="s">
        <v>1678</v>
      </c>
      <c r="AN10" s="155">
        <v>0</v>
      </c>
      <c r="AO10" s="29">
        <v>1</v>
      </c>
      <c r="AP10" s="1">
        <v>1.2365959919080913</v>
      </c>
      <c r="AQ10" s="139" t="s">
        <v>1678</v>
      </c>
      <c r="AR10" s="155">
        <v>0</v>
      </c>
      <c r="AS10" s="29">
        <v>1</v>
      </c>
      <c r="AT10" s="1">
        <v>1.2365959919080913</v>
      </c>
      <c r="AU10" s="139" t="s">
        <v>1678</v>
      </c>
      <c r="AV10" s="155">
        <v>0</v>
      </c>
      <c r="AW10" s="29">
        <v>1</v>
      </c>
      <c r="AX10" s="1">
        <v>1.2365959919080913</v>
      </c>
      <c r="AY10" s="139" t="s">
        <v>1678</v>
      </c>
      <c r="AZ10" s="155">
        <v>0</v>
      </c>
      <c r="BA10" s="29">
        <v>1</v>
      </c>
      <c r="BB10" s="1">
        <v>1.2365959919080913</v>
      </c>
      <c r="BC10" s="139" t="s">
        <v>1678</v>
      </c>
      <c r="BD10" s="155">
        <v>0</v>
      </c>
      <c r="BE10" s="29">
        <v>1</v>
      </c>
      <c r="BF10" s="1">
        <v>1.2365959919080913</v>
      </c>
      <c r="BG10" s="139" t="s">
        <v>1678</v>
      </c>
      <c r="BH10" s="155">
        <v>0</v>
      </c>
      <c r="BI10" s="29">
        <v>1</v>
      </c>
      <c r="BJ10" s="1">
        <v>1.2365959919080913</v>
      </c>
      <c r="BK10" s="139" t="s">
        <v>1678</v>
      </c>
      <c r="BL10" s="155">
        <v>0</v>
      </c>
      <c r="BM10" s="29">
        <v>1</v>
      </c>
      <c r="BN10" s="1">
        <v>1.2365959919080913</v>
      </c>
      <c r="BO10" s="139" t="s">
        <v>1678</v>
      </c>
      <c r="BP10" s="155">
        <v>0</v>
      </c>
      <c r="BQ10" s="29">
        <v>1</v>
      </c>
      <c r="BR10" s="1">
        <v>1.2365959919080913</v>
      </c>
      <c r="BS10" s="139" t="s">
        <v>1678</v>
      </c>
      <c r="BT10" s="155">
        <v>0</v>
      </c>
      <c r="BU10" s="29">
        <v>1</v>
      </c>
      <c r="BV10" s="1">
        <v>1.2365959919080913</v>
      </c>
      <c r="BW10" s="139" t="s">
        <v>1678</v>
      </c>
      <c r="BX10" s="155">
        <v>9.9800399201596805E-10</v>
      </c>
      <c r="BY10" s="29">
        <v>1</v>
      </c>
      <c r="BZ10" s="1">
        <v>1.2365959919080913</v>
      </c>
      <c r="CA10" s="139" t="s">
        <v>1678</v>
      </c>
    </row>
    <row r="11" spans="1:79" ht="24">
      <c r="A11" s="464" t="s">
        <v>723</v>
      </c>
      <c r="B11" s="168"/>
      <c r="C11" s="151"/>
      <c r="D11" s="152" t="s">
        <v>526</v>
      </c>
      <c r="E11" s="153" t="s">
        <v>402</v>
      </c>
      <c r="F11" s="144" t="s">
        <v>117</v>
      </c>
      <c r="G11" s="125" t="s">
        <v>393</v>
      </c>
      <c r="H11" s="154" t="s">
        <v>402</v>
      </c>
      <c r="I11" s="123" t="s">
        <v>402</v>
      </c>
      <c r="J11" s="124">
        <v>1</v>
      </c>
      <c r="K11" s="125" t="s">
        <v>522</v>
      </c>
      <c r="L11" s="165">
        <v>0</v>
      </c>
      <c r="M11" s="29">
        <v>1</v>
      </c>
      <c r="N11" s="1">
        <v>1.2365959919080913</v>
      </c>
      <c r="O11" s="139" t="s">
        <v>1678</v>
      </c>
      <c r="P11" s="155">
        <v>0</v>
      </c>
      <c r="Q11" s="29">
        <v>1</v>
      </c>
      <c r="R11" s="1">
        <v>1.2365959919080913</v>
      </c>
      <c r="S11" s="139" t="s">
        <v>1678</v>
      </c>
      <c r="T11" s="155">
        <v>0</v>
      </c>
      <c r="U11" s="29">
        <v>1</v>
      </c>
      <c r="V11" s="1">
        <v>1.2365959919080913</v>
      </c>
      <c r="W11" s="139" t="s">
        <v>1678</v>
      </c>
      <c r="X11" s="155">
        <v>0</v>
      </c>
      <c r="Y11" s="29">
        <v>1</v>
      </c>
      <c r="Z11" s="1">
        <v>1.2365959919080913</v>
      </c>
      <c r="AA11" s="139" t="s">
        <v>1678</v>
      </c>
      <c r="AB11" s="155">
        <v>0</v>
      </c>
      <c r="AC11" s="29">
        <v>1</v>
      </c>
      <c r="AD11" s="1">
        <v>1.2365959919080913</v>
      </c>
      <c r="AE11" s="139" t="s">
        <v>1678</v>
      </c>
      <c r="AF11" s="155">
        <v>0</v>
      </c>
      <c r="AG11" s="29">
        <v>1</v>
      </c>
      <c r="AH11" s="1">
        <v>1.2365959919080913</v>
      </c>
      <c r="AI11" s="139" t="s">
        <v>1678</v>
      </c>
      <c r="AJ11" s="155">
        <v>0</v>
      </c>
      <c r="AK11" s="29">
        <v>1</v>
      </c>
      <c r="AL11" s="1">
        <v>1.2365959919080913</v>
      </c>
      <c r="AM11" s="139" t="s">
        <v>1678</v>
      </c>
      <c r="AN11" s="155">
        <v>0</v>
      </c>
      <c r="AO11" s="29">
        <v>1</v>
      </c>
      <c r="AP11" s="1">
        <v>1.2365959919080913</v>
      </c>
      <c r="AQ11" s="139" t="s">
        <v>1678</v>
      </c>
      <c r="AR11" s="155">
        <v>0</v>
      </c>
      <c r="AS11" s="29">
        <v>1</v>
      </c>
      <c r="AT11" s="1">
        <v>1.2365959919080913</v>
      </c>
      <c r="AU11" s="139" t="s">
        <v>1678</v>
      </c>
      <c r="AV11" s="155">
        <v>0</v>
      </c>
      <c r="AW11" s="29">
        <v>1</v>
      </c>
      <c r="AX11" s="1">
        <v>1.2365959919080913</v>
      </c>
      <c r="AY11" s="139" t="s">
        <v>1678</v>
      </c>
      <c r="AZ11" s="155">
        <v>0</v>
      </c>
      <c r="BA11" s="29">
        <v>1</v>
      </c>
      <c r="BB11" s="1">
        <v>1.2365959919080913</v>
      </c>
      <c r="BC11" s="139" t="s">
        <v>1678</v>
      </c>
      <c r="BD11" s="155">
        <v>0</v>
      </c>
      <c r="BE11" s="29">
        <v>1</v>
      </c>
      <c r="BF11" s="1">
        <v>1.2365959919080913</v>
      </c>
      <c r="BG11" s="139" t="s">
        <v>1678</v>
      </c>
      <c r="BH11" s="155">
        <v>0</v>
      </c>
      <c r="BI11" s="29">
        <v>1</v>
      </c>
      <c r="BJ11" s="1">
        <v>1.2365959919080913</v>
      </c>
      <c r="BK11" s="139" t="s">
        <v>1678</v>
      </c>
      <c r="BL11" s="155">
        <v>0</v>
      </c>
      <c r="BM11" s="29">
        <v>1</v>
      </c>
      <c r="BN11" s="1">
        <v>1.2365959919080913</v>
      </c>
      <c r="BO11" s="139" t="s">
        <v>1678</v>
      </c>
      <c r="BP11" s="155">
        <v>0</v>
      </c>
      <c r="BQ11" s="29">
        <v>1</v>
      </c>
      <c r="BR11" s="1">
        <v>1.2365959919080913</v>
      </c>
      <c r="BS11" s="139" t="s">
        <v>1678</v>
      </c>
      <c r="BT11" s="155">
        <v>0</v>
      </c>
      <c r="BU11" s="29">
        <v>1</v>
      </c>
      <c r="BV11" s="1">
        <v>1.2365959919080913</v>
      </c>
      <c r="BW11" s="139" t="s">
        <v>1678</v>
      </c>
      <c r="BX11" s="155">
        <v>3.8595800975575016E-9</v>
      </c>
      <c r="BY11" s="29">
        <v>1</v>
      </c>
      <c r="BZ11" s="1">
        <v>1.2365959919080913</v>
      </c>
      <c r="CA11" s="139" t="s">
        <v>1678</v>
      </c>
    </row>
    <row r="12" spans="1:79" ht="18" customHeight="1">
      <c r="A12" s="464" t="s">
        <v>724</v>
      </c>
      <c r="B12" s="168"/>
      <c r="C12" s="151"/>
      <c r="D12" s="152" t="s">
        <v>526</v>
      </c>
      <c r="E12" s="153" t="s">
        <v>402</v>
      </c>
      <c r="F12" s="144" t="s">
        <v>118</v>
      </c>
      <c r="G12" s="125" t="s">
        <v>393</v>
      </c>
      <c r="H12" s="154" t="s">
        <v>402</v>
      </c>
      <c r="I12" s="123" t="s">
        <v>402</v>
      </c>
      <c r="J12" s="124">
        <v>1</v>
      </c>
      <c r="K12" s="125" t="s">
        <v>522</v>
      </c>
      <c r="L12" s="165">
        <v>0</v>
      </c>
      <c r="M12" s="29">
        <v>1</v>
      </c>
      <c r="N12" s="1">
        <v>1.2365959919080913</v>
      </c>
      <c r="O12" s="139" t="s">
        <v>1678</v>
      </c>
      <c r="P12" s="155">
        <v>0</v>
      </c>
      <c r="Q12" s="29">
        <v>1</v>
      </c>
      <c r="R12" s="1">
        <v>1.2365959919080913</v>
      </c>
      <c r="S12" s="139" t="s">
        <v>1678</v>
      </c>
      <c r="T12" s="155">
        <v>0</v>
      </c>
      <c r="U12" s="29">
        <v>1</v>
      </c>
      <c r="V12" s="1">
        <v>1.2365959919080913</v>
      </c>
      <c r="W12" s="139" t="s">
        <v>1678</v>
      </c>
      <c r="X12" s="155">
        <v>0</v>
      </c>
      <c r="Y12" s="29">
        <v>1</v>
      </c>
      <c r="Z12" s="1">
        <v>1.2365959919080913</v>
      </c>
      <c r="AA12" s="139" t="s">
        <v>1678</v>
      </c>
      <c r="AB12" s="155">
        <v>0</v>
      </c>
      <c r="AC12" s="29">
        <v>1</v>
      </c>
      <c r="AD12" s="1">
        <v>1.2365959919080913</v>
      </c>
      <c r="AE12" s="139" t="s">
        <v>1678</v>
      </c>
      <c r="AF12" s="155">
        <v>0</v>
      </c>
      <c r="AG12" s="29">
        <v>1</v>
      </c>
      <c r="AH12" s="1">
        <v>1.2365959919080913</v>
      </c>
      <c r="AI12" s="139" t="s">
        <v>1678</v>
      </c>
      <c r="AJ12" s="155">
        <v>0</v>
      </c>
      <c r="AK12" s="29">
        <v>1</v>
      </c>
      <c r="AL12" s="1">
        <v>1.2365959919080913</v>
      </c>
      <c r="AM12" s="139" t="s">
        <v>1678</v>
      </c>
      <c r="AN12" s="155">
        <v>0</v>
      </c>
      <c r="AO12" s="29">
        <v>1</v>
      </c>
      <c r="AP12" s="1">
        <v>1.2365959919080913</v>
      </c>
      <c r="AQ12" s="139" t="s">
        <v>1678</v>
      </c>
      <c r="AR12" s="155">
        <v>0</v>
      </c>
      <c r="AS12" s="29">
        <v>1</v>
      </c>
      <c r="AT12" s="1">
        <v>1.2365959919080913</v>
      </c>
      <c r="AU12" s="139" t="s">
        <v>1678</v>
      </c>
      <c r="AV12" s="155">
        <v>0</v>
      </c>
      <c r="AW12" s="29">
        <v>1</v>
      </c>
      <c r="AX12" s="1">
        <v>1.2365959919080913</v>
      </c>
      <c r="AY12" s="139" t="s">
        <v>1678</v>
      </c>
      <c r="AZ12" s="155">
        <v>0</v>
      </c>
      <c r="BA12" s="29">
        <v>1</v>
      </c>
      <c r="BB12" s="1">
        <v>1.2365959919080913</v>
      </c>
      <c r="BC12" s="139" t="s">
        <v>1678</v>
      </c>
      <c r="BD12" s="155">
        <v>0</v>
      </c>
      <c r="BE12" s="29">
        <v>1</v>
      </c>
      <c r="BF12" s="1">
        <v>1.2365959919080913</v>
      </c>
      <c r="BG12" s="139" t="s">
        <v>1678</v>
      </c>
      <c r="BH12" s="155">
        <v>0</v>
      </c>
      <c r="BI12" s="29">
        <v>1</v>
      </c>
      <c r="BJ12" s="1">
        <v>1.2365959919080913</v>
      </c>
      <c r="BK12" s="139" t="s">
        <v>1678</v>
      </c>
      <c r="BL12" s="155">
        <v>0</v>
      </c>
      <c r="BM12" s="29">
        <v>1</v>
      </c>
      <c r="BN12" s="1">
        <v>1.2365959919080913</v>
      </c>
      <c r="BO12" s="139" t="s">
        <v>1678</v>
      </c>
      <c r="BP12" s="155">
        <v>0</v>
      </c>
      <c r="BQ12" s="29">
        <v>1</v>
      </c>
      <c r="BR12" s="1">
        <v>1.2365959919080913</v>
      </c>
      <c r="BS12" s="139" t="s">
        <v>1678</v>
      </c>
      <c r="BT12" s="155">
        <v>0</v>
      </c>
      <c r="BU12" s="29">
        <v>1</v>
      </c>
      <c r="BV12" s="1">
        <v>1.2365959919080913</v>
      </c>
      <c r="BW12" s="139" t="s">
        <v>1678</v>
      </c>
      <c r="BX12" s="155">
        <v>1.0667305147652497E-8</v>
      </c>
      <c r="BY12" s="29">
        <v>1</v>
      </c>
      <c r="BZ12" s="1">
        <v>1.2365959919080913</v>
      </c>
      <c r="CA12" s="139" t="s">
        <v>1678</v>
      </c>
    </row>
    <row r="13" spans="1:79" ht="18" customHeight="1">
      <c r="A13" s="464" t="s">
        <v>721</v>
      </c>
      <c r="B13" s="168"/>
      <c r="C13" s="151"/>
      <c r="D13" s="152" t="s">
        <v>526</v>
      </c>
      <c r="E13" s="153" t="s">
        <v>402</v>
      </c>
      <c r="F13" s="144" t="s">
        <v>119</v>
      </c>
      <c r="G13" s="125" t="s">
        <v>393</v>
      </c>
      <c r="H13" s="154" t="s">
        <v>402</v>
      </c>
      <c r="I13" s="123" t="s">
        <v>402</v>
      </c>
      <c r="J13" s="124">
        <v>1</v>
      </c>
      <c r="K13" s="125" t="s">
        <v>522</v>
      </c>
      <c r="L13" s="165">
        <v>0</v>
      </c>
      <c r="M13" s="29">
        <v>1</v>
      </c>
      <c r="N13" s="1">
        <v>1.2365959919080913</v>
      </c>
      <c r="O13" s="139" t="s">
        <v>1678</v>
      </c>
      <c r="P13" s="155">
        <v>0</v>
      </c>
      <c r="Q13" s="29">
        <v>1</v>
      </c>
      <c r="R13" s="1">
        <v>1.2365959919080913</v>
      </c>
      <c r="S13" s="139" t="s">
        <v>1678</v>
      </c>
      <c r="T13" s="155">
        <v>0</v>
      </c>
      <c r="U13" s="29">
        <v>1</v>
      </c>
      <c r="V13" s="1">
        <v>1.2365959919080913</v>
      </c>
      <c r="W13" s="139" t="s">
        <v>1678</v>
      </c>
      <c r="X13" s="155">
        <v>0</v>
      </c>
      <c r="Y13" s="29">
        <v>1</v>
      </c>
      <c r="Z13" s="1">
        <v>1.2365959919080913</v>
      </c>
      <c r="AA13" s="139" t="s">
        <v>1678</v>
      </c>
      <c r="AB13" s="155">
        <v>0</v>
      </c>
      <c r="AC13" s="29">
        <v>1</v>
      </c>
      <c r="AD13" s="1">
        <v>1.2365959919080913</v>
      </c>
      <c r="AE13" s="139" t="s">
        <v>1678</v>
      </c>
      <c r="AF13" s="155">
        <v>0</v>
      </c>
      <c r="AG13" s="29">
        <v>1</v>
      </c>
      <c r="AH13" s="1">
        <v>1.2365959919080913</v>
      </c>
      <c r="AI13" s="139" t="s">
        <v>1678</v>
      </c>
      <c r="AJ13" s="155">
        <v>0</v>
      </c>
      <c r="AK13" s="29">
        <v>1</v>
      </c>
      <c r="AL13" s="1">
        <v>1.2365959919080913</v>
      </c>
      <c r="AM13" s="139" t="s">
        <v>1678</v>
      </c>
      <c r="AN13" s="155">
        <v>0</v>
      </c>
      <c r="AO13" s="29">
        <v>1</v>
      </c>
      <c r="AP13" s="1">
        <v>1.2365959919080913</v>
      </c>
      <c r="AQ13" s="139" t="s">
        <v>1678</v>
      </c>
      <c r="AR13" s="155">
        <v>0</v>
      </c>
      <c r="AS13" s="29">
        <v>1</v>
      </c>
      <c r="AT13" s="1">
        <v>1.2365959919080913</v>
      </c>
      <c r="AU13" s="139" t="s">
        <v>1678</v>
      </c>
      <c r="AV13" s="155">
        <v>0</v>
      </c>
      <c r="AW13" s="29">
        <v>1</v>
      </c>
      <c r="AX13" s="1">
        <v>1.2365959919080913</v>
      </c>
      <c r="AY13" s="139" t="s">
        <v>1678</v>
      </c>
      <c r="AZ13" s="155">
        <v>0</v>
      </c>
      <c r="BA13" s="29">
        <v>1</v>
      </c>
      <c r="BB13" s="1">
        <v>1.2365959919080913</v>
      </c>
      <c r="BC13" s="139" t="s">
        <v>1678</v>
      </c>
      <c r="BD13" s="155">
        <v>0</v>
      </c>
      <c r="BE13" s="29">
        <v>1</v>
      </c>
      <c r="BF13" s="1">
        <v>1.2365959919080913</v>
      </c>
      <c r="BG13" s="139" t="s">
        <v>1678</v>
      </c>
      <c r="BH13" s="155">
        <v>0</v>
      </c>
      <c r="BI13" s="29">
        <v>1</v>
      </c>
      <c r="BJ13" s="1">
        <v>1.2365959919080913</v>
      </c>
      <c r="BK13" s="139" t="s">
        <v>1678</v>
      </c>
      <c r="BL13" s="155">
        <v>0</v>
      </c>
      <c r="BM13" s="29">
        <v>1</v>
      </c>
      <c r="BN13" s="1">
        <v>1.2365959919080913</v>
      </c>
      <c r="BO13" s="139" t="s">
        <v>1678</v>
      </c>
      <c r="BP13" s="155">
        <v>0</v>
      </c>
      <c r="BQ13" s="29">
        <v>1</v>
      </c>
      <c r="BR13" s="1">
        <v>1.2365959919080913</v>
      </c>
      <c r="BS13" s="139" t="s">
        <v>1678</v>
      </c>
      <c r="BT13" s="155">
        <v>0</v>
      </c>
      <c r="BU13" s="29">
        <v>1</v>
      </c>
      <c r="BV13" s="1">
        <v>1.2365959919080913</v>
      </c>
      <c r="BW13" s="139" t="s">
        <v>1678</v>
      </c>
      <c r="BX13" s="155">
        <v>3.1187319054566804E-9</v>
      </c>
      <c r="BY13" s="29">
        <v>1</v>
      </c>
      <c r="BZ13" s="1">
        <v>1.2365959919080913</v>
      </c>
      <c r="CA13" s="139" t="s">
        <v>1678</v>
      </c>
    </row>
    <row r="14" spans="1:79" ht="18" customHeight="1">
      <c r="A14" s="464" t="s">
        <v>722</v>
      </c>
      <c r="B14" s="168"/>
      <c r="C14" s="151"/>
      <c r="D14" s="152" t="s">
        <v>526</v>
      </c>
      <c r="E14" s="153" t="s">
        <v>402</v>
      </c>
      <c r="F14" s="144" t="s">
        <v>120</v>
      </c>
      <c r="G14" s="125" t="s">
        <v>393</v>
      </c>
      <c r="H14" s="154" t="s">
        <v>402</v>
      </c>
      <c r="I14" s="123" t="s">
        <v>402</v>
      </c>
      <c r="J14" s="124">
        <v>1</v>
      </c>
      <c r="K14" s="125" t="s">
        <v>522</v>
      </c>
      <c r="L14" s="165">
        <v>0</v>
      </c>
      <c r="M14" s="29">
        <v>1</v>
      </c>
      <c r="N14" s="1">
        <v>1.2365959919080913</v>
      </c>
      <c r="O14" s="139" t="s">
        <v>1678</v>
      </c>
      <c r="P14" s="155">
        <v>0</v>
      </c>
      <c r="Q14" s="29">
        <v>1</v>
      </c>
      <c r="R14" s="1">
        <v>1.2365959919080913</v>
      </c>
      <c r="S14" s="139" t="s">
        <v>1678</v>
      </c>
      <c r="T14" s="155">
        <v>0</v>
      </c>
      <c r="U14" s="29">
        <v>1</v>
      </c>
      <c r="V14" s="1">
        <v>1.2365959919080913</v>
      </c>
      <c r="W14" s="139" t="s">
        <v>1678</v>
      </c>
      <c r="X14" s="155">
        <v>0</v>
      </c>
      <c r="Y14" s="29">
        <v>1</v>
      </c>
      <c r="Z14" s="1">
        <v>1.2365959919080913</v>
      </c>
      <c r="AA14" s="139" t="s">
        <v>1678</v>
      </c>
      <c r="AB14" s="155">
        <v>0</v>
      </c>
      <c r="AC14" s="29">
        <v>1</v>
      </c>
      <c r="AD14" s="1">
        <v>1.2365959919080913</v>
      </c>
      <c r="AE14" s="139" t="s">
        <v>1678</v>
      </c>
      <c r="AF14" s="155">
        <v>0</v>
      </c>
      <c r="AG14" s="29">
        <v>1</v>
      </c>
      <c r="AH14" s="1">
        <v>1.2365959919080913</v>
      </c>
      <c r="AI14" s="139" t="s">
        <v>1678</v>
      </c>
      <c r="AJ14" s="155">
        <v>0</v>
      </c>
      <c r="AK14" s="29">
        <v>1</v>
      </c>
      <c r="AL14" s="1">
        <v>1.2365959919080913</v>
      </c>
      <c r="AM14" s="139" t="s">
        <v>1678</v>
      </c>
      <c r="AN14" s="155">
        <v>0</v>
      </c>
      <c r="AO14" s="29">
        <v>1</v>
      </c>
      <c r="AP14" s="1">
        <v>1.2365959919080913</v>
      </c>
      <c r="AQ14" s="139" t="s">
        <v>1678</v>
      </c>
      <c r="AR14" s="155">
        <v>0</v>
      </c>
      <c r="AS14" s="29">
        <v>1</v>
      </c>
      <c r="AT14" s="1">
        <v>1.2365959919080913</v>
      </c>
      <c r="AU14" s="139" t="s">
        <v>1678</v>
      </c>
      <c r="AV14" s="155">
        <v>0</v>
      </c>
      <c r="AW14" s="29">
        <v>1</v>
      </c>
      <c r="AX14" s="1">
        <v>1.2365959919080913</v>
      </c>
      <c r="AY14" s="139" t="s">
        <v>1678</v>
      </c>
      <c r="AZ14" s="155">
        <v>0</v>
      </c>
      <c r="BA14" s="29">
        <v>1</v>
      </c>
      <c r="BB14" s="1">
        <v>1.2365959919080913</v>
      </c>
      <c r="BC14" s="139" t="s">
        <v>1678</v>
      </c>
      <c r="BD14" s="155">
        <v>0</v>
      </c>
      <c r="BE14" s="29">
        <v>1</v>
      </c>
      <c r="BF14" s="1">
        <v>1.2365959919080913</v>
      </c>
      <c r="BG14" s="139" t="s">
        <v>1678</v>
      </c>
      <c r="BH14" s="155">
        <v>0</v>
      </c>
      <c r="BI14" s="29">
        <v>1</v>
      </c>
      <c r="BJ14" s="1">
        <v>1.2365959919080913</v>
      </c>
      <c r="BK14" s="139" t="s">
        <v>1678</v>
      </c>
      <c r="BL14" s="155">
        <v>0</v>
      </c>
      <c r="BM14" s="29">
        <v>1</v>
      </c>
      <c r="BN14" s="1">
        <v>1.2365959919080913</v>
      </c>
      <c r="BO14" s="139" t="s">
        <v>1678</v>
      </c>
      <c r="BP14" s="155">
        <v>0</v>
      </c>
      <c r="BQ14" s="29">
        <v>1</v>
      </c>
      <c r="BR14" s="1">
        <v>1.2365959919080913</v>
      </c>
      <c r="BS14" s="139" t="s">
        <v>1678</v>
      </c>
      <c r="BT14" s="155">
        <v>0</v>
      </c>
      <c r="BU14" s="29">
        <v>1</v>
      </c>
      <c r="BV14" s="1">
        <v>1.2365959919080913</v>
      </c>
      <c r="BW14" s="139" t="s">
        <v>1678</v>
      </c>
      <c r="BX14" s="155">
        <v>9.9800399201596805E-10</v>
      </c>
      <c r="BY14" s="29">
        <v>1</v>
      </c>
      <c r="BZ14" s="1">
        <v>1.2365959919080913</v>
      </c>
      <c r="CA14" s="139" t="s">
        <v>1678</v>
      </c>
    </row>
    <row r="15" spans="1:79" ht="18" customHeight="1">
      <c r="A15" s="156" t="s">
        <v>1010</v>
      </c>
      <c r="B15" s="168"/>
      <c r="C15" s="151"/>
      <c r="D15" s="152" t="s">
        <v>526</v>
      </c>
      <c r="E15" s="153" t="s">
        <v>402</v>
      </c>
      <c r="F15" s="144" t="s">
        <v>121</v>
      </c>
      <c r="G15" s="125" t="s">
        <v>521</v>
      </c>
      <c r="H15" s="154" t="s">
        <v>402</v>
      </c>
      <c r="I15" s="123" t="s">
        <v>402</v>
      </c>
      <c r="J15" s="124">
        <v>1</v>
      </c>
      <c r="K15" s="125" t="s">
        <v>522</v>
      </c>
      <c r="L15" s="155">
        <v>1.7921146953405018E-5</v>
      </c>
      <c r="M15" s="29">
        <v>1</v>
      </c>
      <c r="N15" s="1">
        <v>1.2365959919080913</v>
      </c>
      <c r="O15" s="139" t="s">
        <v>1679</v>
      </c>
      <c r="P15" s="155">
        <v>0</v>
      </c>
      <c r="Q15" s="29">
        <v>1</v>
      </c>
      <c r="R15" s="1">
        <v>1.2365959919080913</v>
      </c>
      <c r="S15" s="139" t="s">
        <v>1679</v>
      </c>
      <c r="T15" s="155">
        <v>0</v>
      </c>
      <c r="U15" s="29">
        <v>1</v>
      </c>
      <c r="V15" s="1">
        <v>1.2365959919080913</v>
      </c>
      <c r="W15" s="139" t="s">
        <v>1679</v>
      </c>
      <c r="X15" s="155">
        <v>0</v>
      </c>
      <c r="Y15" s="29">
        <v>1</v>
      </c>
      <c r="Z15" s="1">
        <v>1.2365959919080913</v>
      </c>
      <c r="AA15" s="139" t="s">
        <v>1679</v>
      </c>
      <c r="AB15" s="155">
        <v>0</v>
      </c>
      <c r="AC15" s="29">
        <v>1</v>
      </c>
      <c r="AD15" s="1">
        <v>1.2365959919080913</v>
      </c>
      <c r="AE15" s="139" t="s">
        <v>1679</v>
      </c>
      <c r="AF15" s="155">
        <v>0</v>
      </c>
      <c r="AG15" s="29">
        <v>1</v>
      </c>
      <c r="AH15" s="1">
        <v>1.2365959919080913</v>
      </c>
      <c r="AI15" s="139" t="s">
        <v>1679</v>
      </c>
      <c r="AJ15" s="155">
        <v>0</v>
      </c>
      <c r="AK15" s="29">
        <v>1</v>
      </c>
      <c r="AL15" s="1">
        <v>1.2365959919080913</v>
      </c>
      <c r="AM15" s="139" t="s">
        <v>1679</v>
      </c>
      <c r="AN15" s="155">
        <v>0</v>
      </c>
      <c r="AO15" s="29">
        <v>1</v>
      </c>
      <c r="AP15" s="1">
        <v>1.2365959919080913</v>
      </c>
      <c r="AQ15" s="139" t="s">
        <v>1679</v>
      </c>
      <c r="AR15" s="155">
        <v>0</v>
      </c>
      <c r="AS15" s="29">
        <v>1</v>
      </c>
      <c r="AT15" s="1">
        <v>1.2365959919080913</v>
      </c>
      <c r="AU15" s="139" t="s">
        <v>1679</v>
      </c>
      <c r="AV15" s="155">
        <v>0</v>
      </c>
      <c r="AW15" s="29">
        <v>1</v>
      </c>
      <c r="AX15" s="1">
        <v>1.2365959919080913</v>
      </c>
      <c r="AY15" s="139" t="s">
        <v>1679</v>
      </c>
      <c r="AZ15" s="155">
        <v>0</v>
      </c>
      <c r="BA15" s="29">
        <v>1</v>
      </c>
      <c r="BB15" s="1">
        <v>1.2365959919080913</v>
      </c>
      <c r="BC15" s="139" t="s">
        <v>1679</v>
      </c>
      <c r="BD15" s="155">
        <v>0</v>
      </c>
      <c r="BE15" s="29">
        <v>1</v>
      </c>
      <c r="BF15" s="1">
        <v>1.2365959919080913</v>
      </c>
      <c r="BG15" s="139" t="s">
        <v>1679</v>
      </c>
      <c r="BH15" s="155">
        <v>0</v>
      </c>
      <c r="BI15" s="29">
        <v>1</v>
      </c>
      <c r="BJ15" s="1">
        <v>1.2365959919080913</v>
      </c>
      <c r="BK15" s="139" t="s">
        <v>1679</v>
      </c>
      <c r="BL15" s="155">
        <v>0</v>
      </c>
      <c r="BM15" s="29">
        <v>1</v>
      </c>
      <c r="BN15" s="1">
        <v>1.2365959919080913</v>
      </c>
      <c r="BO15" s="139" t="s">
        <v>1679</v>
      </c>
      <c r="BP15" s="155">
        <v>0</v>
      </c>
      <c r="BQ15" s="29">
        <v>1</v>
      </c>
      <c r="BR15" s="1">
        <v>1.2365959919080913</v>
      </c>
      <c r="BS15" s="139" t="s">
        <v>1679</v>
      </c>
      <c r="BT15" s="155">
        <v>0</v>
      </c>
      <c r="BU15" s="29">
        <v>1</v>
      </c>
      <c r="BV15" s="1">
        <v>1.2365959919080913</v>
      </c>
      <c r="BW15" s="139" t="s">
        <v>1679</v>
      </c>
      <c r="BX15" s="155">
        <v>3.2061135404350144E-7</v>
      </c>
      <c r="BY15" s="29">
        <v>1</v>
      </c>
      <c r="BZ15" s="1">
        <v>1.2365959919080913</v>
      </c>
      <c r="CA15" s="139" t="s">
        <v>1679</v>
      </c>
    </row>
    <row r="16" spans="1:79" ht="18" customHeight="1">
      <c r="A16" s="156" t="s">
        <v>1011</v>
      </c>
      <c r="B16" s="168" t="s">
        <v>525</v>
      </c>
      <c r="C16" s="151"/>
      <c r="D16" s="152" t="s">
        <v>526</v>
      </c>
      <c r="E16" s="153" t="s">
        <v>402</v>
      </c>
      <c r="F16" s="144" t="s">
        <v>122</v>
      </c>
      <c r="G16" s="125" t="s">
        <v>521</v>
      </c>
      <c r="H16" s="154" t="s">
        <v>402</v>
      </c>
      <c r="I16" s="123" t="s">
        <v>402</v>
      </c>
      <c r="J16" s="124">
        <v>1</v>
      </c>
      <c r="K16" s="125" t="s">
        <v>522</v>
      </c>
      <c r="L16" s="155">
        <v>0</v>
      </c>
      <c r="M16" s="29">
        <v>1</v>
      </c>
      <c r="N16" s="1">
        <v>1.2365959919080913</v>
      </c>
      <c r="O16" s="139" t="s">
        <v>1679</v>
      </c>
      <c r="P16" s="155">
        <v>1.7921146953405018E-5</v>
      </c>
      <c r="Q16" s="29">
        <v>1</v>
      </c>
      <c r="R16" s="1">
        <v>1.2365959919080913</v>
      </c>
      <c r="S16" s="139" t="s">
        <v>1679</v>
      </c>
      <c r="T16" s="155">
        <v>0</v>
      </c>
      <c r="U16" s="29">
        <v>1</v>
      </c>
      <c r="V16" s="1">
        <v>1.2365959919080913</v>
      </c>
      <c r="W16" s="139" t="s">
        <v>1679</v>
      </c>
      <c r="X16" s="155">
        <v>0</v>
      </c>
      <c r="Y16" s="29">
        <v>1</v>
      </c>
      <c r="Z16" s="1">
        <v>1.2365959919080913</v>
      </c>
      <c r="AA16" s="139" t="s">
        <v>1679</v>
      </c>
      <c r="AB16" s="155">
        <v>0</v>
      </c>
      <c r="AC16" s="29">
        <v>1</v>
      </c>
      <c r="AD16" s="1">
        <v>1.2365959919080913</v>
      </c>
      <c r="AE16" s="139" t="s">
        <v>1679</v>
      </c>
      <c r="AF16" s="155">
        <v>0</v>
      </c>
      <c r="AG16" s="29">
        <v>1</v>
      </c>
      <c r="AH16" s="1">
        <v>1.2365959919080913</v>
      </c>
      <c r="AI16" s="139" t="s">
        <v>1679</v>
      </c>
      <c r="AJ16" s="155">
        <v>0</v>
      </c>
      <c r="AK16" s="29">
        <v>1</v>
      </c>
      <c r="AL16" s="1">
        <v>1.2365959919080913</v>
      </c>
      <c r="AM16" s="139" t="s">
        <v>1679</v>
      </c>
      <c r="AN16" s="155">
        <v>0</v>
      </c>
      <c r="AO16" s="29">
        <v>1</v>
      </c>
      <c r="AP16" s="1">
        <v>1.2365959919080913</v>
      </c>
      <c r="AQ16" s="139" t="s">
        <v>1679</v>
      </c>
      <c r="AR16" s="155">
        <v>0</v>
      </c>
      <c r="AS16" s="29">
        <v>1</v>
      </c>
      <c r="AT16" s="1">
        <v>1.2365959919080913</v>
      </c>
      <c r="AU16" s="139" t="s">
        <v>1679</v>
      </c>
      <c r="AV16" s="155">
        <v>0</v>
      </c>
      <c r="AW16" s="29">
        <v>1</v>
      </c>
      <c r="AX16" s="1">
        <v>1.2365959919080913</v>
      </c>
      <c r="AY16" s="139" t="s">
        <v>1679</v>
      </c>
      <c r="AZ16" s="155">
        <v>0</v>
      </c>
      <c r="BA16" s="29">
        <v>1</v>
      </c>
      <c r="BB16" s="1">
        <v>1.2365959919080913</v>
      </c>
      <c r="BC16" s="139" t="s">
        <v>1679</v>
      </c>
      <c r="BD16" s="155">
        <v>0</v>
      </c>
      <c r="BE16" s="29">
        <v>1</v>
      </c>
      <c r="BF16" s="1">
        <v>1.2365959919080913</v>
      </c>
      <c r="BG16" s="139" t="s">
        <v>1679</v>
      </c>
      <c r="BH16" s="155">
        <v>0</v>
      </c>
      <c r="BI16" s="29">
        <v>1</v>
      </c>
      <c r="BJ16" s="1">
        <v>1.2365959919080913</v>
      </c>
      <c r="BK16" s="139" t="s">
        <v>1679</v>
      </c>
      <c r="BL16" s="155">
        <v>0</v>
      </c>
      <c r="BM16" s="29">
        <v>1</v>
      </c>
      <c r="BN16" s="1">
        <v>1.2365959919080913</v>
      </c>
      <c r="BO16" s="139" t="s">
        <v>1679</v>
      </c>
      <c r="BP16" s="155">
        <v>0</v>
      </c>
      <c r="BQ16" s="29">
        <v>1</v>
      </c>
      <c r="BR16" s="1">
        <v>1.2365959919080913</v>
      </c>
      <c r="BS16" s="139" t="s">
        <v>1679</v>
      </c>
      <c r="BT16" s="155">
        <v>0</v>
      </c>
      <c r="BU16" s="29">
        <v>1</v>
      </c>
      <c r="BV16" s="1">
        <v>1.2365959919080913</v>
      </c>
      <c r="BW16" s="139" t="s">
        <v>1679</v>
      </c>
      <c r="BX16" s="155">
        <v>3.2061135404350144E-7</v>
      </c>
      <c r="BY16" s="29">
        <v>1</v>
      </c>
      <c r="BZ16" s="1">
        <v>1.2365959919080913</v>
      </c>
      <c r="CA16" s="139" t="s">
        <v>1679</v>
      </c>
    </row>
    <row r="17" spans="1:79" ht="18" customHeight="1">
      <c r="A17" s="156" t="s">
        <v>1015</v>
      </c>
      <c r="B17" s="168" t="s">
        <v>525</v>
      </c>
      <c r="C17" s="151"/>
      <c r="D17" s="152" t="s">
        <v>526</v>
      </c>
      <c r="E17" s="153" t="s">
        <v>402</v>
      </c>
      <c r="F17" s="144" t="s">
        <v>123</v>
      </c>
      <c r="G17" s="125" t="s">
        <v>521</v>
      </c>
      <c r="H17" s="154" t="s">
        <v>402</v>
      </c>
      <c r="I17" s="123" t="s">
        <v>402</v>
      </c>
      <c r="J17" s="124">
        <v>1</v>
      </c>
      <c r="K17" s="125" t="s">
        <v>522</v>
      </c>
      <c r="L17" s="155">
        <v>0</v>
      </c>
      <c r="M17" s="29">
        <v>1</v>
      </c>
      <c r="N17" s="1">
        <v>1.2365959919080913</v>
      </c>
      <c r="O17" s="139" t="s">
        <v>1679</v>
      </c>
      <c r="P17" s="155">
        <v>0</v>
      </c>
      <c r="Q17" s="29">
        <v>1</v>
      </c>
      <c r="R17" s="1">
        <v>1.2365959919080913</v>
      </c>
      <c r="S17" s="139" t="s">
        <v>1679</v>
      </c>
      <c r="T17" s="155">
        <v>1.7921146953405018E-5</v>
      </c>
      <c r="U17" s="29">
        <v>1</v>
      </c>
      <c r="V17" s="1">
        <v>1.2365959919080913</v>
      </c>
      <c r="W17" s="139" t="s">
        <v>1679</v>
      </c>
      <c r="X17" s="155">
        <v>0</v>
      </c>
      <c r="Y17" s="29">
        <v>1</v>
      </c>
      <c r="Z17" s="1">
        <v>1.2365959919080913</v>
      </c>
      <c r="AA17" s="139" t="s">
        <v>1679</v>
      </c>
      <c r="AB17" s="155">
        <v>0</v>
      </c>
      <c r="AC17" s="29">
        <v>1</v>
      </c>
      <c r="AD17" s="1">
        <v>1.2365959919080913</v>
      </c>
      <c r="AE17" s="139" t="s">
        <v>1679</v>
      </c>
      <c r="AF17" s="155">
        <v>0</v>
      </c>
      <c r="AG17" s="29">
        <v>1</v>
      </c>
      <c r="AH17" s="1">
        <v>1.2365959919080913</v>
      </c>
      <c r="AI17" s="139" t="s">
        <v>1679</v>
      </c>
      <c r="AJ17" s="155">
        <v>0</v>
      </c>
      <c r="AK17" s="29">
        <v>1</v>
      </c>
      <c r="AL17" s="1">
        <v>1.2365959919080913</v>
      </c>
      <c r="AM17" s="139" t="s">
        <v>1679</v>
      </c>
      <c r="AN17" s="155">
        <v>0</v>
      </c>
      <c r="AO17" s="29">
        <v>1</v>
      </c>
      <c r="AP17" s="1">
        <v>1.2365959919080913</v>
      </c>
      <c r="AQ17" s="139" t="s">
        <v>1679</v>
      </c>
      <c r="AR17" s="155">
        <v>0</v>
      </c>
      <c r="AS17" s="29">
        <v>1</v>
      </c>
      <c r="AT17" s="1">
        <v>1.2365959919080913</v>
      </c>
      <c r="AU17" s="139" t="s">
        <v>1679</v>
      </c>
      <c r="AV17" s="155">
        <v>0</v>
      </c>
      <c r="AW17" s="29">
        <v>1</v>
      </c>
      <c r="AX17" s="1">
        <v>1.2365959919080913</v>
      </c>
      <c r="AY17" s="139" t="s">
        <v>1679</v>
      </c>
      <c r="AZ17" s="155">
        <v>0</v>
      </c>
      <c r="BA17" s="29">
        <v>1</v>
      </c>
      <c r="BB17" s="1">
        <v>1.2365959919080913</v>
      </c>
      <c r="BC17" s="139" t="s">
        <v>1679</v>
      </c>
      <c r="BD17" s="155">
        <v>0</v>
      </c>
      <c r="BE17" s="29">
        <v>1</v>
      </c>
      <c r="BF17" s="1">
        <v>1.2365959919080913</v>
      </c>
      <c r="BG17" s="139" t="s">
        <v>1679</v>
      </c>
      <c r="BH17" s="155">
        <v>0</v>
      </c>
      <c r="BI17" s="29">
        <v>1</v>
      </c>
      <c r="BJ17" s="1">
        <v>1.2365959919080913</v>
      </c>
      <c r="BK17" s="139" t="s">
        <v>1679</v>
      </c>
      <c r="BL17" s="155">
        <v>0</v>
      </c>
      <c r="BM17" s="29">
        <v>1</v>
      </c>
      <c r="BN17" s="1">
        <v>1.2365959919080913</v>
      </c>
      <c r="BO17" s="139" t="s">
        <v>1679</v>
      </c>
      <c r="BP17" s="155">
        <v>0</v>
      </c>
      <c r="BQ17" s="29">
        <v>1</v>
      </c>
      <c r="BR17" s="1">
        <v>1.2365959919080913</v>
      </c>
      <c r="BS17" s="139" t="s">
        <v>1679</v>
      </c>
      <c r="BT17" s="155">
        <v>0</v>
      </c>
      <c r="BU17" s="29">
        <v>1</v>
      </c>
      <c r="BV17" s="1">
        <v>1.2365959919080913</v>
      </c>
      <c r="BW17" s="139" t="s">
        <v>1679</v>
      </c>
      <c r="BX17" s="155">
        <v>4.7531452614439021E-7</v>
      </c>
      <c r="BY17" s="29">
        <v>1</v>
      </c>
      <c r="BZ17" s="1">
        <v>1.2365959919080913</v>
      </c>
      <c r="CA17" s="139" t="s">
        <v>1679</v>
      </c>
    </row>
    <row r="18" spans="1:79" ht="18" customHeight="1">
      <c r="A18" s="156" t="s">
        <v>1016</v>
      </c>
      <c r="B18" s="168" t="s">
        <v>525</v>
      </c>
      <c r="C18" s="151"/>
      <c r="D18" s="152" t="s">
        <v>526</v>
      </c>
      <c r="E18" s="153" t="s">
        <v>402</v>
      </c>
      <c r="F18" s="144" t="s">
        <v>124</v>
      </c>
      <c r="G18" s="125" t="s">
        <v>521</v>
      </c>
      <c r="H18" s="154" t="s">
        <v>402</v>
      </c>
      <c r="I18" s="123" t="s">
        <v>402</v>
      </c>
      <c r="J18" s="124">
        <v>1</v>
      </c>
      <c r="K18" s="125" t="s">
        <v>522</v>
      </c>
      <c r="L18" s="155">
        <v>0</v>
      </c>
      <c r="M18" s="29">
        <v>1</v>
      </c>
      <c r="N18" s="1">
        <v>1.2365959919080913</v>
      </c>
      <c r="O18" s="139" t="s">
        <v>1679</v>
      </c>
      <c r="P18" s="155">
        <v>0</v>
      </c>
      <c r="Q18" s="29">
        <v>1</v>
      </c>
      <c r="R18" s="1">
        <v>1.2365959919080913</v>
      </c>
      <c r="S18" s="139" t="s">
        <v>1679</v>
      </c>
      <c r="T18" s="155">
        <v>0</v>
      </c>
      <c r="U18" s="29">
        <v>1</v>
      </c>
      <c r="V18" s="1">
        <v>1.2365959919080913</v>
      </c>
      <c r="W18" s="139" t="s">
        <v>1679</v>
      </c>
      <c r="X18" s="155">
        <v>1.7921146953405018E-5</v>
      </c>
      <c r="Y18" s="29">
        <v>1</v>
      </c>
      <c r="Z18" s="1">
        <v>1.2365959919080913</v>
      </c>
      <c r="AA18" s="139" t="s">
        <v>1679</v>
      </c>
      <c r="AB18" s="155">
        <v>0</v>
      </c>
      <c r="AC18" s="29">
        <v>1</v>
      </c>
      <c r="AD18" s="1">
        <v>1.2365959919080913</v>
      </c>
      <c r="AE18" s="139" t="s">
        <v>1679</v>
      </c>
      <c r="AF18" s="155">
        <v>0</v>
      </c>
      <c r="AG18" s="29">
        <v>1</v>
      </c>
      <c r="AH18" s="1">
        <v>1.2365959919080913</v>
      </c>
      <c r="AI18" s="139" t="s">
        <v>1679</v>
      </c>
      <c r="AJ18" s="155">
        <v>0</v>
      </c>
      <c r="AK18" s="29">
        <v>1</v>
      </c>
      <c r="AL18" s="1">
        <v>1.2365959919080913</v>
      </c>
      <c r="AM18" s="139" t="s">
        <v>1679</v>
      </c>
      <c r="AN18" s="155">
        <v>0</v>
      </c>
      <c r="AO18" s="29">
        <v>1</v>
      </c>
      <c r="AP18" s="1">
        <v>1.2365959919080913</v>
      </c>
      <c r="AQ18" s="139" t="s">
        <v>1679</v>
      </c>
      <c r="AR18" s="155">
        <v>0</v>
      </c>
      <c r="AS18" s="29">
        <v>1</v>
      </c>
      <c r="AT18" s="1">
        <v>1.2365959919080913</v>
      </c>
      <c r="AU18" s="139" t="s">
        <v>1679</v>
      </c>
      <c r="AV18" s="155">
        <v>0</v>
      </c>
      <c r="AW18" s="29">
        <v>1</v>
      </c>
      <c r="AX18" s="1">
        <v>1.2365959919080913</v>
      </c>
      <c r="AY18" s="139" t="s">
        <v>1679</v>
      </c>
      <c r="AZ18" s="155">
        <v>0</v>
      </c>
      <c r="BA18" s="29">
        <v>1</v>
      </c>
      <c r="BB18" s="1">
        <v>1.2365959919080913</v>
      </c>
      <c r="BC18" s="139" t="s">
        <v>1679</v>
      </c>
      <c r="BD18" s="155">
        <v>0</v>
      </c>
      <c r="BE18" s="29">
        <v>1</v>
      </c>
      <c r="BF18" s="1">
        <v>1.2365959919080913</v>
      </c>
      <c r="BG18" s="139" t="s">
        <v>1679</v>
      </c>
      <c r="BH18" s="155">
        <v>0</v>
      </c>
      <c r="BI18" s="29">
        <v>1</v>
      </c>
      <c r="BJ18" s="1">
        <v>1.2365959919080913</v>
      </c>
      <c r="BK18" s="139" t="s">
        <v>1679</v>
      </c>
      <c r="BL18" s="155">
        <v>0</v>
      </c>
      <c r="BM18" s="29">
        <v>1</v>
      </c>
      <c r="BN18" s="1">
        <v>1.2365959919080913</v>
      </c>
      <c r="BO18" s="139" t="s">
        <v>1679</v>
      </c>
      <c r="BP18" s="155">
        <v>0</v>
      </c>
      <c r="BQ18" s="29">
        <v>1</v>
      </c>
      <c r="BR18" s="1">
        <v>1.2365959919080913</v>
      </c>
      <c r="BS18" s="139" t="s">
        <v>1679</v>
      </c>
      <c r="BT18" s="155">
        <v>0</v>
      </c>
      <c r="BU18" s="29">
        <v>1</v>
      </c>
      <c r="BV18" s="1">
        <v>1.2365959919080913</v>
      </c>
      <c r="BW18" s="139" t="s">
        <v>1679</v>
      </c>
      <c r="BX18" s="155">
        <v>4.7531452614439021E-7</v>
      </c>
      <c r="BY18" s="29">
        <v>1</v>
      </c>
      <c r="BZ18" s="1">
        <v>1.2365959919080913</v>
      </c>
      <c r="CA18" s="139" t="s">
        <v>1679</v>
      </c>
    </row>
    <row r="19" spans="1:79" ht="18" customHeight="1">
      <c r="A19" s="156" t="s">
        <v>1012</v>
      </c>
      <c r="B19" s="168" t="s">
        <v>525</v>
      </c>
      <c r="C19" s="151"/>
      <c r="D19" s="152" t="s">
        <v>526</v>
      </c>
      <c r="E19" s="153" t="s">
        <v>402</v>
      </c>
      <c r="F19" s="144" t="s">
        <v>125</v>
      </c>
      <c r="G19" s="125" t="s">
        <v>521</v>
      </c>
      <c r="H19" s="154" t="s">
        <v>402</v>
      </c>
      <c r="I19" s="123" t="s">
        <v>402</v>
      </c>
      <c r="J19" s="124">
        <v>1</v>
      </c>
      <c r="K19" s="125" t="s">
        <v>522</v>
      </c>
      <c r="L19" s="155">
        <v>0</v>
      </c>
      <c r="M19" s="29">
        <v>1</v>
      </c>
      <c r="N19" s="1">
        <v>1.2365959919080913</v>
      </c>
      <c r="O19" s="139" t="s">
        <v>1679</v>
      </c>
      <c r="P19" s="155">
        <v>0</v>
      </c>
      <c r="Q19" s="29">
        <v>1</v>
      </c>
      <c r="R19" s="1">
        <v>1.2365959919080913</v>
      </c>
      <c r="S19" s="139" t="s">
        <v>1679</v>
      </c>
      <c r="T19" s="155">
        <v>0</v>
      </c>
      <c r="U19" s="29">
        <v>1</v>
      </c>
      <c r="V19" s="1">
        <v>1.2365959919080913</v>
      </c>
      <c r="W19" s="139" t="s">
        <v>1679</v>
      </c>
      <c r="X19" s="155">
        <v>0</v>
      </c>
      <c r="Y19" s="29">
        <v>1</v>
      </c>
      <c r="Z19" s="1">
        <v>1.2365959919080913</v>
      </c>
      <c r="AA19" s="139" t="s">
        <v>1679</v>
      </c>
      <c r="AB19" s="155">
        <v>1.2051096649795132E-5</v>
      </c>
      <c r="AC19" s="29">
        <v>1</v>
      </c>
      <c r="AD19" s="1">
        <v>1.2365959919080913</v>
      </c>
      <c r="AE19" s="139" t="s">
        <v>1679</v>
      </c>
      <c r="AF19" s="155">
        <v>0</v>
      </c>
      <c r="AG19" s="29">
        <v>1</v>
      </c>
      <c r="AH19" s="1">
        <v>1.2365959919080913</v>
      </c>
      <c r="AI19" s="139" t="s">
        <v>1679</v>
      </c>
      <c r="AJ19" s="155">
        <v>0</v>
      </c>
      <c r="AK19" s="29">
        <v>1</v>
      </c>
      <c r="AL19" s="1">
        <v>1.2365959919080913</v>
      </c>
      <c r="AM19" s="139" t="s">
        <v>1679</v>
      </c>
      <c r="AN19" s="155">
        <v>0</v>
      </c>
      <c r="AO19" s="29">
        <v>1</v>
      </c>
      <c r="AP19" s="1">
        <v>1.2365959919080913</v>
      </c>
      <c r="AQ19" s="139" t="s">
        <v>1679</v>
      </c>
      <c r="AR19" s="155">
        <v>0</v>
      </c>
      <c r="AS19" s="29">
        <v>1</v>
      </c>
      <c r="AT19" s="1">
        <v>1.2365959919080913</v>
      </c>
      <c r="AU19" s="139" t="s">
        <v>1679</v>
      </c>
      <c r="AV19" s="155">
        <v>0</v>
      </c>
      <c r="AW19" s="29">
        <v>1</v>
      </c>
      <c r="AX19" s="1">
        <v>1.2365959919080913</v>
      </c>
      <c r="AY19" s="139" t="s">
        <v>1679</v>
      </c>
      <c r="AZ19" s="155">
        <v>0</v>
      </c>
      <c r="BA19" s="29">
        <v>1</v>
      </c>
      <c r="BB19" s="1">
        <v>1.2365959919080913</v>
      </c>
      <c r="BC19" s="139" t="s">
        <v>1679</v>
      </c>
      <c r="BD19" s="155">
        <v>0</v>
      </c>
      <c r="BE19" s="29">
        <v>1</v>
      </c>
      <c r="BF19" s="1">
        <v>1.2365959919080913</v>
      </c>
      <c r="BG19" s="139" t="s">
        <v>1679</v>
      </c>
      <c r="BH19" s="155">
        <v>0</v>
      </c>
      <c r="BI19" s="29">
        <v>1</v>
      </c>
      <c r="BJ19" s="1">
        <v>1.2365959919080913</v>
      </c>
      <c r="BK19" s="139" t="s">
        <v>1679</v>
      </c>
      <c r="BL19" s="155">
        <v>0</v>
      </c>
      <c r="BM19" s="29">
        <v>1</v>
      </c>
      <c r="BN19" s="1">
        <v>1.2365959919080913</v>
      </c>
      <c r="BO19" s="139" t="s">
        <v>1679</v>
      </c>
      <c r="BP19" s="155">
        <v>0</v>
      </c>
      <c r="BQ19" s="29">
        <v>1</v>
      </c>
      <c r="BR19" s="1">
        <v>1.2365959919080913</v>
      </c>
      <c r="BS19" s="139" t="s">
        <v>1679</v>
      </c>
      <c r="BT19" s="155">
        <v>0</v>
      </c>
      <c r="BU19" s="29">
        <v>1</v>
      </c>
      <c r="BV19" s="1">
        <v>1.2365959919080913</v>
      </c>
      <c r="BW19" s="139" t="s">
        <v>1679</v>
      </c>
      <c r="BX19" s="155">
        <v>2.4827627217290486E-7</v>
      </c>
      <c r="BY19" s="29">
        <v>1</v>
      </c>
      <c r="BZ19" s="1">
        <v>1.2365959919080913</v>
      </c>
      <c r="CA19" s="139" t="s">
        <v>1679</v>
      </c>
    </row>
    <row r="20" spans="1:79" ht="18" customHeight="1">
      <c r="A20" s="156" t="s">
        <v>1017</v>
      </c>
      <c r="B20" s="168" t="s">
        <v>525</v>
      </c>
      <c r="C20" s="151"/>
      <c r="D20" s="152" t="s">
        <v>526</v>
      </c>
      <c r="E20" s="153" t="s">
        <v>402</v>
      </c>
      <c r="F20" s="144" t="s">
        <v>126</v>
      </c>
      <c r="G20" s="125" t="s">
        <v>521</v>
      </c>
      <c r="H20" s="154" t="s">
        <v>402</v>
      </c>
      <c r="I20" s="123" t="s">
        <v>402</v>
      </c>
      <c r="J20" s="124">
        <v>1</v>
      </c>
      <c r="K20" s="125" t="s">
        <v>522</v>
      </c>
      <c r="L20" s="155">
        <v>0</v>
      </c>
      <c r="M20" s="29">
        <v>1</v>
      </c>
      <c r="N20" s="1">
        <v>1.2365959919080913</v>
      </c>
      <c r="O20" s="139" t="s">
        <v>1679</v>
      </c>
      <c r="P20" s="155">
        <v>0</v>
      </c>
      <c r="Q20" s="29">
        <v>1</v>
      </c>
      <c r="R20" s="1">
        <v>1.2365959919080913</v>
      </c>
      <c r="S20" s="139" t="s">
        <v>1679</v>
      </c>
      <c r="T20" s="155">
        <v>0</v>
      </c>
      <c r="U20" s="29">
        <v>1</v>
      </c>
      <c r="V20" s="1">
        <v>1.2365959919080913</v>
      </c>
      <c r="W20" s="139" t="s">
        <v>1679</v>
      </c>
      <c r="X20" s="155">
        <v>0</v>
      </c>
      <c r="Y20" s="29">
        <v>1</v>
      </c>
      <c r="Z20" s="1">
        <v>1.2365959919080913</v>
      </c>
      <c r="AA20" s="139" t="s">
        <v>1679</v>
      </c>
      <c r="AB20" s="155">
        <v>0</v>
      </c>
      <c r="AC20" s="29">
        <v>1</v>
      </c>
      <c r="AD20" s="1">
        <v>1.2365959919080913</v>
      </c>
      <c r="AE20" s="139" t="s">
        <v>1679</v>
      </c>
      <c r="AF20" s="155">
        <v>1.2051096649795132E-5</v>
      </c>
      <c r="AG20" s="29">
        <v>1</v>
      </c>
      <c r="AH20" s="1">
        <v>1.2365959919080913</v>
      </c>
      <c r="AI20" s="139" t="s">
        <v>1679</v>
      </c>
      <c r="AJ20" s="155">
        <v>0</v>
      </c>
      <c r="AK20" s="29">
        <v>1</v>
      </c>
      <c r="AL20" s="1">
        <v>1.2365959919080913</v>
      </c>
      <c r="AM20" s="139" t="s">
        <v>1679</v>
      </c>
      <c r="AN20" s="155">
        <v>0</v>
      </c>
      <c r="AO20" s="29">
        <v>1</v>
      </c>
      <c r="AP20" s="1">
        <v>1.2365959919080913</v>
      </c>
      <c r="AQ20" s="139" t="s">
        <v>1679</v>
      </c>
      <c r="AR20" s="155">
        <v>0</v>
      </c>
      <c r="AS20" s="29">
        <v>1</v>
      </c>
      <c r="AT20" s="1">
        <v>1.2365959919080913</v>
      </c>
      <c r="AU20" s="139" t="s">
        <v>1679</v>
      </c>
      <c r="AV20" s="155">
        <v>0</v>
      </c>
      <c r="AW20" s="29">
        <v>1</v>
      </c>
      <c r="AX20" s="1">
        <v>1.2365959919080913</v>
      </c>
      <c r="AY20" s="139" t="s">
        <v>1679</v>
      </c>
      <c r="AZ20" s="155">
        <v>0</v>
      </c>
      <c r="BA20" s="29">
        <v>1</v>
      </c>
      <c r="BB20" s="1">
        <v>1.2365959919080913</v>
      </c>
      <c r="BC20" s="139" t="s">
        <v>1679</v>
      </c>
      <c r="BD20" s="155">
        <v>0</v>
      </c>
      <c r="BE20" s="29">
        <v>1</v>
      </c>
      <c r="BF20" s="1">
        <v>1.2365959919080913</v>
      </c>
      <c r="BG20" s="139" t="s">
        <v>1679</v>
      </c>
      <c r="BH20" s="155">
        <v>0</v>
      </c>
      <c r="BI20" s="29">
        <v>1</v>
      </c>
      <c r="BJ20" s="1">
        <v>1.2365959919080913</v>
      </c>
      <c r="BK20" s="139" t="s">
        <v>1679</v>
      </c>
      <c r="BL20" s="155">
        <v>0</v>
      </c>
      <c r="BM20" s="29">
        <v>1</v>
      </c>
      <c r="BN20" s="1">
        <v>1.2365959919080913</v>
      </c>
      <c r="BO20" s="139" t="s">
        <v>1679</v>
      </c>
      <c r="BP20" s="155">
        <v>0</v>
      </c>
      <c r="BQ20" s="29">
        <v>1</v>
      </c>
      <c r="BR20" s="1">
        <v>1.2365959919080913</v>
      </c>
      <c r="BS20" s="139" t="s">
        <v>1679</v>
      </c>
      <c r="BT20" s="155">
        <v>0</v>
      </c>
      <c r="BU20" s="29">
        <v>1</v>
      </c>
      <c r="BV20" s="1">
        <v>1.2365959919080913</v>
      </c>
      <c r="BW20" s="139" t="s">
        <v>1679</v>
      </c>
      <c r="BX20" s="155">
        <v>3.6807591862373072E-7</v>
      </c>
      <c r="BY20" s="29">
        <v>1</v>
      </c>
      <c r="BZ20" s="1">
        <v>1.2365959919080913</v>
      </c>
      <c r="CA20" s="139" t="s">
        <v>1679</v>
      </c>
    </row>
    <row r="21" spans="1:79" ht="30.75" customHeight="1">
      <c r="A21" s="156" t="s">
        <v>1013</v>
      </c>
      <c r="B21" s="168" t="s">
        <v>525</v>
      </c>
      <c r="C21" s="151"/>
      <c r="D21" s="152" t="s">
        <v>526</v>
      </c>
      <c r="E21" s="153" t="s">
        <v>402</v>
      </c>
      <c r="F21" s="144" t="s">
        <v>127</v>
      </c>
      <c r="G21" s="125" t="s">
        <v>521</v>
      </c>
      <c r="H21" s="154" t="s">
        <v>402</v>
      </c>
      <c r="I21" s="123" t="s">
        <v>402</v>
      </c>
      <c r="J21" s="124">
        <v>1</v>
      </c>
      <c r="K21" s="125" t="s">
        <v>522</v>
      </c>
      <c r="L21" s="155">
        <v>0</v>
      </c>
      <c r="M21" s="29">
        <v>1</v>
      </c>
      <c r="N21" s="1">
        <v>1.2365959919080913</v>
      </c>
      <c r="O21" s="139" t="s">
        <v>1679</v>
      </c>
      <c r="P21" s="155">
        <v>0</v>
      </c>
      <c r="Q21" s="29">
        <v>1</v>
      </c>
      <c r="R21" s="1">
        <v>1.2365959919080913</v>
      </c>
      <c r="S21" s="139" t="s">
        <v>1679</v>
      </c>
      <c r="T21" s="155">
        <v>0</v>
      </c>
      <c r="U21" s="29">
        <v>1</v>
      </c>
      <c r="V21" s="1">
        <v>1.2365959919080913</v>
      </c>
      <c r="W21" s="139" t="s">
        <v>1679</v>
      </c>
      <c r="X21" s="155">
        <v>0</v>
      </c>
      <c r="Y21" s="29">
        <v>1</v>
      </c>
      <c r="Z21" s="1">
        <v>1.2365959919080913</v>
      </c>
      <c r="AA21" s="139" t="s">
        <v>1679</v>
      </c>
      <c r="AB21" s="155">
        <v>0</v>
      </c>
      <c r="AC21" s="29">
        <v>1</v>
      </c>
      <c r="AD21" s="1">
        <v>1.2365959919080913</v>
      </c>
      <c r="AE21" s="139" t="s">
        <v>1679</v>
      </c>
      <c r="AF21" s="155">
        <v>0</v>
      </c>
      <c r="AG21" s="29">
        <v>1</v>
      </c>
      <c r="AH21" s="1">
        <v>1.2365959919080913</v>
      </c>
      <c r="AI21" s="139" t="s">
        <v>1679</v>
      </c>
      <c r="AJ21" s="155">
        <v>1.2051096649795132E-5</v>
      </c>
      <c r="AK21" s="29">
        <v>1</v>
      </c>
      <c r="AL21" s="1">
        <v>1.2365959919080913</v>
      </c>
      <c r="AM21" s="139" t="s">
        <v>1679</v>
      </c>
      <c r="AN21" s="155">
        <v>0</v>
      </c>
      <c r="AO21" s="29">
        <v>1</v>
      </c>
      <c r="AP21" s="1">
        <v>1.2365959919080913</v>
      </c>
      <c r="AQ21" s="139" t="s">
        <v>1679</v>
      </c>
      <c r="AR21" s="155">
        <v>0</v>
      </c>
      <c r="AS21" s="29">
        <v>1</v>
      </c>
      <c r="AT21" s="1">
        <v>1.2365959919080913</v>
      </c>
      <c r="AU21" s="139" t="s">
        <v>1679</v>
      </c>
      <c r="AV21" s="155">
        <v>0</v>
      </c>
      <c r="AW21" s="29">
        <v>1</v>
      </c>
      <c r="AX21" s="1">
        <v>1.2365959919080913</v>
      </c>
      <c r="AY21" s="139" t="s">
        <v>1679</v>
      </c>
      <c r="AZ21" s="155">
        <v>0</v>
      </c>
      <c r="BA21" s="29">
        <v>1</v>
      </c>
      <c r="BB21" s="1">
        <v>1.2365959919080913</v>
      </c>
      <c r="BC21" s="139" t="s">
        <v>1679</v>
      </c>
      <c r="BD21" s="155">
        <v>0</v>
      </c>
      <c r="BE21" s="29">
        <v>1</v>
      </c>
      <c r="BF21" s="1">
        <v>1.2365959919080913</v>
      </c>
      <c r="BG21" s="139" t="s">
        <v>1679</v>
      </c>
      <c r="BH21" s="155">
        <v>0</v>
      </c>
      <c r="BI21" s="29">
        <v>1</v>
      </c>
      <c r="BJ21" s="1">
        <v>1.2365959919080913</v>
      </c>
      <c r="BK21" s="139" t="s">
        <v>1679</v>
      </c>
      <c r="BL21" s="155">
        <v>0</v>
      </c>
      <c r="BM21" s="29">
        <v>1</v>
      </c>
      <c r="BN21" s="1">
        <v>1.2365959919080913</v>
      </c>
      <c r="BO21" s="139" t="s">
        <v>1679</v>
      </c>
      <c r="BP21" s="155">
        <v>0</v>
      </c>
      <c r="BQ21" s="29">
        <v>1</v>
      </c>
      <c r="BR21" s="1">
        <v>1.2365959919080913</v>
      </c>
      <c r="BS21" s="139" t="s">
        <v>1679</v>
      </c>
      <c r="BT21" s="155">
        <v>0</v>
      </c>
      <c r="BU21" s="29">
        <v>1</v>
      </c>
      <c r="BV21" s="1">
        <v>1.2365959919080913</v>
      </c>
      <c r="BW21" s="139" t="s">
        <v>1679</v>
      </c>
      <c r="BX21" s="155">
        <v>8.2758757390968305E-8</v>
      </c>
      <c r="BY21" s="29">
        <v>1</v>
      </c>
      <c r="BZ21" s="1">
        <v>1.2365959919080913</v>
      </c>
      <c r="CA21" s="139" t="s">
        <v>1679</v>
      </c>
    </row>
    <row r="22" spans="1:79" ht="18" customHeight="1">
      <c r="A22" s="156" t="s">
        <v>1014</v>
      </c>
      <c r="B22" s="168" t="s">
        <v>525</v>
      </c>
      <c r="C22" s="151"/>
      <c r="D22" s="152" t="s">
        <v>526</v>
      </c>
      <c r="E22" s="153" t="s">
        <v>402</v>
      </c>
      <c r="F22" s="144" t="s">
        <v>128</v>
      </c>
      <c r="G22" s="125" t="s">
        <v>521</v>
      </c>
      <c r="H22" s="154" t="s">
        <v>402</v>
      </c>
      <c r="I22" s="123" t="s">
        <v>402</v>
      </c>
      <c r="J22" s="124">
        <v>1</v>
      </c>
      <c r="K22" s="125" t="s">
        <v>522</v>
      </c>
      <c r="L22" s="155">
        <v>0</v>
      </c>
      <c r="M22" s="29">
        <v>1</v>
      </c>
      <c r="N22" s="1">
        <v>1.2365959919080913</v>
      </c>
      <c r="O22" s="139" t="s">
        <v>1679</v>
      </c>
      <c r="P22" s="155">
        <v>0</v>
      </c>
      <c r="Q22" s="29">
        <v>1</v>
      </c>
      <c r="R22" s="1">
        <v>1.2365959919080913</v>
      </c>
      <c r="S22" s="139" t="s">
        <v>1679</v>
      </c>
      <c r="T22" s="155">
        <v>0</v>
      </c>
      <c r="U22" s="29">
        <v>1</v>
      </c>
      <c r="V22" s="1">
        <v>1.2365959919080913</v>
      </c>
      <c r="W22" s="139" t="s">
        <v>1679</v>
      </c>
      <c r="X22" s="155">
        <v>0</v>
      </c>
      <c r="Y22" s="29">
        <v>1</v>
      </c>
      <c r="Z22" s="1">
        <v>1.2365959919080913</v>
      </c>
      <c r="AA22" s="139" t="s">
        <v>1679</v>
      </c>
      <c r="AB22" s="155">
        <v>0</v>
      </c>
      <c r="AC22" s="29">
        <v>1</v>
      </c>
      <c r="AD22" s="1">
        <v>1.2365959919080913</v>
      </c>
      <c r="AE22" s="139" t="s">
        <v>1679</v>
      </c>
      <c r="AF22" s="155">
        <v>0</v>
      </c>
      <c r="AG22" s="29">
        <v>1</v>
      </c>
      <c r="AH22" s="1">
        <v>1.2365959919080913</v>
      </c>
      <c r="AI22" s="139" t="s">
        <v>1679</v>
      </c>
      <c r="AJ22" s="155">
        <v>0</v>
      </c>
      <c r="AK22" s="29">
        <v>1</v>
      </c>
      <c r="AL22" s="1">
        <v>1.2365959919080913</v>
      </c>
      <c r="AM22" s="139" t="s">
        <v>1679</v>
      </c>
      <c r="AN22" s="155">
        <v>1.2051096649795132E-5</v>
      </c>
      <c r="AO22" s="29">
        <v>1</v>
      </c>
      <c r="AP22" s="1">
        <v>1.2365959919080913</v>
      </c>
      <c r="AQ22" s="139" t="s">
        <v>1679</v>
      </c>
      <c r="AR22" s="155">
        <v>0</v>
      </c>
      <c r="AS22" s="29">
        <v>1</v>
      </c>
      <c r="AT22" s="1">
        <v>1.2365959919080913</v>
      </c>
      <c r="AU22" s="139" t="s">
        <v>1679</v>
      </c>
      <c r="AV22" s="155">
        <v>0</v>
      </c>
      <c r="AW22" s="29">
        <v>1</v>
      </c>
      <c r="AX22" s="1">
        <v>1.2365959919080913</v>
      </c>
      <c r="AY22" s="139" t="s">
        <v>1679</v>
      </c>
      <c r="AZ22" s="155">
        <v>0</v>
      </c>
      <c r="BA22" s="29">
        <v>1</v>
      </c>
      <c r="BB22" s="1">
        <v>1.2365959919080913</v>
      </c>
      <c r="BC22" s="139" t="s">
        <v>1679</v>
      </c>
      <c r="BD22" s="155">
        <v>0</v>
      </c>
      <c r="BE22" s="29">
        <v>1</v>
      </c>
      <c r="BF22" s="1">
        <v>1.2365959919080913</v>
      </c>
      <c r="BG22" s="139" t="s">
        <v>1679</v>
      </c>
      <c r="BH22" s="155">
        <v>0</v>
      </c>
      <c r="BI22" s="29">
        <v>1</v>
      </c>
      <c r="BJ22" s="1">
        <v>1.2365959919080913</v>
      </c>
      <c r="BK22" s="139" t="s">
        <v>1679</v>
      </c>
      <c r="BL22" s="155">
        <v>0</v>
      </c>
      <c r="BM22" s="29">
        <v>1</v>
      </c>
      <c r="BN22" s="1">
        <v>1.2365959919080913</v>
      </c>
      <c r="BO22" s="139" t="s">
        <v>1679</v>
      </c>
      <c r="BP22" s="155">
        <v>0</v>
      </c>
      <c r="BQ22" s="29">
        <v>1</v>
      </c>
      <c r="BR22" s="1">
        <v>1.2365959919080913</v>
      </c>
      <c r="BS22" s="139" t="s">
        <v>1679</v>
      </c>
      <c r="BT22" s="155">
        <v>0</v>
      </c>
      <c r="BU22" s="29">
        <v>1</v>
      </c>
      <c r="BV22" s="1">
        <v>1.2365959919080913</v>
      </c>
      <c r="BW22" s="139" t="s">
        <v>1679</v>
      </c>
      <c r="BX22" s="155">
        <v>3.0064876030116992E-6</v>
      </c>
      <c r="BY22" s="29">
        <v>1</v>
      </c>
      <c r="BZ22" s="1">
        <v>1.2365959919080913</v>
      </c>
      <c r="CA22" s="139" t="s">
        <v>1679</v>
      </c>
    </row>
    <row r="23" spans="1:79" ht="36" customHeight="1">
      <c r="A23" s="156" t="s">
        <v>1018</v>
      </c>
      <c r="B23" s="168" t="s">
        <v>525</v>
      </c>
      <c r="C23" s="151"/>
      <c r="D23" s="152" t="s">
        <v>526</v>
      </c>
      <c r="E23" s="153" t="s">
        <v>402</v>
      </c>
      <c r="F23" s="144" t="s">
        <v>129</v>
      </c>
      <c r="G23" s="125" t="s">
        <v>521</v>
      </c>
      <c r="H23" s="154" t="s">
        <v>402</v>
      </c>
      <c r="I23" s="123" t="s">
        <v>402</v>
      </c>
      <c r="J23" s="124">
        <v>1</v>
      </c>
      <c r="K23" s="125" t="s">
        <v>522</v>
      </c>
      <c r="L23" s="155">
        <v>0</v>
      </c>
      <c r="M23" s="29">
        <v>1</v>
      </c>
      <c r="N23" s="1">
        <v>1.2365959919080913</v>
      </c>
      <c r="O23" s="139" t="s">
        <v>1679</v>
      </c>
      <c r="P23" s="155">
        <v>0</v>
      </c>
      <c r="Q23" s="29">
        <v>1</v>
      </c>
      <c r="R23" s="1">
        <v>1.2365959919080913</v>
      </c>
      <c r="S23" s="139" t="s">
        <v>1679</v>
      </c>
      <c r="T23" s="155">
        <v>0</v>
      </c>
      <c r="U23" s="29">
        <v>1</v>
      </c>
      <c r="V23" s="1">
        <v>1.2365959919080913</v>
      </c>
      <c r="W23" s="139" t="s">
        <v>1679</v>
      </c>
      <c r="X23" s="155">
        <v>0</v>
      </c>
      <c r="Y23" s="29">
        <v>1</v>
      </c>
      <c r="Z23" s="1">
        <v>1.2365959919080913</v>
      </c>
      <c r="AA23" s="139" t="s">
        <v>1679</v>
      </c>
      <c r="AB23" s="155">
        <v>0</v>
      </c>
      <c r="AC23" s="29">
        <v>1</v>
      </c>
      <c r="AD23" s="1">
        <v>1.2365959919080913</v>
      </c>
      <c r="AE23" s="139" t="s">
        <v>1679</v>
      </c>
      <c r="AF23" s="155">
        <v>0</v>
      </c>
      <c r="AG23" s="29">
        <v>1</v>
      </c>
      <c r="AH23" s="1">
        <v>1.2365959919080913</v>
      </c>
      <c r="AI23" s="139" t="s">
        <v>1679</v>
      </c>
      <c r="AJ23" s="155">
        <v>0</v>
      </c>
      <c r="AK23" s="29">
        <v>1</v>
      </c>
      <c r="AL23" s="1">
        <v>1.2365959919080913</v>
      </c>
      <c r="AM23" s="139" t="s">
        <v>1679</v>
      </c>
      <c r="AN23" s="155">
        <v>0</v>
      </c>
      <c r="AO23" s="29">
        <v>1</v>
      </c>
      <c r="AP23" s="1">
        <v>1.2365959919080913</v>
      </c>
      <c r="AQ23" s="139" t="s">
        <v>1679</v>
      </c>
      <c r="AR23" s="155">
        <v>1.2051096649795132E-5</v>
      </c>
      <c r="AS23" s="29">
        <v>1</v>
      </c>
      <c r="AT23" s="1">
        <v>1.2365959919080913</v>
      </c>
      <c r="AU23" s="139" t="s">
        <v>1679</v>
      </c>
      <c r="AV23" s="155">
        <v>0</v>
      </c>
      <c r="AW23" s="29">
        <v>1</v>
      </c>
      <c r="AX23" s="1">
        <v>1.2365959919080913</v>
      </c>
      <c r="AY23" s="139" t="s">
        <v>1679</v>
      </c>
      <c r="AZ23" s="155">
        <v>0</v>
      </c>
      <c r="BA23" s="29">
        <v>1</v>
      </c>
      <c r="BB23" s="1">
        <v>1.2365959919080913</v>
      </c>
      <c r="BC23" s="139" t="s">
        <v>1679</v>
      </c>
      <c r="BD23" s="155">
        <v>0</v>
      </c>
      <c r="BE23" s="29">
        <v>1</v>
      </c>
      <c r="BF23" s="1">
        <v>1.2365959919080913</v>
      </c>
      <c r="BG23" s="139" t="s">
        <v>1679</v>
      </c>
      <c r="BH23" s="155">
        <v>0</v>
      </c>
      <c r="BI23" s="29">
        <v>1</v>
      </c>
      <c r="BJ23" s="1">
        <v>1.2365959919080913</v>
      </c>
      <c r="BK23" s="139" t="s">
        <v>1679</v>
      </c>
      <c r="BL23" s="155">
        <v>0</v>
      </c>
      <c r="BM23" s="29">
        <v>1</v>
      </c>
      <c r="BN23" s="1">
        <v>1.2365959919080913</v>
      </c>
      <c r="BO23" s="139" t="s">
        <v>1679</v>
      </c>
      <c r="BP23" s="155">
        <v>0</v>
      </c>
      <c r="BQ23" s="29">
        <v>1</v>
      </c>
      <c r="BR23" s="1">
        <v>1.2365959919080913</v>
      </c>
      <c r="BS23" s="139" t="s">
        <v>1679</v>
      </c>
      <c r="BT23" s="155">
        <v>0</v>
      </c>
      <c r="BU23" s="29">
        <v>1</v>
      </c>
      <c r="BV23" s="1">
        <v>1.2365959919080913</v>
      </c>
      <c r="BW23" s="139" t="s">
        <v>1679</v>
      </c>
      <c r="BX23" s="155">
        <v>3.1837105053067621E-7</v>
      </c>
      <c r="BY23" s="29">
        <v>1</v>
      </c>
      <c r="BZ23" s="1">
        <v>1.2365959919080913</v>
      </c>
      <c r="CA23" s="139" t="s">
        <v>1679</v>
      </c>
    </row>
    <row r="24" spans="1:79" ht="18" customHeight="1" outlineLevel="1">
      <c r="A24" s="156" t="s">
        <v>1019</v>
      </c>
      <c r="B24" s="168" t="s">
        <v>525</v>
      </c>
      <c r="C24" s="151"/>
      <c r="D24" s="152" t="s">
        <v>526</v>
      </c>
      <c r="E24" s="153" t="s">
        <v>402</v>
      </c>
      <c r="F24" s="144" t="s">
        <v>130</v>
      </c>
      <c r="G24" s="125" t="s">
        <v>521</v>
      </c>
      <c r="H24" s="154" t="s">
        <v>402</v>
      </c>
      <c r="I24" s="123" t="s">
        <v>402</v>
      </c>
      <c r="J24" s="124">
        <v>1</v>
      </c>
      <c r="K24" s="125" t="s">
        <v>522</v>
      </c>
      <c r="L24" s="155">
        <v>0</v>
      </c>
      <c r="M24" s="29">
        <v>1</v>
      </c>
      <c r="N24" s="1">
        <v>1.2365959919080913</v>
      </c>
      <c r="O24" s="139" t="s">
        <v>1679</v>
      </c>
      <c r="P24" s="155">
        <v>0</v>
      </c>
      <c r="Q24" s="29">
        <v>1</v>
      </c>
      <c r="R24" s="1">
        <v>1.2365959919080913</v>
      </c>
      <c r="S24" s="139" t="s">
        <v>1679</v>
      </c>
      <c r="T24" s="155">
        <v>0</v>
      </c>
      <c r="U24" s="29">
        <v>1</v>
      </c>
      <c r="V24" s="1">
        <v>1.2365959919080913</v>
      </c>
      <c r="W24" s="139" t="s">
        <v>1679</v>
      </c>
      <c r="X24" s="155">
        <v>0</v>
      </c>
      <c r="Y24" s="29">
        <v>1</v>
      </c>
      <c r="Z24" s="1">
        <v>1.2365959919080913</v>
      </c>
      <c r="AA24" s="139" t="s">
        <v>1679</v>
      </c>
      <c r="AB24" s="155">
        <v>0</v>
      </c>
      <c r="AC24" s="29">
        <v>1</v>
      </c>
      <c r="AD24" s="1">
        <v>1.2365959919080913</v>
      </c>
      <c r="AE24" s="139" t="s">
        <v>1679</v>
      </c>
      <c r="AF24" s="155">
        <v>0</v>
      </c>
      <c r="AG24" s="29">
        <v>1</v>
      </c>
      <c r="AH24" s="1">
        <v>1.2365959919080913</v>
      </c>
      <c r="AI24" s="139" t="s">
        <v>1679</v>
      </c>
      <c r="AJ24" s="155">
        <v>0</v>
      </c>
      <c r="AK24" s="29">
        <v>1</v>
      </c>
      <c r="AL24" s="1">
        <v>1.2365959919080913</v>
      </c>
      <c r="AM24" s="139" t="s">
        <v>1679</v>
      </c>
      <c r="AN24" s="155">
        <v>0</v>
      </c>
      <c r="AO24" s="29">
        <v>1</v>
      </c>
      <c r="AP24" s="1">
        <v>1.2365959919080913</v>
      </c>
      <c r="AQ24" s="139" t="s">
        <v>1679</v>
      </c>
      <c r="AR24" s="155">
        <v>0</v>
      </c>
      <c r="AS24" s="29">
        <v>1</v>
      </c>
      <c r="AT24" s="1">
        <v>1.2365959919080913</v>
      </c>
      <c r="AU24" s="139" t="s">
        <v>1679</v>
      </c>
      <c r="AV24" s="155">
        <v>1.2051096649795132E-5</v>
      </c>
      <c r="AW24" s="29">
        <v>1</v>
      </c>
      <c r="AX24" s="1">
        <v>1.2365959919080913</v>
      </c>
      <c r="AY24" s="139" t="s">
        <v>1679</v>
      </c>
      <c r="AZ24" s="155">
        <v>0</v>
      </c>
      <c r="BA24" s="29">
        <v>1</v>
      </c>
      <c r="BB24" s="1">
        <v>1.2365959919080913</v>
      </c>
      <c r="BC24" s="139" t="s">
        <v>1679</v>
      </c>
      <c r="BD24" s="155">
        <v>0</v>
      </c>
      <c r="BE24" s="29">
        <v>1</v>
      </c>
      <c r="BF24" s="1">
        <v>1.2365959919080913</v>
      </c>
      <c r="BG24" s="139" t="s">
        <v>1679</v>
      </c>
      <c r="BH24" s="155">
        <v>0</v>
      </c>
      <c r="BI24" s="29">
        <v>1</v>
      </c>
      <c r="BJ24" s="1">
        <v>1.2365959919080913</v>
      </c>
      <c r="BK24" s="139" t="s">
        <v>1679</v>
      </c>
      <c r="BL24" s="155">
        <v>0</v>
      </c>
      <c r="BM24" s="29">
        <v>1</v>
      </c>
      <c r="BN24" s="1">
        <v>1.2365959919080913</v>
      </c>
      <c r="BO24" s="139" t="s">
        <v>1679</v>
      </c>
      <c r="BP24" s="155">
        <v>0</v>
      </c>
      <c r="BQ24" s="29">
        <v>1</v>
      </c>
      <c r="BR24" s="1">
        <v>1.2365959919080913</v>
      </c>
      <c r="BS24" s="139" t="s">
        <v>1679</v>
      </c>
      <c r="BT24" s="155">
        <v>0</v>
      </c>
      <c r="BU24" s="29">
        <v>1</v>
      </c>
      <c r="BV24" s="1">
        <v>1.2365959919080913</v>
      </c>
      <c r="BW24" s="139" t="s">
        <v>1679</v>
      </c>
      <c r="BX24" s="155">
        <v>4.4571947074294667E-6</v>
      </c>
      <c r="BY24" s="29">
        <v>1</v>
      </c>
      <c r="BZ24" s="1">
        <v>1.2365959919080913</v>
      </c>
      <c r="CA24" s="139" t="s">
        <v>1679</v>
      </c>
    </row>
    <row r="25" spans="1:79" ht="18" customHeight="1" outlineLevel="1">
      <c r="A25" s="120">
        <v>32066</v>
      </c>
      <c r="B25" s="168" t="s">
        <v>525</v>
      </c>
      <c r="C25" s="151"/>
      <c r="D25" s="152" t="s">
        <v>526</v>
      </c>
      <c r="E25" s="153" t="s">
        <v>402</v>
      </c>
      <c r="F25" s="144" t="s">
        <v>65</v>
      </c>
      <c r="G25" s="125" t="s">
        <v>393</v>
      </c>
      <c r="H25" s="154" t="s">
        <v>402</v>
      </c>
      <c r="I25" s="123" t="s">
        <v>402</v>
      </c>
      <c r="J25" s="124">
        <v>1</v>
      </c>
      <c r="K25" s="125" t="s">
        <v>522</v>
      </c>
      <c r="L25" s="155">
        <v>0</v>
      </c>
      <c r="M25" s="29">
        <v>1</v>
      </c>
      <c r="N25" s="1">
        <v>1.2365959919080913</v>
      </c>
      <c r="O25" s="139" t="s">
        <v>1679</v>
      </c>
      <c r="P25" s="155">
        <v>0</v>
      </c>
      <c r="Q25" s="29">
        <v>1</v>
      </c>
      <c r="R25" s="1">
        <v>1.2365959919080913</v>
      </c>
      <c r="S25" s="139" t="s">
        <v>1679</v>
      </c>
      <c r="T25" s="155">
        <v>0</v>
      </c>
      <c r="U25" s="29">
        <v>1</v>
      </c>
      <c r="V25" s="1">
        <v>1.2365959919080913</v>
      </c>
      <c r="W25" s="139" t="s">
        <v>1679</v>
      </c>
      <c r="X25" s="155">
        <v>0</v>
      </c>
      <c r="Y25" s="29">
        <v>1</v>
      </c>
      <c r="Z25" s="1">
        <v>1.2365959919080913</v>
      </c>
      <c r="AA25" s="139" t="s">
        <v>1679</v>
      </c>
      <c r="AB25" s="155">
        <v>0</v>
      </c>
      <c r="AC25" s="29">
        <v>1</v>
      </c>
      <c r="AD25" s="1">
        <v>1.2365959919080913</v>
      </c>
      <c r="AE25" s="139" t="s">
        <v>1679</v>
      </c>
      <c r="AF25" s="155">
        <v>0</v>
      </c>
      <c r="AG25" s="29">
        <v>1</v>
      </c>
      <c r="AH25" s="1">
        <v>1.2365959919080913</v>
      </c>
      <c r="AI25" s="139" t="s">
        <v>1679</v>
      </c>
      <c r="AJ25" s="155">
        <v>0</v>
      </c>
      <c r="AK25" s="29">
        <v>1</v>
      </c>
      <c r="AL25" s="1">
        <v>1.2365959919080913</v>
      </c>
      <c r="AM25" s="139" t="s">
        <v>1679</v>
      </c>
      <c r="AN25" s="155">
        <v>0</v>
      </c>
      <c r="AO25" s="29">
        <v>1</v>
      </c>
      <c r="AP25" s="1">
        <v>1.2365959919080913</v>
      </c>
      <c r="AQ25" s="139" t="s">
        <v>1679</v>
      </c>
      <c r="AR25" s="155">
        <v>0</v>
      </c>
      <c r="AS25" s="29">
        <v>1</v>
      </c>
      <c r="AT25" s="1">
        <v>1.2365959919080913</v>
      </c>
      <c r="AU25" s="139" t="s">
        <v>1679</v>
      </c>
      <c r="AV25" s="155">
        <v>0</v>
      </c>
      <c r="AW25" s="29">
        <v>1</v>
      </c>
      <c r="AX25" s="1">
        <v>1.2365959919080913</v>
      </c>
      <c r="AY25" s="139" t="s">
        <v>1679</v>
      </c>
      <c r="AZ25" s="155">
        <v>1.2051096649795132E-5</v>
      </c>
      <c r="BA25" s="29">
        <v>1</v>
      </c>
      <c r="BB25" s="1">
        <v>1.2365959919080913</v>
      </c>
      <c r="BC25" s="139" t="s">
        <v>1679</v>
      </c>
      <c r="BD25" s="155">
        <v>0</v>
      </c>
      <c r="BE25" s="29">
        <v>1</v>
      </c>
      <c r="BF25" s="1">
        <v>1.2365959919080913</v>
      </c>
      <c r="BG25" s="139" t="s">
        <v>1679</v>
      </c>
      <c r="BH25" s="155">
        <v>0</v>
      </c>
      <c r="BI25" s="29">
        <v>1</v>
      </c>
      <c r="BJ25" s="1">
        <v>1.2365959919080913</v>
      </c>
      <c r="BK25" s="139" t="s">
        <v>1679</v>
      </c>
      <c r="BL25" s="155">
        <v>0</v>
      </c>
      <c r="BM25" s="29">
        <v>1</v>
      </c>
      <c r="BN25" s="1">
        <v>1.2365959919080913</v>
      </c>
      <c r="BO25" s="139" t="s">
        <v>1679</v>
      </c>
      <c r="BP25" s="155">
        <v>0</v>
      </c>
      <c r="BQ25" s="29">
        <v>1</v>
      </c>
      <c r="BR25" s="1">
        <v>1.2365959919080913</v>
      </c>
      <c r="BS25" s="139" t="s">
        <v>1679</v>
      </c>
      <c r="BT25" s="155">
        <v>0</v>
      </c>
      <c r="BU25" s="29">
        <v>1</v>
      </c>
      <c r="BV25" s="1">
        <v>1.2365959919080913</v>
      </c>
      <c r="BW25" s="139" t="s">
        <v>1679</v>
      </c>
      <c r="BX25" s="155">
        <v>3.6589749726584271E-7</v>
      </c>
      <c r="BY25" s="29">
        <v>1</v>
      </c>
      <c r="BZ25" s="1">
        <v>1.2365959919080913</v>
      </c>
      <c r="CA25" s="139" t="s">
        <v>1679</v>
      </c>
    </row>
    <row r="26" spans="1:79" ht="30.75" customHeight="1" outlineLevel="1">
      <c r="A26" s="120">
        <v>32068</v>
      </c>
      <c r="B26" s="168" t="s">
        <v>525</v>
      </c>
      <c r="C26" s="151"/>
      <c r="D26" s="152" t="s">
        <v>526</v>
      </c>
      <c r="E26" s="153" t="s">
        <v>402</v>
      </c>
      <c r="F26" s="144" t="s">
        <v>67</v>
      </c>
      <c r="G26" s="125" t="s">
        <v>393</v>
      </c>
      <c r="H26" s="154" t="s">
        <v>402</v>
      </c>
      <c r="I26" s="123" t="s">
        <v>402</v>
      </c>
      <c r="J26" s="124">
        <v>1</v>
      </c>
      <c r="K26" s="125" t="s">
        <v>522</v>
      </c>
      <c r="L26" s="155">
        <v>0</v>
      </c>
      <c r="M26" s="29">
        <v>1</v>
      </c>
      <c r="N26" s="1">
        <v>1.2365959919080913</v>
      </c>
      <c r="O26" s="139" t="s">
        <v>1679</v>
      </c>
      <c r="P26" s="155">
        <v>0</v>
      </c>
      <c r="Q26" s="29">
        <v>1</v>
      </c>
      <c r="R26" s="1">
        <v>1.2365959919080913</v>
      </c>
      <c r="S26" s="139" t="s">
        <v>1679</v>
      </c>
      <c r="T26" s="155">
        <v>0</v>
      </c>
      <c r="U26" s="29">
        <v>1</v>
      </c>
      <c r="V26" s="1">
        <v>1.2365959919080913</v>
      </c>
      <c r="W26" s="139" t="s">
        <v>1679</v>
      </c>
      <c r="X26" s="155">
        <v>0</v>
      </c>
      <c r="Y26" s="29">
        <v>1</v>
      </c>
      <c r="Z26" s="1">
        <v>1.2365959919080913</v>
      </c>
      <c r="AA26" s="139" t="s">
        <v>1679</v>
      </c>
      <c r="AB26" s="155">
        <v>0</v>
      </c>
      <c r="AC26" s="29">
        <v>1</v>
      </c>
      <c r="AD26" s="1">
        <v>1.2365959919080913</v>
      </c>
      <c r="AE26" s="139" t="s">
        <v>1679</v>
      </c>
      <c r="AF26" s="155">
        <v>0</v>
      </c>
      <c r="AG26" s="29">
        <v>1</v>
      </c>
      <c r="AH26" s="1">
        <v>1.2365959919080913</v>
      </c>
      <c r="AI26" s="139" t="s">
        <v>1679</v>
      </c>
      <c r="AJ26" s="155">
        <v>0</v>
      </c>
      <c r="AK26" s="29">
        <v>1</v>
      </c>
      <c r="AL26" s="1">
        <v>1.2365959919080913</v>
      </c>
      <c r="AM26" s="139" t="s">
        <v>1679</v>
      </c>
      <c r="AN26" s="155">
        <v>0</v>
      </c>
      <c r="AO26" s="29">
        <v>1</v>
      </c>
      <c r="AP26" s="1">
        <v>1.2365959919080913</v>
      </c>
      <c r="AQ26" s="139" t="s">
        <v>1679</v>
      </c>
      <c r="AR26" s="155">
        <v>0</v>
      </c>
      <c r="AS26" s="29">
        <v>1</v>
      </c>
      <c r="AT26" s="1">
        <v>1.2365959919080913</v>
      </c>
      <c r="AU26" s="139" t="s">
        <v>1679</v>
      </c>
      <c r="AV26" s="155">
        <v>0</v>
      </c>
      <c r="AW26" s="29">
        <v>1</v>
      </c>
      <c r="AX26" s="1">
        <v>1.2365959919080913</v>
      </c>
      <c r="AY26" s="139" t="s">
        <v>1679</v>
      </c>
      <c r="AZ26" s="155">
        <v>0</v>
      </c>
      <c r="BA26" s="29">
        <v>1</v>
      </c>
      <c r="BB26" s="1">
        <v>1.2365959919080913</v>
      </c>
      <c r="BC26" s="139" t="s">
        <v>1679</v>
      </c>
      <c r="BD26" s="155">
        <v>1.2051096649795132E-5</v>
      </c>
      <c r="BE26" s="29">
        <v>1</v>
      </c>
      <c r="BF26" s="1">
        <v>1.2365959919080913</v>
      </c>
      <c r="BG26" s="139" t="s">
        <v>1679</v>
      </c>
      <c r="BH26" s="155">
        <v>0</v>
      </c>
      <c r="BI26" s="29">
        <v>1</v>
      </c>
      <c r="BJ26" s="1">
        <v>1.2365959919080913</v>
      </c>
      <c r="BK26" s="139" t="s">
        <v>1679</v>
      </c>
      <c r="BL26" s="155">
        <v>0</v>
      </c>
      <c r="BM26" s="29">
        <v>1</v>
      </c>
      <c r="BN26" s="1">
        <v>1.2365959919080913</v>
      </c>
      <c r="BO26" s="139" t="s">
        <v>1679</v>
      </c>
      <c r="BP26" s="155">
        <v>0</v>
      </c>
      <c r="BQ26" s="29">
        <v>1</v>
      </c>
      <c r="BR26" s="1">
        <v>1.2365959919080913</v>
      </c>
      <c r="BS26" s="139" t="s">
        <v>1679</v>
      </c>
      <c r="BT26" s="155">
        <v>0</v>
      </c>
      <c r="BU26" s="29">
        <v>1</v>
      </c>
      <c r="BV26" s="1">
        <v>1.2365959919080913</v>
      </c>
      <c r="BW26" s="139" t="s">
        <v>1679</v>
      </c>
      <c r="BX26" s="155">
        <v>2.6135535518988767E-8</v>
      </c>
      <c r="BY26" s="29">
        <v>1</v>
      </c>
      <c r="BZ26" s="1">
        <v>1.2365959919080913</v>
      </c>
      <c r="CA26" s="139" t="s">
        <v>1679</v>
      </c>
    </row>
    <row r="27" spans="1:79" ht="18" customHeight="1" outlineLevel="1">
      <c r="A27" s="417">
        <v>32076</v>
      </c>
      <c r="B27" s="168" t="s">
        <v>525</v>
      </c>
      <c r="C27" s="151"/>
      <c r="D27" s="152" t="s">
        <v>526</v>
      </c>
      <c r="E27" s="153" t="s">
        <v>402</v>
      </c>
      <c r="F27" s="144" t="s">
        <v>66</v>
      </c>
      <c r="G27" s="125" t="s">
        <v>393</v>
      </c>
      <c r="H27" s="154" t="s">
        <v>402</v>
      </c>
      <c r="I27" s="123" t="s">
        <v>402</v>
      </c>
      <c r="J27" s="124">
        <v>1</v>
      </c>
      <c r="K27" s="125" t="s">
        <v>522</v>
      </c>
      <c r="L27" s="155">
        <v>0</v>
      </c>
      <c r="M27" s="29">
        <v>1</v>
      </c>
      <c r="N27" s="1">
        <v>1.2365959919080913</v>
      </c>
      <c r="O27" s="139" t="s">
        <v>1679</v>
      </c>
      <c r="P27" s="155">
        <v>0</v>
      </c>
      <c r="Q27" s="29">
        <v>1</v>
      </c>
      <c r="R27" s="1">
        <v>1.2365959919080913</v>
      </c>
      <c r="S27" s="139" t="s">
        <v>1679</v>
      </c>
      <c r="T27" s="155">
        <v>0</v>
      </c>
      <c r="U27" s="29">
        <v>1</v>
      </c>
      <c r="V27" s="1">
        <v>1.2365959919080913</v>
      </c>
      <c r="W27" s="139" t="s">
        <v>1679</v>
      </c>
      <c r="X27" s="155">
        <v>0</v>
      </c>
      <c r="Y27" s="29">
        <v>1</v>
      </c>
      <c r="Z27" s="1">
        <v>1.2365959919080913</v>
      </c>
      <c r="AA27" s="139" t="s">
        <v>1679</v>
      </c>
      <c r="AB27" s="155">
        <v>0</v>
      </c>
      <c r="AC27" s="29">
        <v>1</v>
      </c>
      <c r="AD27" s="1">
        <v>1.2365959919080913</v>
      </c>
      <c r="AE27" s="139" t="s">
        <v>1679</v>
      </c>
      <c r="AF27" s="155">
        <v>0</v>
      </c>
      <c r="AG27" s="29">
        <v>1</v>
      </c>
      <c r="AH27" s="1">
        <v>1.2365959919080913</v>
      </c>
      <c r="AI27" s="139" t="s">
        <v>1679</v>
      </c>
      <c r="AJ27" s="155">
        <v>0</v>
      </c>
      <c r="AK27" s="29">
        <v>1</v>
      </c>
      <c r="AL27" s="1">
        <v>1.2365959919080913</v>
      </c>
      <c r="AM27" s="139" t="s">
        <v>1679</v>
      </c>
      <c r="AN27" s="155">
        <v>0</v>
      </c>
      <c r="AO27" s="29">
        <v>1</v>
      </c>
      <c r="AP27" s="1">
        <v>1.2365959919080913</v>
      </c>
      <c r="AQ27" s="139" t="s">
        <v>1679</v>
      </c>
      <c r="AR27" s="155">
        <v>0</v>
      </c>
      <c r="AS27" s="29">
        <v>1</v>
      </c>
      <c r="AT27" s="1">
        <v>1.2365959919080913</v>
      </c>
      <c r="AU27" s="139" t="s">
        <v>1679</v>
      </c>
      <c r="AV27" s="155">
        <v>0</v>
      </c>
      <c r="AW27" s="29">
        <v>1</v>
      </c>
      <c r="AX27" s="1">
        <v>1.2365959919080913</v>
      </c>
      <c r="AY27" s="139" t="s">
        <v>1679</v>
      </c>
      <c r="AZ27" s="155">
        <v>0</v>
      </c>
      <c r="BA27" s="29">
        <v>1</v>
      </c>
      <c r="BB27" s="1">
        <v>1.2365959919080913</v>
      </c>
      <c r="BC27" s="139" t="s">
        <v>1679</v>
      </c>
      <c r="BD27" s="155">
        <v>0</v>
      </c>
      <c r="BE27" s="29">
        <v>1</v>
      </c>
      <c r="BF27" s="1">
        <v>1.2365959919080913</v>
      </c>
      <c r="BG27" s="139" t="s">
        <v>1679</v>
      </c>
      <c r="BH27" s="155">
        <v>1.2051096649795132E-5</v>
      </c>
      <c r="BI27" s="29">
        <v>1</v>
      </c>
      <c r="BJ27" s="1">
        <v>1.2365959919080913</v>
      </c>
      <c r="BK27" s="139" t="s">
        <v>1679</v>
      </c>
      <c r="BL27" s="155">
        <v>0</v>
      </c>
      <c r="BM27" s="29">
        <v>1</v>
      </c>
      <c r="BN27" s="1">
        <v>1.2365959919080913</v>
      </c>
      <c r="BO27" s="139" t="s">
        <v>1679</v>
      </c>
      <c r="BP27" s="155">
        <v>0</v>
      </c>
      <c r="BQ27" s="29">
        <v>1</v>
      </c>
      <c r="BR27" s="1">
        <v>1.2365959919080913</v>
      </c>
      <c r="BS27" s="139" t="s">
        <v>1679</v>
      </c>
      <c r="BT27" s="155">
        <v>0</v>
      </c>
      <c r="BU27" s="29">
        <v>1</v>
      </c>
      <c r="BV27" s="1">
        <v>1.2365959919080913</v>
      </c>
      <c r="BW27" s="139" t="s">
        <v>1679</v>
      </c>
      <c r="BX27" s="155">
        <v>6.304769831365635E-7</v>
      </c>
      <c r="BY27" s="29">
        <v>1</v>
      </c>
      <c r="BZ27" s="1">
        <v>1.2365959919080913</v>
      </c>
      <c r="CA27" s="139" t="s">
        <v>1679</v>
      </c>
    </row>
    <row r="28" spans="1:79" ht="18" customHeight="1" outlineLevel="1">
      <c r="A28" s="120">
        <v>32080</v>
      </c>
      <c r="B28" s="168" t="s">
        <v>525</v>
      </c>
      <c r="C28" s="151"/>
      <c r="D28" s="152" t="s">
        <v>526</v>
      </c>
      <c r="E28" s="153" t="s">
        <v>402</v>
      </c>
      <c r="F28" s="144" t="s">
        <v>64</v>
      </c>
      <c r="G28" s="125" t="s">
        <v>393</v>
      </c>
      <c r="H28" s="154" t="s">
        <v>402</v>
      </c>
      <c r="I28" s="123" t="s">
        <v>402</v>
      </c>
      <c r="J28" s="124">
        <v>1</v>
      </c>
      <c r="K28" s="125" t="s">
        <v>522</v>
      </c>
      <c r="L28" s="155">
        <v>0</v>
      </c>
      <c r="M28" s="29">
        <v>1</v>
      </c>
      <c r="N28" s="1">
        <v>1.2365959919080913</v>
      </c>
      <c r="O28" s="139" t="s">
        <v>1679</v>
      </c>
      <c r="P28" s="155">
        <v>0</v>
      </c>
      <c r="Q28" s="29">
        <v>1</v>
      </c>
      <c r="R28" s="1">
        <v>1.2365959919080913</v>
      </c>
      <c r="S28" s="139" t="s">
        <v>1679</v>
      </c>
      <c r="T28" s="155">
        <v>0</v>
      </c>
      <c r="U28" s="29">
        <v>1</v>
      </c>
      <c r="V28" s="1">
        <v>1.2365959919080913</v>
      </c>
      <c r="W28" s="139" t="s">
        <v>1679</v>
      </c>
      <c r="X28" s="155">
        <v>0</v>
      </c>
      <c r="Y28" s="29">
        <v>1</v>
      </c>
      <c r="Z28" s="1">
        <v>1.2365959919080913</v>
      </c>
      <c r="AA28" s="139" t="s">
        <v>1679</v>
      </c>
      <c r="AB28" s="155">
        <v>0</v>
      </c>
      <c r="AC28" s="29">
        <v>1</v>
      </c>
      <c r="AD28" s="1">
        <v>1.2365959919080913</v>
      </c>
      <c r="AE28" s="139" t="s">
        <v>1679</v>
      </c>
      <c r="AF28" s="155">
        <v>0</v>
      </c>
      <c r="AG28" s="29">
        <v>1</v>
      </c>
      <c r="AH28" s="1">
        <v>1.2365959919080913</v>
      </c>
      <c r="AI28" s="139" t="s">
        <v>1679</v>
      </c>
      <c r="AJ28" s="155">
        <v>0</v>
      </c>
      <c r="AK28" s="29">
        <v>1</v>
      </c>
      <c r="AL28" s="1">
        <v>1.2365959919080913</v>
      </c>
      <c r="AM28" s="139" t="s">
        <v>1679</v>
      </c>
      <c r="AN28" s="155">
        <v>0</v>
      </c>
      <c r="AO28" s="29">
        <v>1</v>
      </c>
      <c r="AP28" s="1">
        <v>1.2365959919080913</v>
      </c>
      <c r="AQ28" s="139" t="s">
        <v>1679</v>
      </c>
      <c r="AR28" s="155">
        <v>0</v>
      </c>
      <c r="AS28" s="29">
        <v>1</v>
      </c>
      <c r="AT28" s="1">
        <v>1.2365959919080913</v>
      </c>
      <c r="AU28" s="139" t="s">
        <v>1679</v>
      </c>
      <c r="AV28" s="155">
        <v>0</v>
      </c>
      <c r="AW28" s="29">
        <v>1</v>
      </c>
      <c r="AX28" s="1">
        <v>1.2365959919080913</v>
      </c>
      <c r="AY28" s="139" t="s">
        <v>1679</v>
      </c>
      <c r="AZ28" s="155">
        <v>0</v>
      </c>
      <c r="BA28" s="29">
        <v>1</v>
      </c>
      <c r="BB28" s="1">
        <v>1.2365959919080913</v>
      </c>
      <c r="BC28" s="139" t="s">
        <v>1679</v>
      </c>
      <c r="BD28" s="155">
        <v>0</v>
      </c>
      <c r="BE28" s="29">
        <v>1</v>
      </c>
      <c r="BF28" s="1">
        <v>1.2365959919080913</v>
      </c>
      <c r="BG28" s="139" t="s">
        <v>1679</v>
      </c>
      <c r="BH28" s="155">
        <v>0</v>
      </c>
      <c r="BI28" s="29">
        <v>1</v>
      </c>
      <c r="BJ28" s="1">
        <v>1.2365959919080913</v>
      </c>
      <c r="BK28" s="139" t="s">
        <v>1679</v>
      </c>
      <c r="BL28" s="155">
        <v>1.2051096649795132E-5</v>
      </c>
      <c r="BM28" s="29">
        <v>1</v>
      </c>
      <c r="BN28" s="1">
        <v>1.2365959919080913</v>
      </c>
      <c r="BO28" s="139" t="s">
        <v>1679</v>
      </c>
      <c r="BP28" s="155">
        <v>0</v>
      </c>
      <c r="BQ28" s="29">
        <v>1</v>
      </c>
      <c r="BR28" s="1">
        <v>1.2365959919080913</v>
      </c>
      <c r="BS28" s="139" t="s">
        <v>1679</v>
      </c>
      <c r="BT28" s="155">
        <v>0</v>
      </c>
      <c r="BU28" s="29">
        <v>1</v>
      </c>
      <c r="BV28" s="1">
        <v>1.2365959919080913</v>
      </c>
      <c r="BW28" s="139" t="s">
        <v>1679</v>
      </c>
      <c r="BX28" s="155">
        <v>7.466874076764865E-8</v>
      </c>
      <c r="BY28" s="29">
        <v>1</v>
      </c>
      <c r="BZ28" s="1">
        <v>1.2365959919080913</v>
      </c>
      <c r="CA28" s="139" t="s">
        <v>1679</v>
      </c>
    </row>
    <row r="29" spans="1:79" ht="18" customHeight="1" outlineLevel="1">
      <c r="A29" s="120">
        <v>32130</v>
      </c>
      <c r="B29" s="168" t="s">
        <v>525</v>
      </c>
      <c r="C29" s="151"/>
      <c r="D29" s="152" t="s">
        <v>526</v>
      </c>
      <c r="E29" s="153" t="s">
        <v>402</v>
      </c>
      <c r="F29" s="144" t="s">
        <v>68</v>
      </c>
      <c r="G29" s="125" t="s">
        <v>393</v>
      </c>
      <c r="H29" s="154" t="s">
        <v>402</v>
      </c>
      <c r="I29" s="123" t="s">
        <v>402</v>
      </c>
      <c r="J29" s="124">
        <v>1</v>
      </c>
      <c r="K29" s="125" t="s">
        <v>522</v>
      </c>
      <c r="L29" s="155">
        <v>0</v>
      </c>
      <c r="M29" s="29">
        <v>1</v>
      </c>
      <c r="N29" s="1">
        <v>1.2365959919080913</v>
      </c>
      <c r="O29" s="139" t="s">
        <v>1679</v>
      </c>
      <c r="P29" s="155">
        <v>0</v>
      </c>
      <c r="Q29" s="29">
        <v>1</v>
      </c>
      <c r="R29" s="1">
        <v>1.2365959919080913</v>
      </c>
      <c r="S29" s="139" t="s">
        <v>1679</v>
      </c>
      <c r="T29" s="155">
        <v>0</v>
      </c>
      <c r="U29" s="29">
        <v>1</v>
      </c>
      <c r="V29" s="1">
        <v>1.2365959919080913</v>
      </c>
      <c r="W29" s="139" t="s">
        <v>1679</v>
      </c>
      <c r="X29" s="155">
        <v>0</v>
      </c>
      <c r="Y29" s="29">
        <v>1</v>
      </c>
      <c r="Z29" s="1">
        <v>1.2365959919080913</v>
      </c>
      <c r="AA29" s="139" t="s">
        <v>1679</v>
      </c>
      <c r="AB29" s="155">
        <v>0</v>
      </c>
      <c r="AC29" s="29">
        <v>1</v>
      </c>
      <c r="AD29" s="1">
        <v>1.2365959919080913</v>
      </c>
      <c r="AE29" s="139" t="s">
        <v>1679</v>
      </c>
      <c r="AF29" s="155">
        <v>0</v>
      </c>
      <c r="AG29" s="29">
        <v>1</v>
      </c>
      <c r="AH29" s="1">
        <v>1.2365959919080913</v>
      </c>
      <c r="AI29" s="139" t="s">
        <v>1679</v>
      </c>
      <c r="AJ29" s="155">
        <v>0</v>
      </c>
      <c r="AK29" s="29">
        <v>1</v>
      </c>
      <c r="AL29" s="1">
        <v>1.2365959919080913</v>
      </c>
      <c r="AM29" s="139" t="s">
        <v>1679</v>
      </c>
      <c r="AN29" s="155">
        <v>0</v>
      </c>
      <c r="AO29" s="29">
        <v>1</v>
      </c>
      <c r="AP29" s="1">
        <v>1.2365959919080913</v>
      </c>
      <c r="AQ29" s="139" t="s">
        <v>1679</v>
      </c>
      <c r="AR29" s="155">
        <v>0</v>
      </c>
      <c r="AS29" s="29">
        <v>1</v>
      </c>
      <c r="AT29" s="1">
        <v>1.2365959919080913</v>
      </c>
      <c r="AU29" s="139" t="s">
        <v>1679</v>
      </c>
      <c r="AV29" s="155">
        <v>0</v>
      </c>
      <c r="AW29" s="29">
        <v>1</v>
      </c>
      <c r="AX29" s="1">
        <v>1.2365959919080913</v>
      </c>
      <c r="AY29" s="139" t="s">
        <v>1679</v>
      </c>
      <c r="AZ29" s="155">
        <v>0</v>
      </c>
      <c r="BA29" s="29">
        <v>1</v>
      </c>
      <c r="BB29" s="1">
        <v>1.2365959919080913</v>
      </c>
      <c r="BC29" s="139" t="s">
        <v>1679</v>
      </c>
      <c r="BD29" s="155">
        <v>0</v>
      </c>
      <c r="BE29" s="29">
        <v>1</v>
      </c>
      <c r="BF29" s="1">
        <v>1.2365959919080913</v>
      </c>
      <c r="BG29" s="139" t="s">
        <v>1679</v>
      </c>
      <c r="BH29" s="155">
        <v>0</v>
      </c>
      <c r="BI29" s="29">
        <v>1</v>
      </c>
      <c r="BJ29" s="1">
        <v>1.2365959919080913</v>
      </c>
      <c r="BK29" s="139" t="s">
        <v>1679</v>
      </c>
      <c r="BL29" s="155">
        <v>0</v>
      </c>
      <c r="BM29" s="29">
        <v>1</v>
      </c>
      <c r="BN29" s="1">
        <v>1.2365959919080913</v>
      </c>
      <c r="BO29" s="139" t="s">
        <v>1679</v>
      </c>
      <c r="BP29" s="155">
        <v>1.2051096649795132E-5</v>
      </c>
      <c r="BQ29" s="29">
        <v>1</v>
      </c>
      <c r="BR29" s="1">
        <v>1.2365959919080913</v>
      </c>
      <c r="BS29" s="139" t="s">
        <v>1679</v>
      </c>
      <c r="BT29" s="155">
        <v>0</v>
      </c>
      <c r="BU29" s="29">
        <v>1</v>
      </c>
      <c r="BV29" s="1">
        <v>1.2365959919080913</v>
      </c>
      <c r="BW29" s="139" t="s">
        <v>1679</v>
      </c>
      <c r="BX29" s="155">
        <v>4.0898038636357019E-8</v>
      </c>
      <c r="BY29" s="29">
        <v>1</v>
      </c>
      <c r="BZ29" s="1">
        <v>1.2365959919080913</v>
      </c>
      <c r="CA29" s="139" t="s">
        <v>1679</v>
      </c>
    </row>
    <row r="30" spans="1:79" ht="18" customHeight="1" outlineLevel="1">
      <c r="A30" s="120">
        <v>32131</v>
      </c>
      <c r="B30" s="168" t="s">
        <v>525</v>
      </c>
      <c r="C30" s="151"/>
      <c r="D30" s="152" t="s">
        <v>526</v>
      </c>
      <c r="E30" s="153" t="s">
        <v>402</v>
      </c>
      <c r="F30" s="144" t="s">
        <v>69</v>
      </c>
      <c r="G30" s="125" t="s">
        <v>393</v>
      </c>
      <c r="H30" s="154" t="s">
        <v>402</v>
      </c>
      <c r="I30" s="123" t="s">
        <v>402</v>
      </c>
      <c r="J30" s="124">
        <v>1</v>
      </c>
      <c r="K30" s="125" t="s">
        <v>522</v>
      </c>
      <c r="L30" s="155">
        <v>0</v>
      </c>
      <c r="M30" s="29">
        <v>1</v>
      </c>
      <c r="N30" s="1">
        <v>1.2365959919080913</v>
      </c>
      <c r="O30" s="139" t="s">
        <v>1679</v>
      </c>
      <c r="P30" s="155">
        <v>0</v>
      </c>
      <c r="Q30" s="29">
        <v>1</v>
      </c>
      <c r="R30" s="1">
        <v>1.2365959919080913</v>
      </c>
      <c r="S30" s="139" t="s">
        <v>1679</v>
      </c>
      <c r="T30" s="155">
        <v>0</v>
      </c>
      <c r="U30" s="29">
        <v>1</v>
      </c>
      <c r="V30" s="1">
        <v>1.2365959919080913</v>
      </c>
      <c r="W30" s="139" t="s">
        <v>1679</v>
      </c>
      <c r="X30" s="155">
        <v>0</v>
      </c>
      <c r="Y30" s="29">
        <v>1</v>
      </c>
      <c r="Z30" s="1">
        <v>1.2365959919080913</v>
      </c>
      <c r="AA30" s="139" t="s">
        <v>1679</v>
      </c>
      <c r="AB30" s="155">
        <v>0</v>
      </c>
      <c r="AC30" s="29">
        <v>1</v>
      </c>
      <c r="AD30" s="1">
        <v>1.2365959919080913</v>
      </c>
      <c r="AE30" s="139" t="s">
        <v>1679</v>
      </c>
      <c r="AF30" s="155">
        <v>0</v>
      </c>
      <c r="AG30" s="29">
        <v>1</v>
      </c>
      <c r="AH30" s="1">
        <v>1.2365959919080913</v>
      </c>
      <c r="AI30" s="139" t="s">
        <v>1679</v>
      </c>
      <c r="AJ30" s="155">
        <v>0</v>
      </c>
      <c r="AK30" s="29">
        <v>1</v>
      </c>
      <c r="AL30" s="1">
        <v>1.2365959919080913</v>
      </c>
      <c r="AM30" s="139" t="s">
        <v>1679</v>
      </c>
      <c r="AN30" s="155">
        <v>0</v>
      </c>
      <c r="AO30" s="29">
        <v>1</v>
      </c>
      <c r="AP30" s="1">
        <v>1.2365959919080913</v>
      </c>
      <c r="AQ30" s="139" t="s">
        <v>1679</v>
      </c>
      <c r="AR30" s="155">
        <v>0</v>
      </c>
      <c r="AS30" s="29">
        <v>1</v>
      </c>
      <c r="AT30" s="1">
        <v>1.2365959919080913</v>
      </c>
      <c r="AU30" s="139" t="s">
        <v>1679</v>
      </c>
      <c r="AV30" s="155">
        <v>0</v>
      </c>
      <c r="AW30" s="29">
        <v>1</v>
      </c>
      <c r="AX30" s="1">
        <v>1.2365959919080913</v>
      </c>
      <c r="AY30" s="139" t="s">
        <v>1679</v>
      </c>
      <c r="AZ30" s="155">
        <v>0</v>
      </c>
      <c r="BA30" s="29">
        <v>1</v>
      </c>
      <c r="BB30" s="1">
        <v>1.2365959919080913</v>
      </c>
      <c r="BC30" s="139" t="s">
        <v>1679</v>
      </c>
      <c r="BD30" s="155">
        <v>0</v>
      </c>
      <c r="BE30" s="29">
        <v>1</v>
      </c>
      <c r="BF30" s="1">
        <v>1.2365959919080913</v>
      </c>
      <c r="BG30" s="139" t="s">
        <v>1679</v>
      </c>
      <c r="BH30" s="155">
        <v>0</v>
      </c>
      <c r="BI30" s="29">
        <v>1</v>
      </c>
      <c r="BJ30" s="1">
        <v>1.2365959919080913</v>
      </c>
      <c r="BK30" s="139" t="s">
        <v>1679</v>
      </c>
      <c r="BL30" s="155">
        <v>0</v>
      </c>
      <c r="BM30" s="29">
        <v>1</v>
      </c>
      <c r="BN30" s="1">
        <v>1.2365959919080913</v>
      </c>
      <c r="BO30" s="139" t="s">
        <v>1679</v>
      </c>
      <c r="BP30" s="155">
        <v>0</v>
      </c>
      <c r="BQ30" s="29">
        <v>1</v>
      </c>
      <c r="BR30" s="1">
        <v>1.2365959919080913</v>
      </c>
      <c r="BS30" s="139" t="s">
        <v>1679</v>
      </c>
      <c r="BT30" s="155">
        <v>1.2051096649795132E-5</v>
      </c>
      <c r="BU30" s="29">
        <v>1</v>
      </c>
      <c r="BV30" s="1">
        <v>1.2365959919080913</v>
      </c>
      <c r="BW30" s="139" t="s">
        <v>1679</v>
      </c>
      <c r="BX30" s="155">
        <v>5.7257254090899823E-7</v>
      </c>
      <c r="BY30" s="29">
        <v>1</v>
      </c>
      <c r="BZ30" s="1">
        <v>1.2365959919080913</v>
      </c>
      <c r="CA30" s="139" t="s">
        <v>1679</v>
      </c>
    </row>
    <row r="31" spans="1:79" ht="18" customHeight="1">
      <c r="A31" s="156"/>
      <c r="B31" s="163" t="s">
        <v>692</v>
      </c>
      <c r="C31" s="151"/>
      <c r="D31" s="153" t="s">
        <v>402</v>
      </c>
      <c r="E31" s="152">
        <v>4</v>
      </c>
      <c r="F31" s="126" t="s">
        <v>324</v>
      </c>
      <c r="G31" s="125" t="s">
        <v>402</v>
      </c>
      <c r="H31" s="126" t="s">
        <v>325</v>
      </c>
      <c r="I31" s="126" t="s">
        <v>685</v>
      </c>
      <c r="J31" s="124" t="s">
        <v>402</v>
      </c>
      <c r="K31" s="125" t="s">
        <v>677</v>
      </c>
      <c r="L31" s="155">
        <v>0.25026737967914414</v>
      </c>
      <c r="M31" s="29">
        <v>1</v>
      </c>
      <c r="N31" s="1">
        <v>1.05</v>
      </c>
      <c r="O31" s="139" t="s">
        <v>131</v>
      </c>
      <c r="P31" s="155">
        <v>0.25026737967914414</v>
      </c>
      <c r="Q31" s="29">
        <v>1</v>
      </c>
      <c r="R31" s="1">
        <v>1.05</v>
      </c>
      <c r="S31" s="139" t="s">
        <v>131</v>
      </c>
      <c r="T31" s="155">
        <v>0.25026737967914414</v>
      </c>
      <c r="U31" s="29">
        <v>1</v>
      </c>
      <c r="V31" s="1">
        <v>1.05</v>
      </c>
      <c r="W31" s="139" t="s">
        <v>131</v>
      </c>
      <c r="X31" s="155">
        <v>0.25026737967914414</v>
      </c>
      <c r="Y31" s="29">
        <v>1</v>
      </c>
      <c r="Z31" s="1">
        <v>1.05</v>
      </c>
      <c r="AA31" s="139" t="s">
        <v>131</v>
      </c>
      <c r="AB31" s="155">
        <v>0.25026737967914414</v>
      </c>
      <c r="AC31" s="29">
        <v>1</v>
      </c>
      <c r="AD31" s="1">
        <v>1.05</v>
      </c>
      <c r="AE31" s="139" t="s">
        <v>131</v>
      </c>
      <c r="AF31" s="155">
        <v>0.25026737967914414</v>
      </c>
      <c r="AG31" s="29">
        <v>1</v>
      </c>
      <c r="AH31" s="1">
        <v>1.05</v>
      </c>
      <c r="AI31" s="139" t="s">
        <v>131</v>
      </c>
      <c r="AJ31" s="155">
        <v>0.25026737967914414</v>
      </c>
      <c r="AK31" s="29">
        <v>1</v>
      </c>
      <c r="AL31" s="1">
        <v>1.05</v>
      </c>
      <c r="AM31" s="139" t="s">
        <v>131</v>
      </c>
      <c r="AN31" s="155">
        <v>0.25026737967914414</v>
      </c>
      <c r="AO31" s="29">
        <v>1</v>
      </c>
      <c r="AP31" s="1">
        <v>1.05</v>
      </c>
      <c r="AQ31" s="139" t="s">
        <v>131</v>
      </c>
      <c r="AR31" s="155">
        <v>0.25026737967914414</v>
      </c>
      <c r="AS31" s="29">
        <v>1</v>
      </c>
      <c r="AT31" s="1">
        <v>1.05</v>
      </c>
      <c r="AU31" s="139" t="s">
        <v>131</v>
      </c>
      <c r="AV31" s="155">
        <v>0.25026737967914414</v>
      </c>
      <c r="AW31" s="29">
        <v>1</v>
      </c>
      <c r="AX31" s="1">
        <v>1.05</v>
      </c>
      <c r="AY31" s="139" t="s">
        <v>131</v>
      </c>
      <c r="AZ31" s="155">
        <v>0.25026737967914414</v>
      </c>
      <c r="BA31" s="29">
        <v>1</v>
      </c>
      <c r="BB31" s="1">
        <v>1.05</v>
      </c>
      <c r="BC31" s="139" t="s">
        <v>131</v>
      </c>
      <c r="BD31" s="155">
        <v>0.25026737967914414</v>
      </c>
      <c r="BE31" s="29">
        <v>1</v>
      </c>
      <c r="BF31" s="1">
        <v>1.05</v>
      </c>
      <c r="BG31" s="139" t="s">
        <v>131</v>
      </c>
      <c r="BH31" s="155">
        <v>0.25026737967914414</v>
      </c>
      <c r="BI31" s="29">
        <v>1</v>
      </c>
      <c r="BJ31" s="1">
        <v>1.05</v>
      </c>
      <c r="BK31" s="139" t="s">
        <v>131</v>
      </c>
      <c r="BL31" s="155">
        <v>0.25026737967914414</v>
      </c>
      <c r="BM31" s="29">
        <v>1</v>
      </c>
      <c r="BN31" s="1">
        <v>1.05</v>
      </c>
      <c r="BO31" s="139" t="s">
        <v>131</v>
      </c>
      <c r="BP31" s="155">
        <v>0.25026737967914414</v>
      </c>
      <c r="BQ31" s="29">
        <v>1</v>
      </c>
      <c r="BR31" s="1">
        <v>1.05</v>
      </c>
      <c r="BS31" s="139" t="s">
        <v>131</v>
      </c>
      <c r="BT31" s="155">
        <v>0.25026737967914414</v>
      </c>
      <c r="BU31" s="29">
        <v>1</v>
      </c>
      <c r="BV31" s="1">
        <v>1.05</v>
      </c>
      <c r="BW31" s="139" t="s">
        <v>131</v>
      </c>
      <c r="BX31" s="155">
        <v>0.25026737967914414</v>
      </c>
      <c r="BY31" s="29">
        <v>1</v>
      </c>
      <c r="BZ31" s="1">
        <v>1.05</v>
      </c>
      <c r="CA31" s="139" t="s">
        <v>131</v>
      </c>
    </row>
    <row r="32" spans="1:79" outlineLevel="1">
      <c r="A32" s="5">
        <v>1459</v>
      </c>
      <c r="B32" s="168" t="s">
        <v>523</v>
      </c>
      <c r="C32" s="169"/>
      <c r="D32" s="11" t="s">
        <v>402</v>
      </c>
      <c r="E32" s="170">
        <v>0</v>
      </c>
      <c r="F32" s="145" t="s">
        <v>90</v>
      </c>
      <c r="G32" s="16" t="s">
        <v>393</v>
      </c>
      <c r="H32" s="14" t="s">
        <v>402</v>
      </c>
      <c r="I32" s="14" t="s">
        <v>402</v>
      </c>
      <c r="J32" s="15">
        <v>0</v>
      </c>
      <c r="K32" s="16" t="s">
        <v>678</v>
      </c>
      <c r="L32" s="149">
        <v>1</v>
      </c>
      <c r="M32" s="29"/>
      <c r="N32" s="1"/>
      <c r="O32" s="139"/>
      <c r="P32" s="149">
        <v>0</v>
      </c>
      <c r="Q32" s="29"/>
      <c r="R32" s="1"/>
      <c r="S32" s="139"/>
      <c r="T32" s="149">
        <v>0</v>
      </c>
      <c r="U32" s="29"/>
      <c r="V32" s="1"/>
      <c r="W32" s="139"/>
      <c r="X32" s="149">
        <v>0</v>
      </c>
      <c r="Y32" s="29"/>
      <c r="Z32" s="1"/>
      <c r="AA32" s="139"/>
      <c r="AB32" s="149">
        <v>0</v>
      </c>
      <c r="AC32" s="29"/>
      <c r="AD32" s="1"/>
      <c r="AE32" s="139"/>
      <c r="AF32" s="149">
        <v>0</v>
      </c>
      <c r="AG32" s="29"/>
      <c r="AH32" s="1"/>
      <c r="AI32" s="139"/>
      <c r="AJ32" s="149">
        <v>0</v>
      </c>
      <c r="AK32" s="29"/>
      <c r="AL32" s="1"/>
      <c r="AM32" s="139"/>
      <c r="AN32" s="149">
        <v>0</v>
      </c>
      <c r="AO32" s="29"/>
      <c r="AP32" s="1"/>
      <c r="AQ32" s="139"/>
      <c r="AR32" s="149">
        <v>0</v>
      </c>
      <c r="AS32" s="29"/>
      <c r="AT32" s="1"/>
      <c r="AU32" s="139"/>
      <c r="AV32" s="149">
        <v>0</v>
      </c>
      <c r="AW32" s="29"/>
      <c r="AX32" s="1"/>
      <c r="AY32" s="139"/>
      <c r="AZ32" s="149">
        <v>0</v>
      </c>
      <c r="BA32" s="29"/>
      <c r="BB32" s="1"/>
      <c r="BC32" s="139"/>
      <c r="BD32" s="149">
        <v>0</v>
      </c>
      <c r="BE32" s="29"/>
      <c r="BF32" s="1"/>
      <c r="BG32" s="139"/>
      <c r="BH32" s="149">
        <v>0</v>
      </c>
      <c r="BI32" s="29"/>
      <c r="BJ32" s="1"/>
      <c r="BK32" s="139"/>
      <c r="BL32" s="149">
        <v>0</v>
      </c>
      <c r="BM32" s="29"/>
      <c r="BN32" s="1"/>
      <c r="BO32" s="139"/>
      <c r="BP32" s="149">
        <v>0</v>
      </c>
      <c r="BQ32" s="29"/>
      <c r="BR32" s="1"/>
      <c r="BS32" s="139"/>
      <c r="BT32" s="149">
        <v>0</v>
      </c>
      <c r="BU32" s="29"/>
      <c r="BV32" s="1"/>
      <c r="BW32" s="139"/>
      <c r="BX32" s="149">
        <v>0</v>
      </c>
      <c r="BY32" s="29"/>
      <c r="BZ32" s="1"/>
      <c r="CA32" s="139"/>
    </row>
    <row r="33" spans="1:79" outlineLevel="1">
      <c r="A33" s="6">
        <v>1460</v>
      </c>
      <c r="B33" s="168"/>
      <c r="C33" s="169"/>
      <c r="D33" s="11" t="s">
        <v>402</v>
      </c>
      <c r="E33" s="170">
        <v>0</v>
      </c>
      <c r="F33" s="145" t="s">
        <v>91</v>
      </c>
      <c r="G33" s="16" t="s">
        <v>393</v>
      </c>
      <c r="H33" s="14" t="s">
        <v>402</v>
      </c>
      <c r="I33" s="14" t="s">
        <v>402</v>
      </c>
      <c r="J33" s="15">
        <v>0</v>
      </c>
      <c r="K33" s="16" t="s">
        <v>678</v>
      </c>
      <c r="L33" s="149">
        <v>0</v>
      </c>
      <c r="M33" s="40"/>
      <c r="N33" s="89"/>
      <c r="O33" s="202"/>
      <c r="P33" s="149">
        <v>1</v>
      </c>
      <c r="Q33" s="40"/>
      <c r="R33" s="89"/>
      <c r="S33" s="202"/>
      <c r="T33" s="149">
        <v>0</v>
      </c>
      <c r="U33" s="40"/>
      <c r="V33" s="89"/>
      <c r="W33" s="202"/>
      <c r="X33" s="149">
        <v>0</v>
      </c>
      <c r="Y33" s="40"/>
      <c r="Z33" s="89"/>
      <c r="AA33" s="202"/>
      <c r="AB33" s="149">
        <v>0</v>
      </c>
      <c r="AC33" s="40"/>
      <c r="AD33" s="89"/>
      <c r="AE33" s="202"/>
      <c r="AF33" s="149">
        <v>0</v>
      </c>
      <c r="AG33" s="40"/>
      <c r="AH33" s="89"/>
      <c r="AI33" s="202"/>
      <c r="AJ33" s="149">
        <v>0</v>
      </c>
      <c r="AK33" s="40"/>
      <c r="AL33" s="89"/>
      <c r="AM33" s="202"/>
      <c r="AN33" s="149">
        <v>0</v>
      </c>
      <c r="AO33" s="40"/>
      <c r="AP33" s="89"/>
      <c r="AQ33" s="202"/>
      <c r="AR33" s="149">
        <v>0</v>
      </c>
      <c r="AS33" s="40"/>
      <c r="AT33" s="89"/>
      <c r="AU33" s="202"/>
      <c r="AV33" s="149">
        <v>0</v>
      </c>
      <c r="AW33" s="40"/>
      <c r="AX33" s="89"/>
      <c r="AY33" s="202"/>
      <c r="AZ33" s="149">
        <v>0</v>
      </c>
      <c r="BA33" s="40"/>
      <c r="BB33" s="89"/>
      <c r="BC33" s="202"/>
      <c r="BD33" s="149">
        <v>0</v>
      </c>
      <c r="BE33" s="40"/>
      <c r="BF33" s="89"/>
      <c r="BG33" s="202"/>
      <c r="BH33" s="149">
        <v>0</v>
      </c>
      <c r="BI33" s="40"/>
      <c r="BJ33" s="89"/>
      <c r="BK33" s="202"/>
      <c r="BL33" s="149">
        <v>0</v>
      </c>
      <c r="BM33" s="40"/>
      <c r="BN33" s="89"/>
      <c r="BO33" s="202"/>
      <c r="BP33" s="149">
        <v>0</v>
      </c>
      <c r="BQ33" s="40"/>
      <c r="BR33" s="89"/>
      <c r="BS33" s="202"/>
      <c r="BT33" s="149">
        <v>0</v>
      </c>
      <c r="BU33" s="40"/>
      <c r="BV33" s="89"/>
      <c r="BW33" s="202"/>
      <c r="BX33" s="149">
        <v>0</v>
      </c>
      <c r="BY33" s="40"/>
      <c r="BZ33" s="89"/>
      <c r="CA33" s="202"/>
    </row>
    <row r="34" spans="1:79" outlineLevel="1">
      <c r="A34" s="6">
        <v>1461</v>
      </c>
      <c r="B34" s="168"/>
      <c r="C34" s="169"/>
      <c r="D34" s="11" t="s">
        <v>402</v>
      </c>
      <c r="E34" s="170">
        <v>0</v>
      </c>
      <c r="F34" s="145" t="s">
        <v>92</v>
      </c>
      <c r="G34" s="16" t="s">
        <v>393</v>
      </c>
      <c r="H34" s="14" t="s">
        <v>402</v>
      </c>
      <c r="I34" s="14" t="s">
        <v>402</v>
      </c>
      <c r="J34" s="15">
        <v>0</v>
      </c>
      <c r="K34" s="16" t="s">
        <v>678</v>
      </c>
      <c r="L34" s="149">
        <v>0</v>
      </c>
      <c r="M34" s="40"/>
      <c r="N34" s="89"/>
      <c r="O34" s="202"/>
      <c r="P34" s="149">
        <v>0</v>
      </c>
      <c r="Q34" s="40"/>
      <c r="R34" s="89"/>
      <c r="S34" s="202"/>
      <c r="T34" s="149">
        <v>1</v>
      </c>
      <c r="U34" s="40"/>
      <c r="V34" s="89"/>
      <c r="W34" s="202"/>
      <c r="X34" s="149">
        <v>0</v>
      </c>
      <c r="Y34" s="40"/>
      <c r="Z34" s="89"/>
      <c r="AA34" s="202"/>
      <c r="AB34" s="149">
        <v>0</v>
      </c>
      <c r="AC34" s="40"/>
      <c r="AD34" s="89"/>
      <c r="AE34" s="202"/>
      <c r="AF34" s="149">
        <v>0</v>
      </c>
      <c r="AG34" s="40"/>
      <c r="AH34" s="89"/>
      <c r="AI34" s="202"/>
      <c r="AJ34" s="149">
        <v>0</v>
      </c>
      <c r="AK34" s="40"/>
      <c r="AL34" s="89"/>
      <c r="AM34" s="202"/>
      <c r="AN34" s="149">
        <v>0</v>
      </c>
      <c r="AO34" s="40"/>
      <c r="AP34" s="89"/>
      <c r="AQ34" s="202"/>
      <c r="AR34" s="149">
        <v>0</v>
      </c>
      <c r="AS34" s="40"/>
      <c r="AT34" s="89"/>
      <c r="AU34" s="202"/>
      <c r="AV34" s="149">
        <v>0</v>
      </c>
      <c r="AW34" s="40"/>
      <c r="AX34" s="89"/>
      <c r="AY34" s="202"/>
      <c r="AZ34" s="149">
        <v>0</v>
      </c>
      <c r="BA34" s="40"/>
      <c r="BB34" s="89"/>
      <c r="BC34" s="202"/>
      <c r="BD34" s="149">
        <v>0</v>
      </c>
      <c r="BE34" s="40"/>
      <c r="BF34" s="89"/>
      <c r="BG34" s="202"/>
      <c r="BH34" s="149">
        <v>0</v>
      </c>
      <c r="BI34" s="40"/>
      <c r="BJ34" s="89"/>
      <c r="BK34" s="202"/>
      <c r="BL34" s="149">
        <v>0</v>
      </c>
      <c r="BM34" s="40"/>
      <c r="BN34" s="89"/>
      <c r="BO34" s="202"/>
      <c r="BP34" s="149">
        <v>0</v>
      </c>
      <c r="BQ34" s="40"/>
      <c r="BR34" s="89"/>
      <c r="BS34" s="202"/>
      <c r="BT34" s="149">
        <v>0</v>
      </c>
      <c r="BU34" s="40"/>
      <c r="BV34" s="89"/>
      <c r="BW34" s="202"/>
      <c r="BX34" s="149">
        <v>0</v>
      </c>
      <c r="BY34" s="40"/>
      <c r="BZ34" s="89"/>
      <c r="CA34" s="202"/>
    </row>
    <row r="35" spans="1:79" outlineLevel="1">
      <c r="A35" s="6">
        <v>1462</v>
      </c>
      <c r="B35" s="168"/>
      <c r="C35" s="169"/>
      <c r="D35" s="11" t="s">
        <v>402</v>
      </c>
      <c r="E35" s="170">
        <v>0</v>
      </c>
      <c r="F35" s="145" t="s">
        <v>93</v>
      </c>
      <c r="G35" s="16" t="s">
        <v>393</v>
      </c>
      <c r="H35" s="14" t="s">
        <v>402</v>
      </c>
      <c r="I35" s="14" t="s">
        <v>402</v>
      </c>
      <c r="J35" s="15">
        <v>0</v>
      </c>
      <c r="K35" s="16" t="s">
        <v>678</v>
      </c>
      <c r="L35" s="149">
        <v>0</v>
      </c>
      <c r="M35" s="40"/>
      <c r="N35" s="89"/>
      <c r="O35" s="202"/>
      <c r="P35" s="149">
        <v>0</v>
      </c>
      <c r="Q35" s="40"/>
      <c r="R35" s="89"/>
      <c r="S35" s="202"/>
      <c r="T35" s="149">
        <v>0</v>
      </c>
      <c r="U35" s="40"/>
      <c r="V35" s="89"/>
      <c r="W35" s="202"/>
      <c r="X35" s="149">
        <v>1</v>
      </c>
      <c r="Y35" s="40"/>
      <c r="Z35" s="89"/>
      <c r="AA35" s="202"/>
      <c r="AB35" s="149">
        <v>0</v>
      </c>
      <c r="AC35" s="40"/>
      <c r="AD35" s="89"/>
      <c r="AE35" s="202"/>
      <c r="AF35" s="149">
        <v>0</v>
      </c>
      <c r="AG35" s="40"/>
      <c r="AH35" s="89"/>
      <c r="AI35" s="202"/>
      <c r="AJ35" s="149">
        <v>0</v>
      </c>
      <c r="AK35" s="40"/>
      <c r="AL35" s="89"/>
      <c r="AM35" s="202"/>
      <c r="AN35" s="149">
        <v>0</v>
      </c>
      <c r="AO35" s="40"/>
      <c r="AP35" s="89"/>
      <c r="AQ35" s="202"/>
      <c r="AR35" s="149">
        <v>0</v>
      </c>
      <c r="AS35" s="40"/>
      <c r="AT35" s="89"/>
      <c r="AU35" s="202"/>
      <c r="AV35" s="149">
        <v>0</v>
      </c>
      <c r="AW35" s="40"/>
      <c r="AX35" s="89"/>
      <c r="AY35" s="202"/>
      <c r="AZ35" s="149">
        <v>0</v>
      </c>
      <c r="BA35" s="40"/>
      <c r="BB35" s="89"/>
      <c r="BC35" s="202"/>
      <c r="BD35" s="149">
        <v>0</v>
      </c>
      <c r="BE35" s="40"/>
      <c r="BF35" s="89"/>
      <c r="BG35" s="202"/>
      <c r="BH35" s="149">
        <v>0</v>
      </c>
      <c r="BI35" s="40"/>
      <c r="BJ35" s="89"/>
      <c r="BK35" s="202"/>
      <c r="BL35" s="149">
        <v>0</v>
      </c>
      <c r="BM35" s="40"/>
      <c r="BN35" s="89"/>
      <c r="BO35" s="202"/>
      <c r="BP35" s="149">
        <v>0</v>
      </c>
      <c r="BQ35" s="40"/>
      <c r="BR35" s="89"/>
      <c r="BS35" s="202"/>
      <c r="BT35" s="149">
        <v>0</v>
      </c>
      <c r="BU35" s="40"/>
      <c r="BV35" s="89"/>
      <c r="BW35" s="202"/>
      <c r="BX35" s="149">
        <v>0</v>
      </c>
      <c r="BY35" s="40"/>
      <c r="BZ35" s="89"/>
      <c r="CA35" s="202"/>
    </row>
    <row r="36" spans="1:79" outlineLevel="1">
      <c r="A36" s="6">
        <v>1463</v>
      </c>
      <c r="B36" s="168"/>
      <c r="C36" s="169"/>
      <c r="D36" s="11" t="s">
        <v>402</v>
      </c>
      <c r="E36" s="170">
        <v>0</v>
      </c>
      <c r="F36" s="145" t="s">
        <v>94</v>
      </c>
      <c r="G36" s="16" t="s">
        <v>393</v>
      </c>
      <c r="H36" s="14" t="s">
        <v>402</v>
      </c>
      <c r="I36" s="14" t="s">
        <v>402</v>
      </c>
      <c r="J36" s="15">
        <v>0</v>
      </c>
      <c r="K36" s="16" t="s">
        <v>678</v>
      </c>
      <c r="L36" s="149">
        <v>0</v>
      </c>
      <c r="M36" s="40"/>
      <c r="N36" s="89"/>
      <c r="O36" s="202"/>
      <c r="P36" s="149">
        <v>0</v>
      </c>
      <c r="Q36" s="40"/>
      <c r="R36" s="89"/>
      <c r="S36" s="202"/>
      <c r="T36" s="149">
        <v>0</v>
      </c>
      <c r="U36" s="40"/>
      <c r="V36" s="89"/>
      <c r="W36" s="202"/>
      <c r="X36" s="149">
        <v>0</v>
      </c>
      <c r="Y36" s="40"/>
      <c r="Z36" s="89"/>
      <c r="AA36" s="202"/>
      <c r="AB36" s="149">
        <v>1</v>
      </c>
      <c r="AC36" s="40"/>
      <c r="AD36" s="89"/>
      <c r="AE36" s="202"/>
      <c r="AF36" s="149">
        <v>0</v>
      </c>
      <c r="AG36" s="40"/>
      <c r="AH36" s="89"/>
      <c r="AI36" s="202"/>
      <c r="AJ36" s="149">
        <v>0</v>
      </c>
      <c r="AK36" s="40"/>
      <c r="AL36" s="89"/>
      <c r="AM36" s="202"/>
      <c r="AN36" s="149">
        <v>0</v>
      </c>
      <c r="AO36" s="40"/>
      <c r="AP36" s="89"/>
      <c r="AQ36" s="202"/>
      <c r="AR36" s="149">
        <v>0</v>
      </c>
      <c r="AS36" s="40"/>
      <c r="AT36" s="89"/>
      <c r="AU36" s="202"/>
      <c r="AV36" s="149">
        <v>0</v>
      </c>
      <c r="AW36" s="40"/>
      <c r="AX36" s="89"/>
      <c r="AY36" s="202"/>
      <c r="AZ36" s="149">
        <v>0</v>
      </c>
      <c r="BA36" s="40"/>
      <c r="BB36" s="89"/>
      <c r="BC36" s="202"/>
      <c r="BD36" s="149">
        <v>0</v>
      </c>
      <c r="BE36" s="40"/>
      <c r="BF36" s="89"/>
      <c r="BG36" s="202"/>
      <c r="BH36" s="149">
        <v>0</v>
      </c>
      <c r="BI36" s="40"/>
      <c r="BJ36" s="89"/>
      <c r="BK36" s="202"/>
      <c r="BL36" s="149">
        <v>0</v>
      </c>
      <c r="BM36" s="40"/>
      <c r="BN36" s="89"/>
      <c r="BO36" s="202"/>
      <c r="BP36" s="149">
        <v>0</v>
      </c>
      <c r="BQ36" s="40"/>
      <c r="BR36" s="89"/>
      <c r="BS36" s="202"/>
      <c r="BT36" s="149">
        <v>0</v>
      </c>
      <c r="BU36" s="40"/>
      <c r="BV36" s="89"/>
      <c r="BW36" s="202"/>
      <c r="BX36" s="149">
        <v>0</v>
      </c>
      <c r="BY36" s="40"/>
      <c r="BZ36" s="89"/>
      <c r="CA36" s="202"/>
    </row>
    <row r="37" spans="1:79" outlineLevel="1">
      <c r="A37" s="5">
        <v>1464</v>
      </c>
      <c r="B37" s="168"/>
      <c r="C37" s="169"/>
      <c r="D37" s="11" t="s">
        <v>402</v>
      </c>
      <c r="E37" s="170">
        <v>0</v>
      </c>
      <c r="F37" s="145" t="s">
        <v>95</v>
      </c>
      <c r="G37" s="16" t="s">
        <v>393</v>
      </c>
      <c r="H37" s="14" t="s">
        <v>402</v>
      </c>
      <c r="I37" s="14" t="s">
        <v>402</v>
      </c>
      <c r="J37" s="15">
        <v>0</v>
      </c>
      <c r="K37" s="16" t="s">
        <v>678</v>
      </c>
      <c r="L37" s="149">
        <v>0</v>
      </c>
      <c r="M37" s="29"/>
      <c r="N37" s="1"/>
      <c r="O37" s="139"/>
      <c r="P37" s="149">
        <v>0</v>
      </c>
      <c r="Q37" s="29"/>
      <c r="R37" s="1"/>
      <c r="S37" s="139"/>
      <c r="T37" s="149">
        <v>0</v>
      </c>
      <c r="U37" s="29"/>
      <c r="V37" s="1"/>
      <c r="W37" s="139"/>
      <c r="X37" s="149">
        <v>0</v>
      </c>
      <c r="Y37" s="29"/>
      <c r="Z37" s="1"/>
      <c r="AA37" s="139"/>
      <c r="AB37" s="149">
        <v>0</v>
      </c>
      <c r="AC37" s="29"/>
      <c r="AD37" s="1"/>
      <c r="AE37" s="139"/>
      <c r="AF37" s="149">
        <v>1</v>
      </c>
      <c r="AG37" s="29"/>
      <c r="AH37" s="1"/>
      <c r="AI37" s="139"/>
      <c r="AJ37" s="149">
        <v>0</v>
      </c>
      <c r="AK37" s="29"/>
      <c r="AL37" s="1"/>
      <c r="AM37" s="139"/>
      <c r="AN37" s="149">
        <v>0</v>
      </c>
      <c r="AO37" s="29"/>
      <c r="AP37" s="1"/>
      <c r="AQ37" s="139"/>
      <c r="AR37" s="149">
        <v>0</v>
      </c>
      <c r="AS37" s="29"/>
      <c r="AT37" s="1"/>
      <c r="AU37" s="139"/>
      <c r="AV37" s="149">
        <v>0</v>
      </c>
      <c r="AW37" s="29"/>
      <c r="AX37" s="1"/>
      <c r="AY37" s="139"/>
      <c r="AZ37" s="149">
        <v>0</v>
      </c>
      <c r="BA37" s="29"/>
      <c r="BB37" s="1"/>
      <c r="BC37" s="139"/>
      <c r="BD37" s="149">
        <v>0</v>
      </c>
      <c r="BE37" s="29"/>
      <c r="BF37" s="1"/>
      <c r="BG37" s="139"/>
      <c r="BH37" s="149">
        <v>0</v>
      </c>
      <c r="BI37" s="29"/>
      <c r="BJ37" s="1"/>
      <c r="BK37" s="139"/>
      <c r="BL37" s="149">
        <v>0</v>
      </c>
      <c r="BM37" s="29"/>
      <c r="BN37" s="1"/>
      <c r="BO37" s="139"/>
      <c r="BP37" s="149">
        <v>0</v>
      </c>
      <c r="BQ37" s="29"/>
      <c r="BR37" s="1"/>
      <c r="BS37" s="139"/>
      <c r="BT37" s="149">
        <v>0</v>
      </c>
      <c r="BU37" s="29"/>
      <c r="BV37" s="1"/>
      <c r="BW37" s="139"/>
      <c r="BX37" s="149">
        <v>0</v>
      </c>
      <c r="BY37" s="29"/>
      <c r="BZ37" s="1"/>
      <c r="CA37" s="139"/>
    </row>
    <row r="38" spans="1:79" outlineLevel="1">
      <c r="A38" s="6">
        <v>1465</v>
      </c>
      <c r="B38" s="168"/>
      <c r="C38" s="169"/>
      <c r="D38" s="11" t="s">
        <v>402</v>
      </c>
      <c r="E38" s="170">
        <v>0</v>
      </c>
      <c r="F38" s="145" t="s">
        <v>96</v>
      </c>
      <c r="G38" s="16" t="s">
        <v>393</v>
      </c>
      <c r="H38" s="14" t="s">
        <v>402</v>
      </c>
      <c r="I38" s="14" t="s">
        <v>402</v>
      </c>
      <c r="J38" s="15">
        <v>0</v>
      </c>
      <c r="K38" s="16" t="s">
        <v>678</v>
      </c>
      <c r="L38" s="149">
        <v>0</v>
      </c>
      <c r="M38" s="40"/>
      <c r="N38" s="89"/>
      <c r="O38" s="202"/>
      <c r="P38" s="149">
        <v>0</v>
      </c>
      <c r="Q38" s="40"/>
      <c r="R38" s="89"/>
      <c r="S38" s="202"/>
      <c r="T38" s="149">
        <v>0</v>
      </c>
      <c r="U38" s="40"/>
      <c r="V38" s="89"/>
      <c r="W38" s="202"/>
      <c r="X38" s="149">
        <v>0</v>
      </c>
      <c r="Y38" s="40"/>
      <c r="Z38" s="89"/>
      <c r="AA38" s="202"/>
      <c r="AB38" s="149">
        <v>0</v>
      </c>
      <c r="AC38" s="40"/>
      <c r="AD38" s="89"/>
      <c r="AE38" s="202"/>
      <c r="AF38" s="149">
        <v>0</v>
      </c>
      <c r="AG38" s="40"/>
      <c r="AH38" s="89"/>
      <c r="AI38" s="202"/>
      <c r="AJ38" s="149">
        <v>1</v>
      </c>
      <c r="AK38" s="40"/>
      <c r="AL38" s="89"/>
      <c r="AM38" s="202"/>
      <c r="AN38" s="149">
        <v>0</v>
      </c>
      <c r="AO38" s="40"/>
      <c r="AP38" s="89"/>
      <c r="AQ38" s="202"/>
      <c r="AR38" s="149">
        <v>0</v>
      </c>
      <c r="AS38" s="40"/>
      <c r="AT38" s="89"/>
      <c r="AU38" s="202"/>
      <c r="AV38" s="149">
        <v>0</v>
      </c>
      <c r="AW38" s="40"/>
      <c r="AX38" s="89"/>
      <c r="AY38" s="202"/>
      <c r="AZ38" s="149">
        <v>0</v>
      </c>
      <c r="BA38" s="40"/>
      <c r="BB38" s="89"/>
      <c r="BC38" s="202"/>
      <c r="BD38" s="149">
        <v>0</v>
      </c>
      <c r="BE38" s="40"/>
      <c r="BF38" s="89"/>
      <c r="BG38" s="202"/>
      <c r="BH38" s="149">
        <v>0</v>
      </c>
      <c r="BI38" s="40"/>
      <c r="BJ38" s="89"/>
      <c r="BK38" s="202"/>
      <c r="BL38" s="149">
        <v>0</v>
      </c>
      <c r="BM38" s="40"/>
      <c r="BN38" s="89"/>
      <c r="BO38" s="202"/>
      <c r="BP38" s="149">
        <v>0</v>
      </c>
      <c r="BQ38" s="40"/>
      <c r="BR38" s="89"/>
      <c r="BS38" s="202"/>
      <c r="BT38" s="149">
        <v>0</v>
      </c>
      <c r="BU38" s="40"/>
      <c r="BV38" s="89"/>
      <c r="BW38" s="202"/>
      <c r="BX38" s="149">
        <v>0</v>
      </c>
      <c r="BY38" s="40"/>
      <c r="BZ38" s="89"/>
      <c r="CA38" s="202"/>
    </row>
    <row r="39" spans="1:79" outlineLevel="1">
      <c r="A39" s="6">
        <v>1466</v>
      </c>
      <c r="B39" s="168"/>
      <c r="C39" s="169"/>
      <c r="D39" s="11" t="s">
        <v>402</v>
      </c>
      <c r="E39" s="170">
        <v>0</v>
      </c>
      <c r="F39" s="145" t="s">
        <v>97</v>
      </c>
      <c r="G39" s="16" t="s">
        <v>393</v>
      </c>
      <c r="H39" s="14" t="s">
        <v>402</v>
      </c>
      <c r="I39" s="14" t="s">
        <v>402</v>
      </c>
      <c r="J39" s="15">
        <v>0</v>
      </c>
      <c r="K39" s="16" t="s">
        <v>678</v>
      </c>
      <c r="L39" s="149">
        <v>0</v>
      </c>
      <c r="M39" s="40"/>
      <c r="N39" s="89"/>
      <c r="O39" s="202"/>
      <c r="P39" s="149">
        <v>0</v>
      </c>
      <c r="Q39" s="40"/>
      <c r="R39" s="89"/>
      <c r="S39" s="202"/>
      <c r="T39" s="149">
        <v>0</v>
      </c>
      <c r="U39" s="40"/>
      <c r="V39" s="89"/>
      <c r="W39" s="202"/>
      <c r="X39" s="149">
        <v>0</v>
      </c>
      <c r="Y39" s="40"/>
      <c r="Z39" s="89"/>
      <c r="AA39" s="202"/>
      <c r="AB39" s="149">
        <v>0</v>
      </c>
      <c r="AC39" s="40"/>
      <c r="AD39" s="89"/>
      <c r="AE39" s="202"/>
      <c r="AF39" s="149">
        <v>0</v>
      </c>
      <c r="AG39" s="40"/>
      <c r="AH39" s="89"/>
      <c r="AI39" s="202"/>
      <c r="AJ39" s="149">
        <v>0</v>
      </c>
      <c r="AK39" s="40"/>
      <c r="AL39" s="89"/>
      <c r="AM39" s="202"/>
      <c r="AN39" s="149">
        <v>1</v>
      </c>
      <c r="AO39" s="40"/>
      <c r="AP39" s="89"/>
      <c r="AQ39" s="202"/>
      <c r="AR39" s="149">
        <v>0</v>
      </c>
      <c r="AS39" s="40"/>
      <c r="AT39" s="89"/>
      <c r="AU39" s="202"/>
      <c r="AV39" s="149">
        <v>0</v>
      </c>
      <c r="AW39" s="40"/>
      <c r="AX39" s="89"/>
      <c r="AY39" s="202"/>
      <c r="AZ39" s="149">
        <v>0</v>
      </c>
      <c r="BA39" s="40"/>
      <c r="BB39" s="89"/>
      <c r="BC39" s="202"/>
      <c r="BD39" s="149">
        <v>0</v>
      </c>
      <c r="BE39" s="40"/>
      <c r="BF39" s="89"/>
      <c r="BG39" s="202"/>
      <c r="BH39" s="149">
        <v>0</v>
      </c>
      <c r="BI39" s="40"/>
      <c r="BJ39" s="89"/>
      <c r="BK39" s="202"/>
      <c r="BL39" s="149">
        <v>0</v>
      </c>
      <c r="BM39" s="40"/>
      <c r="BN39" s="89"/>
      <c r="BO39" s="202"/>
      <c r="BP39" s="149">
        <v>0</v>
      </c>
      <c r="BQ39" s="40"/>
      <c r="BR39" s="89"/>
      <c r="BS39" s="202"/>
      <c r="BT39" s="149">
        <v>0</v>
      </c>
      <c r="BU39" s="40"/>
      <c r="BV39" s="89"/>
      <c r="BW39" s="202"/>
      <c r="BX39" s="149">
        <v>0</v>
      </c>
      <c r="BY39" s="40"/>
      <c r="BZ39" s="89"/>
      <c r="CA39" s="202"/>
    </row>
    <row r="40" spans="1:79" outlineLevel="1">
      <c r="A40" s="6">
        <v>1467</v>
      </c>
      <c r="B40" s="168"/>
      <c r="C40" s="169"/>
      <c r="D40" s="11" t="s">
        <v>402</v>
      </c>
      <c r="E40" s="170">
        <v>0</v>
      </c>
      <c r="F40" s="145" t="s">
        <v>98</v>
      </c>
      <c r="G40" s="16" t="s">
        <v>393</v>
      </c>
      <c r="H40" s="14" t="s">
        <v>402</v>
      </c>
      <c r="I40" s="14" t="s">
        <v>402</v>
      </c>
      <c r="J40" s="15">
        <v>0</v>
      </c>
      <c r="K40" s="16" t="s">
        <v>678</v>
      </c>
      <c r="L40" s="149">
        <v>0</v>
      </c>
      <c r="M40" s="40"/>
      <c r="N40" s="89"/>
      <c r="O40" s="202"/>
      <c r="P40" s="149">
        <v>0</v>
      </c>
      <c r="Q40" s="40"/>
      <c r="R40" s="89"/>
      <c r="S40" s="202"/>
      <c r="T40" s="149">
        <v>0</v>
      </c>
      <c r="U40" s="40"/>
      <c r="V40" s="89"/>
      <c r="W40" s="202"/>
      <c r="X40" s="149">
        <v>0</v>
      </c>
      <c r="Y40" s="40"/>
      <c r="Z40" s="89"/>
      <c r="AA40" s="202"/>
      <c r="AB40" s="149">
        <v>0</v>
      </c>
      <c r="AC40" s="40"/>
      <c r="AD40" s="89"/>
      <c r="AE40" s="202"/>
      <c r="AF40" s="149">
        <v>0</v>
      </c>
      <c r="AG40" s="40"/>
      <c r="AH40" s="89"/>
      <c r="AI40" s="202"/>
      <c r="AJ40" s="149">
        <v>0</v>
      </c>
      <c r="AK40" s="40"/>
      <c r="AL40" s="89"/>
      <c r="AM40" s="202"/>
      <c r="AN40" s="149">
        <v>0</v>
      </c>
      <c r="AO40" s="40"/>
      <c r="AP40" s="89"/>
      <c r="AQ40" s="202"/>
      <c r="AR40" s="149">
        <v>1</v>
      </c>
      <c r="AS40" s="40"/>
      <c r="AT40" s="89"/>
      <c r="AU40" s="202"/>
      <c r="AV40" s="149">
        <v>0</v>
      </c>
      <c r="AW40" s="40"/>
      <c r="AX40" s="89"/>
      <c r="AY40" s="202"/>
      <c r="AZ40" s="149">
        <v>0</v>
      </c>
      <c r="BA40" s="40"/>
      <c r="BB40" s="89"/>
      <c r="BC40" s="202"/>
      <c r="BD40" s="149">
        <v>0</v>
      </c>
      <c r="BE40" s="40"/>
      <c r="BF40" s="89"/>
      <c r="BG40" s="202"/>
      <c r="BH40" s="149">
        <v>0</v>
      </c>
      <c r="BI40" s="40"/>
      <c r="BJ40" s="89"/>
      <c r="BK40" s="202"/>
      <c r="BL40" s="149">
        <v>0</v>
      </c>
      <c r="BM40" s="40"/>
      <c r="BN40" s="89"/>
      <c r="BO40" s="202"/>
      <c r="BP40" s="149">
        <v>0</v>
      </c>
      <c r="BQ40" s="40"/>
      <c r="BR40" s="89"/>
      <c r="BS40" s="202"/>
      <c r="BT40" s="149">
        <v>0</v>
      </c>
      <c r="BU40" s="40"/>
      <c r="BV40" s="89"/>
      <c r="BW40" s="202"/>
      <c r="BX40" s="149">
        <v>0</v>
      </c>
      <c r="BY40" s="40"/>
      <c r="BZ40" s="89"/>
      <c r="CA40" s="202"/>
    </row>
    <row r="41" spans="1:79" outlineLevel="1">
      <c r="A41" s="6">
        <v>1468</v>
      </c>
      <c r="B41" s="168"/>
      <c r="C41" s="169"/>
      <c r="D41" s="11" t="s">
        <v>402</v>
      </c>
      <c r="E41" s="170">
        <v>0</v>
      </c>
      <c r="F41" s="145" t="s">
        <v>99</v>
      </c>
      <c r="G41" s="16" t="s">
        <v>393</v>
      </c>
      <c r="H41" s="14" t="s">
        <v>402</v>
      </c>
      <c r="I41" s="14" t="s">
        <v>402</v>
      </c>
      <c r="J41" s="15">
        <v>0</v>
      </c>
      <c r="K41" s="16" t="s">
        <v>678</v>
      </c>
      <c r="L41" s="149">
        <v>0</v>
      </c>
      <c r="M41" s="40"/>
      <c r="N41" s="89"/>
      <c r="O41" s="202"/>
      <c r="P41" s="149">
        <v>0</v>
      </c>
      <c r="Q41" s="40"/>
      <c r="R41" s="89"/>
      <c r="S41" s="202"/>
      <c r="T41" s="149">
        <v>0</v>
      </c>
      <c r="U41" s="40"/>
      <c r="V41" s="89"/>
      <c r="W41" s="202"/>
      <c r="X41" s="149">
        <v>0</v>
      </c>
      <c r="Y41" s="40"/>
      <c r="Z41" s="89"/>
      <c r="AA41" s="202"/>
      <c r="AB41" s="149">
        <v>0</v>
      </c>
      <c r="AC41" s="40"/>
      <c r="AD41" s="89"/>
      <c r="AE41" s="202"/>
      <c r="AF41" s="149">
        <v>0</v>
      </c>
      <c r="AG41" s="40"/>
      <c r="AH41" s="89"/>
      <c r="AI41" s="202"/>
      <c r="AJ41" s="149">
        <v>0</v>
      </c>
      <c r="AK41" s="40"/>
      <c r="AL41" s="89"/>
      <c r="AM41" s="202"/>
      <c r="AN41" s="149">
        <v>0</v>
      </c>
      <c r="AO41" s="40"/>
      <c r="AP41" s="89"/>
      <c r="AQ41" s="202"/>
      <c r="AR41" s="149">
        <v>0</v>
      </c>
      <c r="AS41" s="40"/>
      <c r="AT41" s="89"/>
      <c r="AU41" s="202"/>
      <c r="AV41" s="149">
        <v>1</v>
      </c>
      <c r="AW41" s="40"/>
      <c r="AX41" s="89"/>
      <c r="AY41" s="202"/>
      <c r="AZ41" s="149">
        <v>0</v>
      </c>
      <c r="BA41" s="40"/>
      <c r="BB41" s="89"/>
      <c r="BC41" s="202"/>
      <c r="BD41" s="149">
        <v>0</v>
      </c>
      <c r="BE41" s="40"/>
      <c r="BF41" s="89"/>
      <c r="BG41" s="202"/>
      <c r="BH41" s="149">
        <v>0</v>
      </c>
      <c r="BI41" s="40"/>
      <c r="BJ41" s="89"/>
      <c r="BK41" s="202"/>
      <c r="BL41" s="149">
        <v>0</v>
      </c>
      <c r="BM41" s="40"/>
      <c r="BN41" s="89"/>
      <c r="BO41" s="202"/>
      <c r="BP41" s="149">
        <v>0</v>
      </c>
      <c r="BQ41" s="40"/>
      <c r="BR41" s="89"/>
      <c r="BS41" s="202"/>
      <c r="BT41" s="149">
        <v>0</v>
      </c>
      <c r="BU41" s="40"/>
      <c r="BV41" s="89"/>
      <c r="BW41" s="202"/>
      <c r="BX41" s="149">
        <v>0</v>
      </c>
      <c r="BY41" s="40"/>
      <c r="BZ41" s="89"/>
      <c r="CA41" s="202"/>
    </row>
    <row r="42" spans="1:79" outlineLevel="1">
      <c r="A42" s="6">
        <v>32067</v>
      </c>
      <c r="B42" s="168"/>
      <c r="C42" s="169"/>
      <c r="D42" s="11" t="s">
        <v>402</v>
      </c>
      <c r="E42" s="170">
        <v>0</v>
      </c>
      <c r="F42" s="145" t="s">
        <v>100</v>
      </c>
      <c r="G42" s="16" t="s">
        <v>393</v>
      </c>
      <c r="H42" s="14" t="s">
        <v>402</v>
      </c>
      <c r="I42" s="14" t="s">
        <v>402</v>
      </c>
      <c r="J42" s="15">
        <v>0</v>
      </c>
      <c r="K42" s="16" t="s">
        <v>678</v>
      </c>
      <c r="L42" s="149">
        <v>0</v>
      </c>
      <c r="M42" s="40"/>
      <c r="N42" s="89"/>
      <c r="O42" s="202"/>
      <c r="P42" s="149">
        <v>0</v>
      </c>
      <c r="Q42" s="40"/>
      <c r="R42" s="89"/>
      <c r="S42" s="202"/>
      <c r="T42" s="149">
        <v>0</v>
      </c>
      <c r="U42" s="40"/>
      <c r="V42" s="89"/>
      <c r="W42" s="202"/>
      <c r="X42" s="149">
        <v>0</v>
      </c>
      <c r="Y42" s="40"/>
      <c r="Z42" s="89"/>
      <c r="AA42" s="202"/>
      <c r="AB42" s="149">
        <v>0</v>
      </c>
      <c r="AC42" s="40"/>
      <c r="AD42" s="89"/>
      <c r="AE42" s="202"/>
      <c r="AF42" s="149">
        <v>0</v>
      </c>
      <c r="AG42" s="40"/>
      <c r="AH42" s="89"/>
      <c r="AI42" s="202"/>
      <c r="AJ42" s="149">
        <v>0</v>
      </c>
      <c r="AK42" s="40"/>
      <c r="AL42" s="89"/>
      <c r="AM42" s="202"/>
      <c r="AN42" s="149">
        <v>0</v>
      </c>
      <c r="AO42" s="40"/>
      <c r="AP42" s="89"/>
      <c r="AQ42" s="202"/>
      <c r="AR42" s="149">
        <v>0</v>
      </c>
      <c r="AS42" s="40"/>
      <c r="AT42" s="89"/>
      <c r="AU42" s="202"/>
      <c r="AV42" s="149">
        <v>0</v>
      </c>
      <c r="AW42" s="40"/>
      <c r="AX42" s="89"/>
      <c r="AY42" s="202"/>
      <c r="AZ42" s="149">
        <v>1</v>
      </c>
      <c r="BA42" s="40"/>
      <c r="BB42" s="89"/>
      <c r="BC42" s="202"/>
      <c r="BD42" s="149">
        <v>0</v>
      </c>
      <c r="BE42" s="40"/>
      <c r="BF42" s="89"/>
      <c r="BG42" s="202"/>
      <c r="BH42" s="149">
        <v>0</v>
      </c>
      <c r="BI42" s="40"/>
      <c r="BJ42" s="89"/>
      <c r="BK42" s="202"/>
      <c r="BL42" s="149">
        <v>0</v>
      </c>
      <c r="BM42" s="40"/>
      <c r="BN42" s="89"/>
      <c r="BO42" s="202"/>
      <c r="BP42" s="149">
        <v>0</v>
      </c>
      <c r="BQ42" s="40"/>
      <c r="BR42" s="89"/>
      <c r="BS42" s="202"/>
      <c r="BT42" s="149">
        <v>0</v>
      </c>
      <c r="BU42" s="40"/>
      <c r="BV42" s="89"/>
      <c r="BW42" s="202"/>
      <c r="BX42" s="149">
        <v>0</v>
      </c>
      <c r="BY42" s="40"/>
      <c r="BZ42" s="89"/>
      <c r="CA42" s="202"/>
    </row>
    <row r="43" spans="1:79" outlineLevel="1">
      <c r="A43" s="6">
        <v>32125</v>
      </c>
      <c r="B43" s="168"/>
      <c r="C43" s="169"/>
      <c r="D43" s="11" t="s">
        <v>402</v>
      </c>
      <c r="E43" s="170">
        <v>0</v>
      </c>
      <c r="F43" s="145" t="s">
        <v>101</v>
      </c>
      <c r="G43" s="16" t="s">
        <v>393</v>
      </c>
      <c r="H43" s="14" t="s">
        <v>402</v>
      </c>
      <c r="I43" s="14" t="s">
        <v>402</v>
      </c>
      <c r="J43" s="15">
        <v>0</v>
      </c>
      <c r="K43" s="16" t="s">
        <v>678</v>
      </c>
      <c r="L43" s="149">
        <v>0</v>
      </c>
      <c r="M43" s="40"/>
      <c r="N43" s="89"/>
      <c r="O43" s="202"/>
      <c r="P43" s="149">
        <v>0</v>
      </c>
      <c r="Q43" s="40"/>
      <c r="R43" s="89"/>
      <c r="S43" s="202"/>
      <c r="T43" s="149">
        <v>0</v>
      </c>
      <c r="U43" s="40"/>
      <c r="V43" s="89"/>
      <c r="W43" s="202"/>
      <c r="X43" s="149">
        <v>0</v>
      </c>
      <c r="Y43" s="40"/>
      <c r="Z43" s="89"/>
      <c r="AA43" s="202"/>
      <c r="AB43" s="149">
        <v>0</v>
      </c>
      <c r="AC43" s="40"/>
      <c r="AD43" s="89"/>
      <c r="AE43" s="202"/>
      <c r="AF43" s="149">
        <v>0</v>
      </c>
      <c r="AG43" s="40"/>
      <c r="AH43" s="89"/>
      <c r="AI43" s="202"/>
      <c r="AJ43" s="149">
        <v>0</v>
      </c>
      <c r="AK43" s="40"/>
      <c r="AL43" s="89"/>
      <c r="AM43" s="202"/>
      <c r="AN43" s="149">
        <v>0</v>
      </c>
      <c r="AO43" s="40"/>
      <c r="AP43" s="89"/>
      <c r="AQ43" s="202"/>
      <c r="AR43" s="149">
        <v>0</v>
      </c>
      <c r="AS43" s="40"/>
      <c r="AT43" s="89"/>
      <c r="AU43" s="202"/>
      <c r="AV43" s="149">
        <v>0</v>
      </c>
      <c r="AW43" s="40"/>
      <c r="AX43" s="89"/>
      <c r="AY43" s="202"/>
      <c r="AZ43" s="149">
        <v>0</v>
      </c>
      <c r="BA43" s="40"/>
      <c r="BB43" s="89"/>
      <c r="BC43" s="202"/>
      <c r="BD43" s="149">
        <v>1</v>
      </c>
      <c r="BE43" s="40"/>
      <c r="BF43" s="89"/>
      <c r="BG43" s="202"/>
      <c r="BH43" s="149">
        <v>0</v>
      </c>
      <c r="BI43" s="40"/>
      <c r="BJ43" s="89"/>
      <c r="BK43" s="202"/>
      <c r="BL43" s="149">
        <v>0</v>
      </c>
      <c r="BM43" s="40"/>
      <c r="BN43" s="89"/>
      <c r="BO43" s="202"/>
      <c r="BP43" s="149">
        <v>0</v>
      </c>
      <c r="BQ43" s="40"/>
      <c r="BR43" s="89"/>
      <c r="BS43" s="202"/>
      <c r="BT43" s="149">
        <v>0</v>
      </c>
      <c r="BU43" s="40"/>
      <c r="BV43" s="89"/>
      <c r="BW43" s="202"/>
      <c r="BX43" s="149">
        <v>0</v>
      </c>
      <c r="BY43" s="40"/>
      <c r="BZ43" s="89"/>
      <c r="CA43" s="202"/>
    </row>
    <row r="44" spans="1:79" outlineLevel="1">
      <c r="A44" s="417">
        <v>32077</v>
      </c>
      <c r="B44" s="168"/>
      <c r="C44" s="169"/>
      <c r="D44" s="11" t="s">
        <v>402</v>
      </c>
      <c r="E44" s="170">
        <v>0</v>
      </c>
      <c r="F44" s="145" t="s">
        <v>102</v>
      </c>
      <c r="G44" s="16" t="s">
        <v>393</v>
      </c>
      <c r="H44" s="14" t="s">
        <v>402</v>
      </c>
      <c r="I44" s="14" t="s">
        <v>402</v>
      </c>
      <c r="J44" s="15">
        <v>0</v>
      </c>
      <c r="K44" s="16" t="s">
        <v>678</v>
      </c>
      <c r="L44" s="149">
        <v>0</v>
      </c>
      <c r="M44" s="40"/>
      <c r="N44" s="89"/>
      <c r="O44" s="202"/>
      <c r="P44" s="149">
        <v>0</v>
      </c>
      <c r="Q44" s="40"/>
      <c r="R44" s="89"/>
      <c r="S44" s="202"/>
      <c r="T44" s="149">
        <v>0</v>
      </c>
      <c r="U44" s="40"/>
      <c r="V44" s="89"/>
      <c r="W44" s="202"/>
      <c r="X44" s="149">
        <v>0</v>
      </c>
      <c r="Y44" s="40"/>
      <c r="Z44" s="89"/>
      <c r="AA44" s="202"/>
      <c r="AB44" s="149">
        <v>0</v>
      </c>
      <c r="AC44" s="40"/>
      <c r="AD44" s="89"/>
      <c r="AE44" s="202"/>
      <c r="AF44" s="149">
        <v>0</v>
      </c>
      <c r="AG44" s="40"/>
      <c r="AH44" s="89"/>
      <c r="AI44" s="202"/>
      <c r="AJ44" s="149">
        <v>0</v>
      </c>
      <c r="AK44" s="40"/>
      <c r="AL44" s="89"/>
      <c r="AM44" s="202"/>
      <c r="AN44" s="149">
        <v>0</v>
      </c>
      <c r="AO44" s="40"/>
      <c r="AP44" s="89"/>
      <c r="AQ44" s="202"/>
      <c r="AR44" s="149">
        <v>0</v>
      </c>
      <c r="AS44" s="40"/>
      <c r="AT44" s="89"/>
      <c r="AU44" s="202"/>
      <c r="AV44" s="149">
        <v>0</v>
      </c>
      <c r="AW44" s="40"/>
      <c r="AX44" s="89"/>
      <c r="AY44" s="202"/>
      <c r="AZ44" s="149">
        <v>0</v>
      </c>
      <c r="BA44" s="40"/>
      <c r="BB44" s="89"/>
      <c r="BC44" s="202"/>
      <c r="BD44" s="149">
        <v>0</v>
      </c>
      <c r="BE44" s="40"/>
      <c r="BF44" s="89"/>
      <c r="BG44" s="202"/>
      <c r="BH44" s="149">
        <v>1</v>
      </c>
      <c r="BI44" s="40"/>
      <c r="BJ44" s="89"/>
      <c r="BK44" s="202"/>
      <c r="BL44" s="149">
        <v>0</v>
      </c>
      <c r="BM44" s="40"/>
      <c r="BN44" s="89"/>
      <c r="BO44" s="202"/>
      <c r="BP44" s="149">
        <v>0</v>
      </c>
      <c r="BQ44" s="40"/>
      <c r="BR44" s="89"/>
      <c r="BS44" s="202"/>
      <c r="BT44" s="149">
        <v>0</v>
      </c>
      <c r="BU44" s="40"/>
      <c r="BV44" s="89"/>
      <c r="BW44" s="202"/>
      <c r="BX44" s="149">
        <v>0</v>
      </c>
      <c r="BY44" s="40"/>
      <c r="BZ44" s="89"/>
      <c r="CA44" s="202"/>
    </row>
    <row r="45" spans="1:79" outlineLevel="1">
      <c r="A45" s="6">
        <v>32081</v>
      </c>
      <c r="B45" s="168"/>
      <c r="C45" s="169"/>
      <c r="D45" s="11" t="s">
        <v>402</v>
      </c>
      <c r="E45" s="170">
        <v>0</v>
      </c>
      <c r="F45" s="145" t="s">
        <v>103</v>
      </c>
      <c r="G45" s="16" t="s">
        <v>393</v>
      </c>
      <c r="H45" s="14" t="s">
        <v>402</v>
      </c>
      <c r="I45" s="14" t="s">
        <v>402</v>
      </c>
      <c r="J45" s="15">
        <v>0</v>
      </c>
      <c r="K45" s="16" t="s">
        <v>678</v>
      </c>
      <c r="L45" s="149">
        <v>0</v>
      </c>
      <c r="M45" s="40"/>
      <c r="N45" s="89"/>
      <c r="O45" s="202"/>
      <c r="P45" s="149">
        <v>0</v>
      </c>
      <c r="Q45" s="40"/>
      <c r="R45" s="89"/>
      <c r="S45" s="202"/>
      <c r="T45" s="149">
        <v>0</v>
      </c>
      <c r="U45" s="40"/>
      <c r="V45" s="89"/>
      <c r="W45" s="202"/>
      <c r="X45" s="149">
        <v>0</v>
      </c>
      <c r="Y45" s="40"/>
      <c r="Z45" s="89"/>
      <c r="AA45" s="202"/>
      <c r="AB45" s="149">
        <v>0</v>
      </c>
      <c r="AC45" s="40"/>
      <c r="AD45" s="89"/>
      <c r="AE45" s="202"/>
      <c r="AF45" s="149">
        <v>0</v>
      </c>
      <c r="AG45" s="40"/>
      <c r="AH45" s="89"/>
      <c r="AI45" s="202"/>
      <c r="AJ45" s="149">
        <v>0</v>
      </c>
      <c r="AK45" s="40"/>
      <c r="AL45" s="89"/>
      <c r="AM45" s="202"/>
      <c r="AN45" s="149">
        <v>0</v>
      </c>
      <c r="AO45" s="40"/>
      <c r="AP45" s="89"/>
      <c r="AQ45" s="202"/>
      <c r="AR45" s="149">
        <v>0</v>
      </c>
      <c r="AS45" s="40"/>
      <c r="AT45" s="89"/>
      <c r="AU45" s="202"/>
      <c r="AV45" s="149">
        <v>0</v>
      </c>
      <c r="AW45" s="40"/>
      <c r="AX45" s="89"/>
      <c r="AY45" s="202"/>
      <c r="AZ45" s="149">
        <v>0</v>
      </c>
      <c r="BA45" s="40"/>
      <c r="BB45" s="89"/>
      <c r="BC45" s="202"/>
      <c r="BD45" s="149">
        <v>0</v>
      </c>
      <c r="BE45" s="40"/>
      <c r="BF45" s="89"/>
      <c r="BG45" s="202"/>
      <c r="BH45" s="149">
        <v>0</v>
      </c>
      <c r="BI45" s="40"/>
      <c r="BJ45" s="89"/>
      <c r="BK45" s="202"/>
      <c r="BL45" s="149">
        <v>1</v>
      </c>
      <c r="BM45" s="40"/>
      <c r="BN45" s="89"/>
      <c r="BO45" s="202"/>
      <c r="BP45" s="149">
        <v>0</v>
      </c>
      <c r="BQ45" s="40"/>
      <c r="BR45" s="89"/>
      <c r="BS45" s="202"/>
      <c r="BT45" s="149">
        <v>0</v>
      </c>
      <c r="BU45" s="40"/>
      <c r="BV45" s="89"/>
      <c r="BW45" s="202"/>
      <c r="BX45" s="149">
        <v>0</v>
      </c>
      <c r="BY45" s="40"/>
      <c r="BZ45" s="89"/>
      <c r="CA45" s="202"/>
    </row>
    <row r="46" spans="1:79" outlineLevel="1">
      <c r="A46" s="6">
        <v>32133</v>
      </c>
      <c r="B46" s="168"/>
      <c r="C46" s="169"/>
      <c r="D46" s="11" t="s">
        <v>402</v>
      </c>
      <c r="E46" s="170">
        <v>0</v>
      </c>
      <c r="F46" s="145" t="s">
        <v>104</v>
      </c>
      <c r="G46" s="16" t="s">
        <v>393</v>
      </c>
      <c r="H46" s="14" t="s">
        <v>402</v>
      </c>
      <c r="I46" s="14" t="s">
        <v>402</v>
      </c>
      <c r="J46" s="15">
        <v>0</v>
      </c>
      <c r="K46" s="16" t="s">
        <v>678</v>
      </c>
      <c r="L46" s="149">
        <v>0</v>
      </c>
      <c r="M46" s="40"/>
      <c r="N46" s="89"/>
      <c r="O46" s="202"/>
      <c r="P46" s="149">
        <v>0</v>
      </c>
      <c r="Q46" s="40"/>
      <c r="R46" s="89"/>
      <c r="S46" s="202"/>
      <c r="T46" s="149">
        <v>0</v>
      </c>
      <c r="U46" s="40"/>
      <c r="V46" s="89"/>
      <c r="W46" s="202"/>
      <c r="X46" s="149">
        <v>0</v>
      </c>
      <c r="Y46" s="40"/>
      <c r="Z46" s="89"/>
      <c r="AA46" s="202"/>
      <c r="AB46" s="149">
        <v>0</v>
      </c>
      <c r="AC46" s="40"/>
      <c r="AD46" s="89"/>
      <c r="AE46" s="202"/>
      <c r="AF46" s="149">
        <v>0</v>
      </c>
      <c r="AG46" s="40"/>
      <c r="AH46" s="89"/>
      <c r="AI46" s="202"/>
      <c r="AJ46" s="149">
        <v>0</v>
      </c>
      <c r="AK46" s="40"/>
      <c r="AL46" s="89"/>
      <c r="AM46" s="202"/>
      <c r="AN46" s="149">
        <v>0</v>
      </c>
      <c r="AO46" s="40"/>
      <c r="AP46" s="89"/>
      <c r="AQ46" s="202"/>
      <c r="AR46" s="149">
        <v>0</v>
      </c>
      <c r="AS46" s="40"/>
      <c r="AT46" s="89"/>
      <c r="AU46" s="202"/>
      <c r="AV46" s="149">
        <v>0</v>
      </c>
      <c r="AW46" s="40"/>
      <c r="AX46" s="89"/>
      <c r="AY46" s="202"/>
      <c r="AZ46" s="149">
        <v>0</v>
      </c>
      <c r="BA46" s="40"/>
      <c r="BB46" s="89"/>
      <c r="BC46" s="202"/>
      <c r="BD46" s="149">
        <v>0</v>
      </c>
      <c r="BE46" s="40"/>
      <c r="BF46" s="89"/>
      <c r="BG46" s="202"/>
      <c r="BH46" s="149">
        <v>0</v>
      </c>
      <c r="BI46" s="40"/>
      <c r="BJ46" s="89"/>
      <c r="BK46" s="202"/>
      <c r="BL46" s="149">
        <v>0</v>
      </c>
      <c r="BM46" s="40"/>
      <c r="BN46" s="89"/>
      <c r="BO46" s="202"/>
      <c r="BP46" s="149">
        <v>1</v>
      </c>
      <c r="BQ46" s="40"/>
      <c r="BR46" s="89"/>
      <c r="BS46" s="202"/>
      <c r="BT46" s="149">
        <v>0</v>
      </c>
      <c r="BU46" s="40"/>
      <c r="BV46" s="89"/>
      <c r="BW46" s="202"/>
      <c r="BX46" s="149">
        <v>0</v>
      </c>
      <c r="BY46" s="40"/>
      <c r="BZ46" s="89"/>
      <c r="CA46" s="202"/>
    </row>
    <row r="47" spans="1:79" outlineLevel="1">
      <c r="A47" s="6">
        <v>32132</v>
      </c>
      <c r="B47" s="168"/>
      <c r="C47" s="169"/>
      <c r="D47" s="11" t="s">
        <v>402</v>
      </c>
      <c r="E47" s="170">
        <v>0</v>
      </c>
      <c r="F47" s="145" t="s">
        <v>105</v>
      </c>
      <c r="G47" s="16" t="s">
        <v>393</v>
      </c>
      <c r="H47" s="14" t="s">
        <v>402</v>
      </c>
      <c r="I47" s="14" t="s">
        <v>402</v>
      </c>
      <c r="J47" s="15">
        <v>0</v>
      </c>
      <c r="K47" s="16" t="s">
        <v>678</v>
      </c>
      <c r="L47" s="149">
        <v>0</v>
      </c>
      <c r="M47" s="40"/>
      <c r="N47" s="89"/>
      <c r="O47" s="202"/>
      <c r="P47" s="149">
        <v>0</v>
      </c>
      <c r="Q47" s="40"/>
      <c r="R47" s="89"/>
      <c r="S47" s="202"/>
      <c r="T47" s="149">
        <v>0</v>
      </c>
      <c r="U47" s="40"/>
      <c r="V47" s="89"/>
      <c r="W47" s="202"/>
      <c r="X47" s="149">
        <v>0</v>
      </c>
      <c r="Y47" s="40"/>
      <c r="Z47" s="89"/>
      <c r="AA47" s="202"/>
      <c r="AB47" s="149">
        <v>0</v>
      </c>
      <c r="AC47" s="40"/>
      <c r="AD47" s="89"/>
      <c r="AE47" s="202"/>
      <c r="AF47" s="149">
        <v>0</v>
      </c>
      <c r="AG47" s="40"/>
      <c r="AH47" s="89"/>
      <c r="AI47" s="202"/>
      <c r="AJ47" s="149">
        <v>0</v>
      </c>
      <c r="AK47" s="40"/>
      <c r="AL47" s="89"/>
      <c r="AM47" s="202"/>
      <c r="AN47" s="149">
        <v>0</v>
      </c>
      <c r="AO47" s="40"/>
      <c r="AP47" s="89"/>
      <c r="AQ47" s="202"/>
      <c r="AR47" s="149">
        <v>0</v>
      </c>
      <c r="AS47" s="40"/>
      <c r="AT47" s="89"/>
      <c r="AU47" s="202"/>
      <c r="AV47" s="149">
        <v>0</v>
      </c>
      <c r="AW47" s="40"/>
      <c r="AX47" s="89"/>
      <c r="AY47" s="202"/>
      <c r="AZ47" s="149">
        <v>0</v>
      </c>
      <c r="BA47" s="40"/>
      <c r="BB47" s="89"/>
      <c r="BC47" s="202"/>
      <c r="BD47" s="149">
        <v>0</v>
      </c>
      <c r="BE47" s="40"/>
      <c r="BF47" s="89"/>
      <c r="BG47" s="202"/>
      <c r="BH47" s="149">
        <v>0</v>
      </c>
      <c r="BI47" s="40"/>
      <c r="BJ47" s="89"/>
      <c r="BK47" s="202"/>
      <c r="BL47" s="149">
        <v>0</v>
      </c>
      <c r="BM47" s="40"/>
      <c r="BN47" s="89"/>
      <c r="BO47" s="202"/>
      <c r="BP47" s="149">
        <v>0</v>
      </c>
      <c r="BQ47" s="40"/>
      <c r="BR47" s="89"/>
      <c r="BS47" s="202"/>
      <c r="BT47" s="149">
        <v>1</v>
      </c>
      <c r="BU47" s="40"/>
      <c r="BV47" s="89"/>
      <c r="BW47" s="202"/>
      <c r="BX47" s="149">
        <v>0</v>
      </c>
      <c r="BY47" s="40"/>
      <c r="BZ47" s="89"/>
      <c r="CA47" s="202"/>
    </row>
    <row r="48" spans="1:79" outlineLevel="1">
      <c r="A48" s="6">
        <v>4853</v>
      </c>
      <c r="B48" s="168"/>
      <c r="C48" s="169"/>
      <c r="D48" s="11" t="s">
        <v>402</v>
      </c>
      <c r="E48" s="170">
        <v>0</v>
      </c>
      <c r="F48" s="145" t="s">
        <v>106</v>
      </c>
      <c r="G48" s="16" t="s">
        <v>393</v>
      </c>
      <c r="H48" s="14" t="s">
        <v>402</v>
      </c>
      <c r="I48" s="14" t="s">
        <v>402</v>
      </c>
      <c r="J48" s="15">
        <v>0</v>
      </c>
      <c r="K48" s="16" t="s">
        <v>678</v>
      </c>
      <c r="L48" s="149">
        <v>0</v>
      </c>
      <c r="M48" s="40"/>
      <c r="N48" s="89"/>
      <c r="O48" s="202"/>
      <c r="P48" s="149">
        <v>0</v>
      </c>
      <c r="Q48" s="40"/>
      <c r="R48" s="89"/>
      <c r="S48" s="202"/>
      <c r="T48" s="149">
        <v>0</v>
      </c>
      <c r="U48" s="40"/>
      <c r="V48" s="89"/>
      <c r="W48" s="202"/>
      <c r="X48" s="149">
        <v>0</v>
      </c>
      <c r="Y48" s="40"/>
      <c r="Z48" s="89"/>
      <c r="AA48" s="202"/>
      <c r="AB48" s="149">
        <v>0</v>
      </c>
      <c r="AC48" s="40"/>
      <c r="AD48" s="89"/>
      <c r="AE48" s="202"/>
      <c r="AF48" s="149">
        <v>0</v>
      </c>
      <c r="AG48" s="40"/>
      <c r="AH48" s="89"/>
      <c r="AI48" s="202"/>
      <c r="AJ48" s="149">
        <v>0</v>
      </c>
      <c r="AK48" s="40"/>
      <c r="AL48" s="89"/>
      <c r="AM48" s="202"/>
      <c r="AN48" s="149">
        <v>0</v>
      </c>
      <c r="AO48" s="40"/>
      <c r="AP48" s="89"/>
      <c r="AQ48" s="202"/>
      <c r="AR48" s="149">
        <v>0</v>
      </c>
      <c r="AS48" s="40"/>
      <c r="AT48" s="89"/>
      <c r="AU48" s="202"/>
      <c r="AV48" s="149">
        <v>0</v>
      </c>
      <c r="AW48" s="40"/>
      <c r="AX48" s="89"/>
      <c r="AY48" s="202"/>
      <c r="AZ48" s="149">
        <v>0</v>
      </c>
      <c r="BA48" s="40"/>
      <c r="BB48" s="89"/>
      <c r="BC48" s="202"/>
      <c r="BD48" s="149">
        <v>0</v>
      </c>
      <c r="BE48" s="40"/>
      <c r="BF48" s="89"/>
      <c r="BG48" s="202"/>
      <c r="BH48" s="149">
        <v>0</v>
      </c>
      <c r="BI48" s="40"/>
      <c r="BJ48" s="89"/>
      <c r="BK48" s="202"/>
      <c r="BL48" s="149">
        <v>0</v>
      </c>
      <c r="BM48" s="40"/>
      <c r="BN48" s="89"/>
      <c r="BO48" s="202"/>
      <c r="BP48" s="149">
        <v>0</v>
      </c>
      <c r="BQ48" s="40"/>
      <c r="BR48" s="89"/>
      <c r="BS48" s="202"/>
      <c r="BT48" s="149">
        <v>0</v>
      </c>
      <c r="BU48" s="40"/>
      <c r="BV48" s="89"/>
      <c r="BW48" s="202"/>
      <c r="BX48" s="149">
        <v>1</v>
      </c>
      <c r="BY48" s="40"/>
      <c r="BZ48" s="89"/>
      <c r="CA48" s="202"/>
    </row>
  </sheetData>
  <conditionalFormatting sqref="B31">
    <cfRule type="cellIs" dxfId="133" priority="3" stopIfTrue="1" operator="notEqual">
      <formula>""</formula>
    </cfRule>
  </conditionalFormatting>
  <dataValidations disablePrompts="1" count="3">
    <dataValidation allowBlank="1" showInputMessage="1" showErrorMessage="1" promptTitle="Uncertainty Type" prompt="Defines the kind of uncertainty distribution applied on one particular exchange. _x000a__x000a_0 = undefined_x000a_1 = LOGNORMAL (default)_x000a_2 = normal_x000a_3 = triang_x000a_4 = uniform_x000a_" sqref="BU2:BU6 BM2:BM6 BQ2:BQ6 M2:M6 Q2:Q6 U2:U6 Y2:Y6 AC2:AC6 AG2:AG6 AK2:AK6 AO2:AO6 AS2:AS6 AW2:AW6 BA2:BA6 BE2:BE6 BI2:BI6 BY2:BY6"/>
    <dataValidation allowBlank="1" showInputMessage="1" showErrorMessage="1" promptTitle="StandardDeviation" prompt="Do only change when you calculated the Standard Deviation (SD) of the data (square SD for lognormal Distribution, 2*SD for normal Distribution - see column M). _x000a__x000a_Otherwise leave the formula to have it calculated from the Pedigree-Matrix (column Q  to V)." sqref="BV2:BV6 BN2:BN6 BR2:BR6 N2:N6 R2:R6 V2:V6 Z2:Z6 AD2:AD6 AH2:AH6 AL2:AL6 AP2:AP6 AT2:AT6 AX2:AX6 BB2:BB6 BF2:BF6 BJ2:BJ6 BZ2:BZ6"/>
    <dataValidation allowBlank="1" showInputMessage="1" showErrorMessage="1" promptTitle="GeneralComment" prompt="Do not change, if you use Pedigree Matrix. The comment is generated from the remarks field (enter remarks there) and the Pedigree numbers._x000a__x000a_If you calculated the SD from the data (i.e. without Pedigree Matrix), set a direct reference to the remarks. _x000a__x000a_" sqref="BW1:BW6 BO1:BO6 BS1:BS6 O1:O6 S1:S6 W1:W6 AA1:AA6 AE1:AE6 AI1:AI6 AM1:AM6 AQ1:AQ6 AU1:AU6 AY1:AY6 BC1:BC6 BG1:BG6 BK1:BK6 CA1:CA6"/>
  </dataValidations>
  <pageMargins left="0.78740157499999996" right="0.78740157499999996" top="0.984251969" bottom="0.984251969" header="0.4921259845" footer="0.4921259845"/>
  <pageSetup paperSize="9" scale="23"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6">
    <pageSetUpPr fitToPage="1"/>
  </sheetPr>
  <dimension ref="A1:CK53"/>
  <sheetViews>
    <sheetView topLeftCell="B1" zoomScale="75" workbookViewId="0">
      <selection activeCell="J46" sqref="J46"/>
    </sheetView>
  </sheetViews>
  <sheetFormatPr defaultColWidth="11.42578125" defaultRowHeight="12" outlineLevelRow="1" outlineLevelCol="1"/>
  <cols>
    <col min="1" max="1" width="7" style="7" customWidth="1"/>
    <col min="2" max="2" width="14.140625" style="158" customWidth="1"/>
    <col min="3" max="3" width="4.7109375" style="159" hidden="1" customWidth="1" outlineLevel="1"/>
    <col min="4" max="4" width="3.140625" style="7" hidden="1" customWidth="1" outlineLevel="1"/>
    <col min="5" max="5" width="2.7109375" style="7" hidden="1" customWidth="1" outlineLevel="1"/>
    <col min="6" max="6" width="45.140625" style="8" customWidth="1" collapsed="1"/>
    <col min="7" max="7" width="7.28515625" style="7" customWidth="1"/>
    <col min="8" max="8" width="5.7109375" style="7" hidden="1" customWidth="1" outlineLevel="1"/>
    <col min="9" max="9" width="3.42578125" style="7" hidden="1" customWidth="1" outlineLevel="1"/>
    <col min="10" max="10" width="2.42578125" style="7" customWidth="1" collapsed="1"/>
    <col min="11" max="11" width="4.5703125" style="7" customWidth="1"/>
    <col min="12" max="12" width="9.5703125" style="7" customWidth="1"/>
    <col min="13" max="13" width="4.28515625" style="140" hidden="1" customWidth="1" outlineLevel="1"/>
    <col min="14" max="14" width="6.85546875" style="140" hidden="1" customWidth="1" outlineLevel="1"/>
    <col min="15" max="15" width="31.140625" style="140" hidden="1" customWidth="1" outlineLevel="1"/>
    <col min="16" max="16" width="8" style="7" customWidth="1" collapsed="1"/>
    <col min="17" max="17" width="4.28515625" style="140" hidden="1" customWidth="1" outlineLevel="1"/>
    <col min="18" max="18" width="6.85546875" style="140" hidden="1" customWidth="1" outlineLevel="1"/>
    <col min="19" max="19" width="31.140625" style="140" hidden="1" customWidth="1" outlineLevel="1"/>
    <col min="20" max="20" width="9.7109375" style="7" customWidth="1" collapsed="1"/>
    <col min="21" max="21" width="4.28515625" style="140" hidden="1" customWidth="1" outlineLevel="1"/>
    <col min="22" max="22" width="6.85546875" style="140" hidden="1" customWidth="1" outlineLevel="1"/>
    <col min="23" max="23" width="31.140625" style="140" hidden="1" customWidth="1" outlineLevel="1"/>
    <col min="24" max="24" width="10" style="7" customWidth="1" collapsed="1"/>
    <col min="25" max="25" width="4.28515625" style="140" hidden="1" customWidth="1" outlineLevel="1"/>
    <col min="26" max="26" width="6.85546875" style="140" hidden="1" customWidth="1" outlineLevel="1"/>
    <col min="27" max="27" width="31.140625" style="140" hidden="1" customWidth="1" outlineLevel="1"/>
    <col min="28" max="28" width="10.42578125" style="7" customWidth="1" collapsed="1"/>
    <col min="29" max="29" width="4.28515625" style="140" hidden="1" customWidth="1" outlineLevel="1"/>
    <col min="30" max="30" width="6.85546875" style="140" hidden="1" customWidth="1" outlineLevel="1"/>
    <col min="31" max="31" width="31.140625" style="140" hidden="1" customWidth="1" outlineLevel="1"/>
    <col min="32" max="32" width="10.28515625" style="7" customWidth="1" collapsed="1"/>
    <col min="33" max="33" width="4.28515625" style="140" hidden="1" customWidth="1" outlineLevel="1"/>
    <col min="34" max="34" width="6.85546875" style="140" hidden="1" customWidth="1" outlineLevel="1"/>
    <col min="35" max="35" width="31.140625" style="140" hidden="1" customWidth="1" outlineLevel="1"/>
    <col min="36" max="36" width="11.28515625" style="7" customWidth="1" collapsed="1"/>
    <col min="37" max="37" width="4.28515625" style="140" hidden="1" customWidth="1" outlineLevel="1"/>
    <col min="38" max="38" width="6.85546875" style="140" hidden="1" customWidth="1" outlineLevel="1"/>
    <col min="39" max="39" width="31.140625" style="140" hidden="1" customWidth="1" outlineLevel="1"/>
    <col min="40" max="40" width="10.140625" style="7" customWidth="1" collapsed="1"/>
    <col min="41" max="41" width="4.28515625" style="140" hidden="1" customWidth="1" outlineLevel="1"/>
    <col min="42" max="42" width="6.85546875" style="140" hidden="1" customWidth="1" outlineLevel="1"/>
    <col min="43" max="43" width="31.140625" style="140" hidden="1" customWidth="1" outlineLevel="1"/>
    <col min="44" max="44" width="10.28515625" style="7" customWidth="1" collapsed="1"/>
    <col min="45" max="45" width="4.28515625" style="140" hidden="1" customWidth="1" outlineLevel="1"/>
    <col min="46" max="46" width="6.85546875" style="140" hidden="1" customWidth="1" outlineLevel="1"/>
    <col min="47" max="47" width="31.140625" style="140" hidden="1" customWidth="1" outlineLevel="1"/>
    <col min="48" max="48" width="11.85546875" style="7" customWidth="1" collapsed="1"/>
    <col min="49" max="49" width="4.28515625" style="140" hidden="1" customWidth="1" outlineLevel="1"/>
    <col min="50" max="50" width="6.85546875" style="140" hidden="1" customWidth="1" outlineLevel="1"/>
    <col min="51" max="51" width="31.140625" style="140" hidden="1" customWidth="1" outlineLevel="1"/>
    <col min="52" max="52" width="10.28515625" style="7" customWidth="1" collapsed="1"/>
    <col min="53" max="53" width="4.28515625" style="140" hidden="1" customWidth="1" outlineLevel="1"/>
    <col min="54" max="54" width="6.85546875" style="140" hidden="1" customWidth="1" outlineLevel="1"/>
    <col min="55" max="55" width="31.140625" style="140" hidden="1" customWidth="1" outlineLevel="1"/>
    <col min="56" max="56" width="13.140625" style="7" customWidth="1" collapsed="1"/>
    <col min="57" max="57" width="4.28515625" style="140" hidden="1" customWidth="1" outlineLevel="1"/>
    <col min="58" max="58" width="6.85546875" style="140" hidden="1" customWidth="1" outlineLevel="1"/>
    <col min="59" max="59" width="31.140625" style="140" hidden="1" customWidth="1" outlineLevel="1"/>
    <col min="60" max="60" width="10.85546875" style="7" customWidth="1" collapsed="1"/>
    <col min="61" max="61" width="4.28515625" style="140" hidden="1" customWidth="1" outlineLevel="1"/>
    <col min="62" max="62" width="6.85546875" style="140" hidden="1" customWidth="1" outlineLevel="1"/>
    <col min="63" max="63" width="31.140625" style="140" hidden="1" customWidth="1" outlineLevel="1"/>
    <col min="64" max="64" width="9.140625" style="7" customWidth="1" collapsed="1"/>
    <col min="65" max="65" width="4.28515625" style="140" hidden="1" customWidth="1" outlineLevel="1"/>
    <col min="66" max="66" width="6.85546875" style="140" hidden="1" customWidth="1" outlineLevel="1"/>
    <col min="67" max="67" width="31.140625" style="140" hidden="1" customWidth="1" outlineLevel="1"/>
    <col min="68" max="68" width="9.140625" style="7" customWidth="1" collapsed="1"/>
    <col min="69" max="69" width="4.28515625" style="140" hidden="1" customWidth="1" outlineLevel="1"/>
    <col min="70" max="70" width="6.85546875" style="140" hidden="1" customWidth="1" outlineLevel="1"/>
    <col min="71" max="71" width="31.140625" style="140" hidden="1" customWidth="1" outlineLevel="1"/>
    <col min="72" max="72" width="9.140625" style="7" customWidth="1" collapsed="1"/>
    <col min="73" max="73" width="4.28515625" style="140" hidden="1" customWidth="1" outlineLevel="1"/>
    <col min="74" max="74" width="6.85546875" style="140" hidden="1" customWidth="1" outlineLevel="1"/>
    <col min="75" max="75" width="31.140625" style="140" hidden="1" customWidth="1" outlineLevel="1"/>
    <col min="76" max="76" width="9.140625" style="7" customWidth="1" collapsed="1"/>
    <col min="77" max="77" width="4.28515625" style="140" hidden="1" customWidth="1" outlineLevel="1"/>
    <col min="78" max="78" width="6.85546875" style="140" hidden="1" customWidth="1" outlineLevel="1"/>
    <col min="79" max="79" width="31.140625" style="140" hidden="1" customWidth="1" outlineLevel="1"/>
    <col min="80" max="80" width="9.140625" style="7" customWidth="1" collapsed="1"/>
    <col min="81" max="81" width="4.28515625" style="140" hidden="1" customWidth="1" outlineLevel="1"/>
    <col min="82" max="82" width="6.85546875" style="140" hidden="1" customWidth="1" outlineLevel="1"/>
    <col min="83" max="83" width="31.140625" style="140" hidden="1" customWidth="1" outlineLevel="1"/>
    <col min="84" max="84" width="9.140625" style="7" customWidth="1" collapsed="1"/>
    <col min="85" max="85" width="4.28515625" style="140" customWidth="1" outlineLevel="1"/>
    <col min="86" max="86" width="6.85546875" style="140" customWidth="1" outlineLevel="1"/>
    <col min="87" max="87" width="53.5703125" style="33" customWidth="1" outlineLevel="1"/>
    <col min="88" max="88" width="3.28515625" style="33" customWidth="1"/>
    <col min="90" max="16384" width="11.42578125" style="7"/>
  </cols>
  <sheetData>
    <row r="1" spans="1:88">
      <c r="A1" s="36"/>
      <c r="B1" s="34"/>
      <c r="C1" s="35"/>
      <c r="D1" s="36"/>
      <c r="E1" s="36"/>
      <c r="F1" s="37" t="s">
        <v>510</v>
      </c>
      <c r="G1" s="36"/>
      <c r="H1" s="36"/>
      <c r="I1" s="36"/>
      <c r="J1" s="36"/>
      <c r="K1" s="36"/>
      <c r="L1" s="226">
        <v>32082</v>
      </c>
      <c r="M1" s="184"/>
      <c r="N1" s="184"/>
      <c r="O1" s="184"/>
      <c r="P1" s="226">
        <v>32084</v>
      </c>
      <c r="Q1" s="184"/>
      <c r="R1" s="184"/>
      <c r="S1" s="184"/>
      <c r="T1" s="227">
        <v>32090</v>
      </c>
      <c r="U1" s="184"/>
      <c r="V1" s="184"/>
      <c r="W1" s="184"/>
      <c r="X1" s="227">
        <v>32092</v>
      </c>
      <c r="Y1" s="184"/>
      <c r="Z1" s="184"/>
      <c r="AA1" s="184"/>
      <c r="AB1" s="227">
        <v>32094</v>
      </c>
      <c r="AC1" s="184"/>
      <c r="AD1" s="184"/>
      <c r="AE1" s="184"/>
      <c r="AF1" s="469">
        <v>32095</v>
      </c>
      <c r="AG1" s="184"/>
      <c r="AH1" s="184"/>
      <c r="AI1" s="184"/>
      <c r="AJ1" s="469">
        <v>32091</v>
      </c>
      <c r="AK1" s="184"/>
      <c r="AL1" s="184"/>
      <c r="AM1" s="184"/>
      <c r="AN1" s="227">
        <v>32097</v>
      </c>
      <c r="AO1" s="184"/>
      <c r="AP1" s="184"/>
      <c r="AQ1" s="184"/>
      <c r="AR1" s="227">
        <v>32099</v>
      </c>
      <c r="AS1" s="184"/>
      <c r="AT1" s="184"/>
      <c r="AU1" s="184"/>
      <c r="AV1" s="227">
        <v>32100</v>
      </c>
      <c r="AW1" s="184"/>
      <c r="AX1" s="184"/>
      <c r="AY1" s="184"/>
      <c r="AZ1" s="469">
        <v>32101</v>
      </c>
      <c r="BA1" s="184"/>
      <c r="BB1" s="184"/>
      <c r="BC1" s="184"/>
      <c r="BD1" s="227">
        <v>32103</v>
      </c>
      <c r="BE1" s="184"/>
      <c r="BF1" s="184"/>
      <c r="BG1" s="184"/>
      <c r="BH1" s="227">
        <v>32105</v>
      </c>
      <c r="BI1" s="184"/>
      <c r="BJ1" s="184"/>
      <c r="BK1" s="184"/>
      <c r="BL1" s="227">
        <v>32106</v>
      </c>
      <c r="BM1" s="184"/>
      <c r="BN1" s="184"/>
      <c r="BO1" s="184"/>
      <c r="BP1" s="469">
        <v>32109</v>
      </c>
      <c r="BQ1" s="184"/>
      <c r="BR1" s="184"/>
      <c r="BS1" s="184"/>
      <c r="BT1" s="227">
        <v>32093</v>
      </c>
      <c r="BU1" s="184"/>
      <c r="BV1" s="184"/>
      <c r="BW1" s="184"/>
      <c r="BX1" s="227">
        <v>32110</v>
      </c>
      <c r="BY1" s="184"/>
      <c r="BZ1" s="184"/>
      <c r="CA1" s="184"/>
      <c r="CB1" s="227">
        <v>32096</v>
      </c>
      <c r="CC1" s="184"/>
      <c r="CD1" s="184"/>
      <c r="CE1" s="184"/>
      <c r="CF1" s="295">
        <v>32086</v>
      </c>
      <c r="CG1" s="184"/>
      <c r="CH1" s="184"/>
      <c r="CI1" s="652"/>
      <c r="CJ1" s="22"/>
    </row>
    <row r="2" spans="1:88">
      <c r="A2" s="36"/>
      <c r="B2" s="147"/>
      <c r="C2" s="35" t="s">
        <v>511</v>
      </c>
      <c r="D2" s="147">
        <v>3503</v>
      </c>
      <c r="E2" s="147">
        <v>3504</v>
      </c>
      <c r="F2" s="147">
        <v>3702</v>
      </c>
      <c r="G2" s="147">
        <v>3703</v>
      </c>
      <c r="H2" s="147">
        <v>3506</v>
      </c>
      <c r="I2" s="147">
        <v>3507</v>
      </c>
      <c r="J2" s="147">
        <v>3508</v>
      </c>
      <c r="K2" s="147">
        <v>3706</v>
      </c>
      <c r="L2" s="147">
        <v>3707</v>
      </c>
      <c r="M2" s="641">
        <v>3708</v>
      </c>
      <c r="N2" s="641">
        <v>3709</v>
      </c>
      <c r="O2" s="650">
        <v>3792</v>
      </c>
      <c r="P2" s="147">
        <v>3707</v>
      </c>
      <c r="Q2" s="641">
        <v>3708</v>
      </c>
      <c r="R2" s="641">
        <v>3709</v>
      </c>
      <c r="S2" s="650">
        <v>3792</v>
      </c>
      <c r="T2" s="147">
        <v>3707</v>
      </c>
      <c r="U2" s="641">
        <v>3708</v>
      </c>
      <c r="V2" s="641">
        <v>3709</v>
      </c>
      <c r="W2" s="650">
        <v>3792</v>
      </c>
      <c r="X2" s="147">
        <v>3707</v>
      </c>
      <c r="Y2" s="641">
        <v>3708</v>
      </c>
      <c r="Z2" s="641">
        <v>3709</v>
      </c>
      <c r="AA2" s="650">
        <v>3792</v>
      </c>
      <c r="AB2" s="147">
        <v>3707</v>
      </c>
      <c r="AC2" s="641">
        <v>3708</v>
      </c>
      <c r="AD2" s="641">
        <v>3709</v>
      </c>
      <c r="AE2" s="650">
        <v>3792</v>
      </c>
      <c r="AF2" s="147">
        <v>3707</v>
      </c>
      <c r="AG2" s="641">
        <v>3708</v>
      </c>
      <c r="AH2" s="641">
        <v>3709</v>
      </c>
      <c r="AI2" s="650">
        <v>3792</v>
      </c>
      <c r="AJ2" s="147">
        <v>3707</v>
      </c>
      <c r="AK2" s="641">
        <v>3708</v>
      </c>
      <c r="AL2" s="641">
        <v>3709</v>
      </c>
      <c r="AM2" s="650">
        <v>3792</v>
      </c>
      <c r="AN2" s="147">
        <v>3707</v>
      </c>
      <c r="AO2" s="641">
        <v>3708</v>
      </c>
      <c r="AP2" s="641">
        <v>3709</v>
      </c>
      <c r="AQ2" s="650">
        <v>3792</v>
      </c>
      <c r="AR2" s="147">
        <v>3707</v>
      </c>
      <c r="AS2" s="641">
        <v>3708</v>
      </c>
      <c r="AT2" s="641">
        <v>3709</v>
      </c>
      <c r="AU2" s="650">
        <v>3792</v>
      </c>
      <c r="AV2" s="147">
        <v>3707</v>
      </c>
      <c r="AW2" s="641">
        <v>3708</v>
      </c>
      <c r="AX2" s="641">
        <v>3709</v>
      </c>
      <c r="AY2" s="650">
        <v>3792</v>
      </c>
      <c r="AZ2" s="147">
        <v>3707</v>
      </c>
      <c r="BA2" s="641">
        <v>3708</v>
      </c>
      <c r="BB2" s="641">
        <v>3709</v>
      </c>
      <c r="BC2" s="650">
        <v>3792</v>
      </c>
      <c r="BD2" s="147">
        <v>3707</v>
      </c>
      <c r="BE2" s="641">
        <v>3708</v>
      </c>
      <c r="BF2" s="641">
        <v>3709</v>
      </c>
      <c r="BG2" s="650">
        <v>3792</v>
      </c>
      <c r="BH2" s="147">
        <v>3707</v>
      </c>
      <c r="BI2" s="641">
        <v>3708</v>
      </c>
      <c r="BJ2" s="641">
        <v>3709</v>
      </c>
      <c r="BK2" s="650">
        <v>3792</v>
      </c>
      <c r="BL2" s="147">
        <v>3707</v>
      </c>
      <c r="BM2" s="641">
        <v>3708</v>
      </c>
      <c r="BN2" s="641">
        <v>3709</v>
      </c>
      <c r="BO2" s="650">
        <v>3792</v>
      </c>
      <c r="BP2" s="147">
        <v>3707</v>
      </c>
      <c r="BQ2" s="641">
        <v>3708</v>
      </c>
      <c r="BR2" s="641">
        <v>3709</v>
      </c>
      <c r="BS2" s="650">
        <v>3792</v>
      </c>
      <c r="BT2" s="147">
        <v>3707</v>
      </c>
      <c r="BU2" s="641">
        <v>3708</v>
      </c>
      <c r="BV2" s="641">
        <v>3709</v>
      </c>
      <c r="BW2" s="650">
        <v>3792</v>
      </c>
      <c r="BX2" s="147">
        <v>3707</v>
      </c>
      <c r="BY2" s="641">
        <v>3708</v>
      </c>
      <c r="BZ2" s="641">
        <v>3709</v>
      </c>
      <c r="CA2" s="650">
        <v>3792</v>
      </c>
      <c r="CB2" s="147">
        <v>3707</v>
      </c>
      <c r="CC2" s="641">
        <v>3708</v>
      </c>
      <c r="CD2" s="641">
        <v>3709</v>
      </c>
      <c r="CE2" s="650">
        <v>3792</v>
      </c>
      <c r="CF2" s="147">
        <v>3707</v>
      </c>
      <c r="CG2" s="641">
        <v>3708</v>
      </c>
      <c r="CH2" s="641">
        <v>3709</v>
      </c>
      <c r="CI2" s="642">
        <v>3792</v>
      </c>
      <c r="CJ2" s="24"/>
    </row>
    <row r="3" spans="1:88" ht="84">
      <c r="A3" s="36" t="s">
        <v>398</v>
      </c>
      <c r="B3" s="166"/>
      <c r="C3" s="35">
        <v>401</v>
      </c>
      <c r="D3" s="167" t="s">
        <v>514</v>
      </c>
      <c r="E3" s="167" t="s">
        <v>515</v>
      </c>
      <c r="F3" s="43" t="s">
        <v>516</v>
      </c>
      <c r="G3" s="41" t="s">
        <v>517</v>
      </c>
      <c r="H3" s="41" t="s">
        <v>518</v>
      </c>
      <c r="I3" s="41" t="s">
        <v>519</v>
      </c>
      <c r="J3" s="41" t="s">
        <v>520</v>
      </c>
      <c r="K3" s="41" t="s">
        <v>394</v>
      </c>
      <c r="L3" s="177" t="s">
        <v>106</v>
      </c>
      <c r="M3" s="643" t="s">
        <v>265</v>
      </c>
      <c r="N3" s="643" t="s">
        <v>266</v>
      </c>
      <c r="O3" s="651" t="s">
        <v>548</v>
      </c>
      <c r="P3" s="177" t="s">
        <v>106</v>
      </c>
      <c r="Q3" s="643" t="s">
        <v>265</v>
      </c>
      <c r="R3" s="643" t="s">
        <v>266</v>
      </c>
      <c r="S3" s="651" t="s">
        <v>548</v>
      </c>
      <c r="T3" s="177" t="s">
        <v>106</v>
      </c>
      <c r="U3" s="643" t="s">
        <v>265</v>
      </c>
      <c r="V3" s="643" t="s">
        <v>266</v>
      </c>
      <c r="W3" s="651" t="s">
        <v>548</v>
      </c>
      <c r="X3" s="177" t="s">
        <v>106</v>
      </c>
      <c r="Y3" s="643" t="s">
        <v>265</v>
      </c>
      <c r="Z3" s="643" t="s">
        <v>266</v>
      </c>
      <c r="AA3" s="651" t="s">
        <v>548</v>
      </c>
      <c r="AB3" s="177" t="s">
        <v>106</v>
      </c>
      <c r="AC3" s="643" t="s">
        <v>265</v>
      </c>
      <c r="AD3" s="643" t="s">
        <v>266</v>
      </c>
      <c r="AE3" s="651" t="s">
        <v>548</v>
      </c>
      <c r="AF3" s="177" t="s">
        <v>106</v>
      </c>
      <c r="AG3" s="643" t="s">
        <v>265</v>
      </c>
      <c r="AH3" s="643" t="s">
        <v>266</v>
      </c>
      <c r="AI3" s="651" t="s">
        <v>548</v>
      </c>
      <c r="AJ3" s="177" t="s">
        <v>106</v>
      </c>
      <c r="AK3" s="643" t="s">
        <v>265</v>
      </c>
      <c r="AL3" s="643" t="s">
        <v>266</v>
      </c>
      <c r="AM3" s="651" t="s">
        <v>548</v>
      </c>
      <c r="AN3" s="177" t="s">
        <v>106</v>
      </c>
      <c r="AO3" s="643" t="s">
        <v>265</v>
      </c>
      <c r="AP3" s="643" t="s">
        <v>266</v>
      </c>
      <c r="AQ3" s="651" t="s">
        <v>548</v>
      </c>
      <c r="AR3" s="177" t="s">
        <v>106</v>
      </c>
      <c r="AS3" s="643" t="s">
        <v>265</v>
      </c>
      <c r="AT3" s="643" t="s">
        <v>266</v>
      </c>
      <c r="AU3" s="651" t="s">
        <v>548</v>
      </c>
      <c r="AV3" s="177" t="s">
        <v>106</v>
      </c>
      <c r="AW3" s="643" t="s">
        <v>265</v>
      </c>
      <c r="AX3" s="643" t="s">
        <v>266</v>
      </c>
      <c r="AY3" s="651" t="s">
        <v>548</v>
      </c>
      <c r="AZ3" s="177" t="s">
        <v>106</v>
      </c>
      <c r="BA3" s="643" t="s">
        <v>265</v>
      </c>
      <c r="BB3" s="643" t="s">
        <v>266</v>
      </c>
      <c r="BC3" s="651" t="s">
        <v>548</v>
      </c>
      <c r="BD3" s="177" t="s">
        <v>106</v>
      </c>
      <c r="BE3" s="643" t="s">
        <v>265</v>
      </c>
      <c r="BF3" s="643" t="s">
        <v>266</v>
      </c>
      <c r="BG3" s="651" t="s">
        <v>548</v>
      </c>
      <c r="BH3" s="177" t="s">
        <v>106</v>
      </c>
      <c r="BI3" s="643" t="s">
        <v>265</v>
      </c>
      <c r="BJ3" s="643" t="s">
        <v>266</v>
      </c>
      <c r="BK3" s="651" t="s">
        <v>548</v>
      </c>
      <c r="BL3" s="177" t="s">
        <v>106</v>
      </c>
      <c r="BM3" s="643" t="s">
        <v>265</v>
      </c>
      <c r="BN3" s="643" t="s">
        <v>266</v>
      </c>
      <c r="BO3" s="651" t="s">
        <v>548</v>
      </c>
      <c r="BP3" s="177" t="s">
        <v>106</v>
      </c>
      <c r="BQ3" s="643" t="s">
        <v>265</v>
      </c>
      <c r="BR3" s="643" t="s">
        <v>266</v>
      </c>
      <c r="BS3" s="651" t="s">
        <v>548</v>
      </c>
      <c r="BT3" s="177" t="s">
        <v>106</v>
      </c>
      <c r="BU3" s="643" t="s">
        <v>265</v>
      </c>
      <c r="BV3" s="643" t="s">
        <v>266</v>
      </c>
      <c r="BW3" s="651" t="s">
        <v>548</v>
      </c>
      <c r="BX3" s="177" t="s">
        <v>106</v>
      </c>
      <c r="BY3" s="643" t="s">
        <v>265</v>
      </c>
      <c r="BZ3" s="643" t="s">
        <v>266</v>
      </c>
      <c r="CA3" s="651" t="s">
        <v>548</v>
      </c>
      <c r="CB3" s="177" t="s">
        <v>106</v>
      </c>
      <c r="CC3" s="643" t="s">
        <v>265</v>
      </c>
      <c r="CD3" s="643" t="s">
        <v>266</v>
      </c>
      <c r="CE3" s="651" t="s">
        <v>548</v>
      </c>
      <c r="CF3" s="177" t="s">
        <v>106</v>
      </c>
      <c r="CG3" s="643" t="s">
        <v>265</v>
      </c>
      <c r="CH3" s="643" t="s">
        <v>266</v>
      </c>
      <c r="CI3" s="644" t="s">
        <v>548</v>
      </c>
      <c r="CJ3" s="26"/>
    </row>
    <row r="4" spans="1:88" ht="18" customHeight="1">
      <c r="A4" s="36"/>
      <c r="B4" s="166"/>
      <c r="C4" s="35">
        <v>662</v>
      </c>
      <c r="D4" s="13"/>
      <c r="E4" s="13"/>
      <c r="F4" s="43" t="s">
        <v>517</v>
      </c>
      <c r="G4" s="43"/>
      <c r="H4" s="43"/>
      <c r="I4" s="43"/>
      <c r="J4" s="43"/>
      <c r="K4" s="43"/>
      <c r="L4" s="177" t="s">
        <v>491</v>
      </c>
      <c r="M4" s="645"/>
      <c r="N4" s="645"/>
      <c r="O4" s="646"/>
      <c r="P4" s="177" t="s">
        <v>1435</v>
      </c>
      <c r="Q4" s="645"/>
      <c r="R4" s="645"/>
      <c r="S4" s="646"/>
      <c r="T4" s="177" t="s">
        <v>1437</v>
      </c>
      <c r="U4" s="645"/>
      <c r="V4" s="645"/>
      <c r="W4" s="646"/>
      <c r="X4" s="177" t="s">
        <v>493</v>
      </c>
      <c r="Y4" s="645"/>
      <c r="Z4" s="645"/>
      <c r="AA4" s="646"/>
      <c r="AB4" s="177" t="s">
        <v>1438</v>
      </c>
      <c r="AC4" s="645"/>
      <c r="AD4" s="645"/>
      <c r="AE4" s="646"/>
      <c r="AF4" s="177" t="s">
        <v>495</v>
      </c>
      <c r="AG4" s="645"/>
      <c r="AH4" s="645"/>
      <c r="AI4" s="646"/>
      <c r="AJ4" s="177" t="s">
        <v>268</v>
      </c>
      <c r="AK4" s="645"/>
      <c r="AL4" s="645"/>
      <c r="AM4" s="646"/>
      <c r="AN4" s="177" t="s">
        <v>1440</v>
      </c>
      <c r="AO4" s="645"/>
      <c r="AP4" s="645"/>
      <c r="AQ4" s="646"/>
      <c r="AR4" s="177" t="s">
        <v>1441</v>
      </c>
      <c r="AS4" s="645"/>
      <c r="AT4" s="645"/>
      <c r="AU4" s="646"/>
      <c r="AV4" s="177" t="s">
        <v>1442</v>
      </c>
      <c r="AW4" s="645"/>
      <c r="AX4" s="645"/>
      <c r="AY4" s="646"/>
      <c r="AZ4" s="177" t="s">
        <v>210</v>
      </c>
      <c r="BA4" s="645"/>
      <c r="BB4" s="645"/>
      <c r="BC4" s="646"/>
      <c r="BD4" s="177" t="s">
        <v>1443</v>
      </c>
      <c r="BE4" s="645"/>
      <c r="BF4" s="645"/>
      <c r="BG4" s="646"/>
      <c r="BH4" s="177" t="s">
        <v>447</v>
      </c>
      <c r="BI4" s="645"/>
      <c r="BJ4" s="645"/>
      <c r="BK4" s="646"/>
      <c r="BL4" s="177" t="s">
        <v>578</v>
      </c>
      <c r="BM4" s="645"/>
      <c r="BN4" s="645"/>
      <c r="BO4" s="646"/>
      <c r="BP4" s="177" t="s">
        <v>563</v>
      </c>
      <c r="BQ4" s="645"/>
      <c r="BR4" s="645"/>
      <c r="BS4" s="646"/>
      <c r="BT4" s="177" t="s">
        <v>494</v>
      </c>
      <c r="BU4" s="645"/>
      <c r="BV4" s="645"/>
      <c r="BW4" s="646"/>
      <c r="BX4" s="177" t="s">
        <v>498</v>
      </c>
      <c r="BY4" s="645"/>
      <c r="BZ4" s="645"/>
      <c r="CA4" s="646"/>
      <c r="CB4" s="177" t="s">
        <v>1439</v>
      </c>
      <c r="CC4" s="645"/>
      <c r="CD4" s="645"/>
      <c r="CE4" s="646"/>
      <c r="CF4" s="177" t="s">
        <v>1436</v>
      </c>
      <c r="CG4" s="645"/>
      <c r="CH4" s="645"/>
      <c r="CI4" s="185"/>
      <c r="CJ4" s="28"/>
    </row>
    <row r="5" spans="1:88">
      <c r="A5" s="36"/>
      <c r="B5" s="166"/>
      <c r="C5" s="35">
        <v>493</v>
      </c>
      <c r="D5" s="13"/>
      <c r="E5" s="13"/>
      <c r="F5" s="43" t="s">
        <v>520</v>
      </c>
      <c r="G5" s="43"/>
      <c r="H5" s="43"/>
      <c r="I5" s="43"/>
      <c r="J5" s="43"/>
      <c r="K5" s="43"/>
      <c r="L5" s="177">
        <v>0</v>
      </c>
      <c r="M5" s="645"/>
      <c r="N5" s="645"/>
      <c r="O5" s="646"/>
      <c r="P5" s="177">
        <v>0</v>
      </c>
      <c r="Q5" s="645"/>
      <c r="R5" s="645"/>
      <c r="S5" s="646"/>
      <c r="T5" s="177">
        <v>0</v>
      </c>
      <c r="U5" s="645"/>
      <c r="V5" s="645"/>
      <c r="W5" s="646"/>
      <c r="X5" s="177">
        <v>0</v>
      </c>
      <c r="Y5" s="645"/>
      <c r="Z5" s="645"/>
      <c r="AA5" s="646"/>
      <c r="AB5" s="177">
        <v>0</v>
      </c>
      <c r="AC5" s="645"/>
      <c r="AD5" s="645"/>
      <c r="AE5" s="646"/>
      <c r="AF5" s="177">
        <v>0</v>
      </c>
      <c r="AG5" s="645"/>
      <c r="AH5" s="645"/>
      <c r="AI5" s="646"/>
      <c r="AJ5" s="177">
        <v>0</v>
      </c>
      <c r="AK5" s="645"/>
      <c r="AL5" s="645"/>
      <c r="AM5" s="646"/>
      <c r="AN5" s="177">
        <v>0</v>
      </c>
      <c r="AO5" s="645"/>
      <c r="AP5" s="645"/>
      <c r="AQ5" s="646"/>
      <c r="AR5" s="177">
        <v>0</v>
      </c>
      <c r="AS5" s="645"/>
      <c r="AT5" s="645"/>
      <c r="AU5" s="646"/>
      <c r="AV5" s="177">
        <v>0</v>
      </c>
      <c r="AW5" s="645"/>
      <c r="AX5" s="645"/>
      <c r="AY5" s="646"/>
      <c r="AZ5" s="177">
        <v>0</v>
      </c>
      <c r="BA5" s="645"/>
      <c r="BB5" s="645"/>
      <c r="BC5" s="646"/>
      <c r="BD5" s="177">
        <v>0</v>
      </c>
      <c r="BE5" s="645"/>
      <c r="BF5" s="645"/>
      <c r="BG5" s="646"/>
      <c r="BH5" s="177">
        <v>0</v>
      </c>
      <c r="BI5" s="645"/>
      <c r="BJ5" s="645"/>
      <c r="BK5" s="646"/>
      <c r="BL5" s="177">
        <v>0</v>
      </c>
      <c r="BM5" s="645"/>
      <c r="BN5" s="645"/>
      <c r="BO5" s="646"/>
      <c r="BP5" s="177">
        <v>0</v>
      </c>
      <c r="BQ5" s="645"/>
      <c r="BR5" s="645"/>
      <c r="BS5" s="646"/>
      <c r="BT5" s="177">
        <v>0</v>
      </c>
      <c r="BU5" s="645"/>
      <c r="BV5" s="645"/>
      <c r="BW5" s="646"/>
      <c r="BX5" s="177">
        <v>0</v>
      </c>
      <c r="BY5" s="645"/>
      <c r="BZ5" s="645"/>
      <c r="CA5" s="646"/>
      <c r="CB5" s="177">
        <v>0</v>
      </c>
      <c r="CC5" s="645"/>
      <c r="CD5" s="645"/>
      <c r="CE5" s="646"/>
      <c r="CF5" s="177">
        <v>0</v>
      </c>
      <c r="CG5" s="645"/>
      <c r="CH5" s="645"/>
      <c r="CI5" s="185"/>
      <c r="CJ5" s="28"/>
    </row>
    <row r="6" spans="1:88">
      <c r="A6" s="36"/>
      <c r="B6" s="166"/>
      <c r="C6" s="35">
        <v>403</v>
      </c>
      <c r="D6" s="13"/>
      <c r="E6" s="13"/>
      <c r="F6" s="43" t="s">
        <v>394</v>
      </c>
      <c r="G6" s="351"/>
      <c r="H6" s="43"/>
      <c r="I6" s="43"/>
      <c r="J6" s="43"/>
      <c r="K6" s="43"/>
      <c r="L6" s="177" t="s">
        <v>678</v>
      </c>
      <c r="M6" s="645"/>
      <c r="N6" s="645"/>
      <c r="O6" s="646"/>
      <c r="P6" s="177" t="s">
        <v>678</v>
      </c>
      <c r="Q6" s="645"/>
      <c r="R6" s="645"/>
      <c r="S6" s="646"/>
      <c r="T6" s="177" t="s">
        <v>678</v>
      </c>
      <c r="U6" s="645"/>
      <c r="V6" s="645"/>
      <c r="W6" s="646"/>
      <c r="X6" s="177" t="s">
        <v>678</v>
      </c>
      <c r="Y6" s="645"/>
      <c r="Z6" s="645"/>
      <c r="AA6" s="646"/>
      <c r="AB6" s="177" t="s">
        <v>678</v>
      </c>
      <c r="AC6" s="645"/>
      <c r="AD6" s="645"/>
      <c r="AE6" s="646"/>
      <c r="AF6" s="177" t="s">
        <v>678</v>
      </c>
      <c r="AG6" s="645"/>
      <c r="AH6" s="645"/>
      <c r="AI6" s="646"/>
      <c r="AJ6" s="177" t="s">
        <v>678</v>
      </c>
      <c r="AK6" s="645"/>
      <c r="AL6" s="645"/>
      <c r="AM6" s="646"/>
      <c r="AN6" s="177" t="s">
        <v>678</v>
      </c>
      <c r="AO6" s="645"/>
      <c r="AP6" s="645"/>
      <c r="AQ6" s="646"/>
      <c r="AR6" s="177" t="s">
        <v>678</v>
      </c>
      <c r="AS6" s="645"/>
      <c r="AT6" s="645"/>
      <c r="AU6" s="646"/>
      <c r="AV6" s="177" t="s">
        <v>678</v>
      </c>
      <c r="AW6" s="645"/>
      <c r="AX6" s="645"/>
      <c r="AY6" s="646"/>
      <c r="AZ6" s="177" t="s">
        <v>678</v>
      </c>
      <c r="BA6" s="645"/>
      <c r="BB6" s="645"/>
      <c r="BC6" s="646"/>
      <c r="BD6" s="177" t="s">
        <v>678</v>
      </c>
      <c r="BE6" s="645"/>
      <c r="BF6" s="645"/>
      <c r="BG6" s="646"/>
      <c r="BH6" s="177" t="s">
        <v>678</v>
      </c>
      <c r="BI6" s="645"/>
      <c r="BJ6" s="645"/>
      <c r="BK6" s="646"/>
      <c r="BL6" s="177" t="s">
        <v>678</v>
      </c>
      <c r="BM6" s="645"/>
      <c r="BN6" s="645"/>
      <c r="BO6" s="646"/>
      <c r="BP6" s="177" t="s">
        <v>678</v>
      </c>
      <c r="BQ6" s="645"/>
      <c r="BR6" s="645"/>
      <c r="BS6" s="646"/>
      <c r="BT6" s="177" t="s">
        <v>678</v>
      </c>
      <c r="BU6" s="645"/>
      <c r="BV6" s="645"/>
      <c r="BW6" s="646"/>
      <c r="BX6" s="177" t="s">
        <v>678</v>
      </c>
      <c r="BY6" s="645"/>
      <c r="BZ6" s="645"/>
      <c r="CA6" s="646"/>
      <c r="CB6" s="177" t="s">
        <v>678</v>
      </c>
      <c r="CC6" s="645"/>
      <c r="CD6" s="645"/>
      <c r="CE6" s="646"/>
      <c r="CF6" s="177" t="s">
        <v>678</v>
      </c>
      <c r="CG6" s="645"/>
      <c r="CH6" s="645"/>
      <c r="CI6" s="185"/>
      <c r="CJ6" s="28"/>
    </row>
    <row r="7" spans="1:88" ht="12.75">
      <c r="A7" s="156">
        <v>1289</v>
      </c>
      <c r="B7" s="168" t="s">
        <v>406</v>
      </c>
      <c r="C7" s="151" t="s">
        <v>525</v>
      </c>
      <c r="D7" s="152" t="s">
        <v>527</v>
      </c>
      <c r="E7" s="153" t="s">
        <v>402</v>
      </c>
      <c r="F7" s="144" t="s">
        <v>107</v>
      </c>
      <c r="G7" s="125" t="s">
        <v>402</v>
      </c>
      <c r="H7" s="154" t="s">
        <v>273</v>
      </c>
      <c r="I7" s="123" t="s">
        <v>108</v>
      </c>
      <c r="J7" s="124" t="s">
        <v>402</v>
      </c>
      <c r="K7" s="125" t="s">
        <v>677</v>
      </c>
      <c r="L7" s="155">
        <v>3.8502673796791442</v>
      </c>
      <c r="M7" s="29">
        <v>1</v>
      </c>
      <c r="N7" s="1">
        <v>1.0906744032152329</v>
      </c>
      <c r="O7" s="139" t="s">
        <v>1680</v>
      </c>
      <c r="P7" s="155">
        <v>3.8502673796791442</v>
      </c>
      <c r="Q7" s="29">
        <v>1</v>
      </c>
      <c r="R7" s="1">
        <v>1.0906744032152329</v>
      </c>
      <c r="S7" s="139" t="s">
        <v>1680</v>
      </c>
      <c r="T7" s="155">
        <v>3.8502673796791442</v>
      </c>
      <c r="U7" s="29">
        <v>1</v>
      </c>
      <c r="V7" s="1">
        <v>1.0906744032152329</v>
      </c>
      <c r="W7" s="139" t="s">
        <v>1680</v>
      </c>
      <c r="X7" s="155">
        <v>3.8502673796791442</v>
      </c>
      <c r="Y7" s="29">
        <v>1</v>
      </c>
      <c r="Z7" s="1">
        <v>1.0906744032152329</v>
      </c>
      <c r="AA7" s="139" t="s">
        <v>1680</v>
      </c>
      <c r="AB7" s="155">
        <v>3.8502673796791442</v>
      </c>
      <c r="AC7" s="29">
        <v>1</v>
      </c>
      <c r="AD7" s="1">
        <v>1.0906744032152329</v>
      </c>
      <c r="AE7" s="139" t="s">
        <v>1680</v>
      </c>
      <c r="AF7" s="155">
        <v>3.8502673796791442</v>
      </c>
      <c r="AG7" s="29">
        <v>1</v>
      </c>
      <c r="AH7" s="1">
        <v>1.0906744032152329</v>
      </c>
      <c r="AI7" s="139" t="s">
        <v>1680</v>
      </c>
      <c r="AJ7" s="155">
        <v>3.8502673796791442</v>
      </c>
      <c r="AK7" s="29">
        <v>1</v>
      </c>
      <c r="AL7" s="1">
        <v>1.0906744032152329</v>
      </c>
      <c r="AM7" s="139" t="s">
        <v>1680</v>
      </c>
      <c r="AN7" s="155">
        <v>3.8502673796791442</v>
      </c>
      <c r="AO7" s="29">
        <v>1</v>
      </c>
      <c r="AP7" s="1">
        <v>1.0906744032152329</v>
      </c>
      <c r="AQ7" s="139" t="s">
        <v>1680</v>
      </c>
      <c r="AR7" s="155">
        <v>3.8502673796791442</v>
      </c>
      <c r="AS7" s="29">
        <v>1</v>
      </c>
      <c r="AT7" s="1">
        <v>1.0906744032152329</v>
      </c>
      <c r="AU7" s="139" t="s">
        <v>1680</v>
      </c>
      <c r="AV7" s="155">
        <v>3.8502673796791442</v>
      </c>
      <c r="AW7" s="29">
        <v>1</v>
      </c>
      <c r="AX7" s="1">
        <v>1.0906744032152329</v>
      </c>
      <c r="AY7" s="139" t="s">
        <v>1680</v>
      </c>
      <c r="AZ7" s="155">
        <v>3.8502673796791442</v>
      </c>
      <c r="BA7" s="29">
        <v>1</v>
      </c>
      <c r="BB7" s="1">
        <v>1.0906744032152329</v>
      </c>
      <c r="BC7" s="139" t="s">
        <v>1680</v>
      </c>
      <c r="BD7" s="155">
        <v>3.8502673796791442</v>
      </c>
      <c r="BE7" s="29">
        <v>1</v>
      </c>
      <c r="BF7" s="1">
        <v>1.0906744032152329</v>
      </c>
      <c r="BG7" s="139" t="s">
        <v>1680</v>
      </c>
      <c r="BH7" s="155">
        <v>3.8502673796791442</v>
      </c>
      <c r="BI7" s="29">
        <v>1</v>
      </c>
      <c r="BJ7" s="1">
        <v>1.0906744032152329</v>
      </c>
      <c r="BK7" s="139" t="s">
        <v>1680</v>
      </c>
      <c r="BL7" s="155">
        <v>3.8502673796791442</v>
      </c>
      <c r="BM7" s="29">
        <v>1</v>
      </c>
      <c r="BN7" s="1">
        <v>1.0906744032152329</v>
      </c>
      <c r="BO7" s="139" t="s">
        <v>1680</v>
      </c>
      <c r="BP7" s="155">
        <v>3.8502673796791442</v>
      </c>
      <c r="BQ7" s="29">
        <v>1</v>
      </c>
      <c r="BR7" s="1">
        <v>1.0906744032152329</v>
      </c>
      <c r="BS7" s="139" t="s">
        <v>1680</v>
      </c>
      <c r="BT7" s="155">
        <v>3.8502673796791442</v>
      </c>
      <c r="BU7" s="29">
        <v>1</v>
      </c>
      <c r="BV7" s="1">
        <v>1.0906744032152329</v>
      </c>
      <c r="BW7" s="139" t="s">
        <v>1680</v>
      </c>
      <c r="BX7" s="155">
        <v>3.8502673796791442</v>
      </c>
      <c r="BY7" s="29">
        <v>1</v>
      </c>
      <c r="BZ7" s="1">
        <v>1.0906744032152329</v>
      </c>
      <c r="CA7" s="139" t="s">
        <v>1680</v>
      </c>
      <c r="CB7" s="155">
        <v>3.8502673796791442</v>
      </c>
      <c r="CC7" s="29">
        <v>1</v>
      </c>
      <c r="CD7" s="1">
        <v>1.0906744032152329</v>
      </c>
      <c r="CE7" s="139" t="s">
        <v>1680</v>
      </c>
      <c r="CF7" s="155">
        <v>3.8502673796791442</v>
      </c>
      <c r="CG7" s="29">
        <v>1</v>
      </c>
      <c r="CH7" s="1">
        <v>1.0906744032152329</v>
      </c>
      <c r="CI7" s="31" t="s">
        <v>1680</v>
      </c>
      <c r="CJ7" s="31"/>
    </row>
    <row r="8" spans="1:88" ht="12.75">
      <c r="A8" s="226">
        <v>678</v>
      </c>
      <c r="B8" s="168" t="s">
        <v>524</v>
      </c>
      <c r="C8" s="151"/>
      <c r="D8" s="152" t="s">
        <v>526</v>
      </c>
      <c r="E8" s="153" t="s">
        <v>402</v>
      </c>
      <c r="F8" s="144" t="s">
        <v>111</v>
      </c>
      <c r="G8" s="125" t="s">
        <v>393</v>
      </c>
      <c r="H8" s="154" t="s">
        <v>402</v>
      </c>
      <c r="I8" s="123" t="s">
        <v>402</v>
      </c>
      <c r="J8" s="124">
        <v>0</v>
      </c>
      <c r="K8" s="125" t="s">
        <v>395</v>
      </c>
      <c r="L8" s="155">
        <v>5.7551072099620744E-3</v>
      </c>
      <c r="M8" s="29">
        <v>1</v>
      </c>
      <c r="N8" s="1">
        <v>1.0906744032152329</v>
      </c>
      <c r="O8" s="139" t="s">
        <v>112</v>
      </c>
      <c r="P8" s="155">
        <v>6.5021581164949969E-3</v>
      </c>
      <c r="Q8" s="29">
        <v>1</v>
      </c>
      <c r="R8" s="1">
        <v>1.0906744032152329</v>
      </c>
      <c r="S8" s="139" t="s">
        <v>112</v>
      </c>
      <c r="T8" s="155">
        <v>6.2836214303225325E-3</v>
      </c>
      <c r="U8" s="29">
        <v>1</v>
      </c>
      <c r="V8" s="1">
        <v>1.0906744032152329</v>
      </c>
      <c r="W8" s="139" t="s">
        <v>112</v>
      </c>
      <c r="X8" s="155">
        <v>5.9808677255980616E-3</v>
      </c>
      <c r="Y8" s="29">
        <v>1</v>
      </c>
      <c r="Z8" s="1">
        <v>1.0906744032152329</v>
      </c>
      <c r="AA8" s="139" t="s">
        <v>112</v>
      </c>
      <c r="AB8" s="155">
        <v>6.1516963999444715E-3</v>
      </c>
      <c r="AC8" s="29">
        <v>1</v>
      </c>
      <c r="AD8" s="1">
        <v>1.0906744032152329</v>
      </c>
      <c r="AE8" s="139" t="s">
        <v>112</v>
      </c>
      <c r="AF8" s="155">
        <v>5.3820946043561246E-3</v>
      </c>
      <c r="AG8" s="29">
        <v>1</v>
      </c>
      <c r="AH8" s="1">
        <v>1.0906744032152329</v>
      </c>
      <c r="AI8" s="139" t="s">
        <v>112</v>
      </c>
      <c r="AJ8" s="155">
        <v>5.4344526228577543E-3</v>
      </c>
      <c r="AK8" s="29">
        <v>1</v>
      </c>
      <c r="AL8" s="1">
        <v>1.0906744032152329</v>
      </c>
      <c r="AM8" s="139" t="s">
        <v>112</v>
      </c>
      <c r="AN8" s="155">
        <v>4.0876779605001391E-3</v>
      </c>
      <c r="AO8" s="29">
        <v>1</v>
      </c>
      <c r="AP8" s="1">
        <v>1.0906744032152329</v>
      </c>
      <c r="AQ8" s="139" t="s">
        <v>112</v>
      </c>
      <c r="AR8" s="155">
        <v>5.2096236473765326E-3</v>
      </c>
      <c r="AS8" s="29">
        <v>1</v>
      </c>
      <c r="AT8" s="1">
        <v>1.0906744032152329</v>
      </c>
      <c r="AU8" s="139" t="s">
        <v>112</v>
      </c>
      <c r="AV8" s="155">
        <v>6.2713956240018683E-3</v>
      </c>
      <c r="AW8" s="29">
        <v>1</v>
      </c>
      <c r="AX8" s="1">
        <v>1.0906744032152329</v>
      </c>
      <c r="AY8" s="139" t="s">
        <v>112</v>
      </c>
      <c r="AZ8" s="155">
        <v>5.1814400620935116E-3</v>
      </c>
      <c r="BA8" s="29">
        <v>1</v>
      </c>
      <c r="BB8" s="1">
        <v>1.0906744032152329</v>
      </c>
      <c r="BC8" s="139" t="s">
        <v>112</v>
      </c>
      <c r="BD8" s="155">
        <v>5.9557412840660707E-3</v>
      </c>
      <c r="BE8" s="29">
        <v>1</v>
      </c>
      <c r="BF8" s="1">
        <v>1.0906744032152329</v>
      </c>
      <c r="BG8" s="139" t="s">
        <v>112</v>
      </c>
      <c r="BH8" s="155">
        <v>5.8000386937129902E-3</v>
      </c>
      <c r="BI8" s="29">
        <v>1</v>
      </c>
      <c r="BJ8" s="1">
        <v>1.0906744032152329</v>
      </c>
      <c r="BK8" s="139" t="s">
        <v>112</v>
      </c>
      <c r="BL8" s="155">
        <v>5.7849568795965986E-3</v>
      </c>
      <c r="BM8" s="29">
        <v>1</v>
      </c>
      <c r="BN8" s="1">
        <v>1.0906744032152329</v>
      </c>
      <c r="BO8" s="139" t="s">
        <v>112</v>
      </c>
      <c r="BP8" s="155">
        <v>3.8855796931482034E-3</v>
      </c>
      <c r="BQ8" s="29">
        <v>1</v>
      </c>
      <c r="BR8" s="1">
        <v>1.0906744032152329</v>
      </c>
      <c r="BS8" s="139" t="s">
        <v>112</v>
      </c>
      <c r="BT8" s="155">
        <v>3.1475687085155881E-3</v>
      </c>
      <c r="BU8" s="29">
        <v>1</v>
      </c>
      <c r="BV8" s="1">
        <v>1.0906744032152329</v>
      </c>
      <c r="BW8" s="139" t="s">
        <v>112</v>
      </c>
      <c r="BX8" s="155">
        <v>5.8861773788650758E-3</v>
      </c>
      <c r="BY8" s="29">
        <v>1</v>
      </c>
      <c r="BZ8" s="1">
        <v>1.0906744032152329</v>
      </c>
      <c r="CA8" s="139" t="s">
        <v>112</v>
      </c>
      <c r="CB8" s="155">
        <v>6.4931133930435404E-3</v>
      </c>
      <c r="CC8" s="29">
        <v>1</v>
      </c>
      <c r="CD8" s="1">
        <v>1.0906744032152329</v>
      </c>
      <c r="CE8" s="139" t="s">
        <v>112</v>
      </c>
      <c r="CF8" s="155">
        <v>3.7373399057397056E-3</v>
      </c>
      <c r="CG8" s="29">
        <v>1</v>
      </c>
      <c r="CH8" s="1">
        <v>1.0906744032152329</v>
      </c>
      <c r="CI8" s="31" t="s">
        <v>112</v>
      </c>
      <c r="CJ8" s="31"/>
    </row>
    <row r="9" spans="1:88" ht="24">
      <c r="A9" s="2">
        <v>1750</v>
      </c>
      <c r="B9" s="168"/>
      <c r="C9" s="151"/>
      <c r="D9" s="152" t="s">
        <v>526</v>
      </c>
      <c r="E9" s="153" t="s">
        <v>402</v>
      </c>
      <c r="F9" s="144" t="s">
        <v>113</v>
      </c>
      <c r="G9" s="125" t="s">
        <v>393</v>
      </c>
      <c r="H9" s="154" t="s">
        <v>402</v>
      </c>
      <c r="I9" s="123" t="s">
        <v>402</v>
      </c>
      <c r="J9" s="124">
        <v>0</v>
      </c>
      <c r="K9" s="125" t="s">
        <v>409</v>
      </c>
      <c r="L9" s="155">
        <v>5.7551072099620748E-6</v>
      </c>
      <c r="M9" s="29">
        <v>1</v>
      </c>
      <c r="N9" s="1">
        <v>1.0906744032152329</v>
      </c>
      <c r="O9" s="139" t="s">
        <v>112</v>
      </c>
      <c r="P9" s="155">
        <v>6.502158116494997E-6</v>
      </c>
      <c r="Q9" s="29">
        <v>1</v>
      </c>
      <c r="R9" s="1">
        <v>1.0906744032152329</v>
      </c>
      <c r="S9" s="139" t="s">
        <v>112</v>
      </c>
      <c r="T9" s="155">
        <v>6.2836214303225327E-6</v>
      </c>
      <c r="U9" s="29">
        <v>1</v>
      </c>
      <c r="V9" s="1">
        <v>1.0906744032152329</v>
      </c>
      <c r="W9" s="139" t="s">
        <v>112</v>
      </c>
      <c r="X9" s="155">
        <v>5.9808677255980615E-6</v>
      </c>
      <c r="Y9" s="29">
        <v>1</v>
      </c>
      <c r="Z9" s="1">
        <v>1.0906744032152329</v>
      </c>
      <c r="AA9" s="139" t="s">
        <v>112</v>
      </c>
      <c r="AB9" s="155">
        <v>6.1516963999444715E-6</v>
      </c>
      <c r="AC9" s="29">
        <v>1</v>
      </c>
      <c r="AD9" s="1">
        <v>1.0906744032152329</v>
      </c>
      <c r="AE9" s="139" t="s">
        <v>112</v>
      </c>
      <c r="AF9" s="155">
        <v>5.3820946043561249E-6</v>
      </c>
      <c r="AG9" s="29">
        <v>1</v>
      </c>
      <c r="AH9" s="1">
        <v>1.0906744032152329</v>
      </c>
      <c r="AI9" s="139" t="s">
        <v>112</v>
      </c>
      <c r="AJ9" s="155">
        <v>5.4344526228577544E-6</v>
      </c>
      <c r="AK9" s="29">
        <v>1</v>
      </c>
      <c r="AL9" s="1">
        <v>1.0906744032152329</v>
      </c>
      <c r="AM9" s="139" t="s">
        <v>112</v>
      </c>
      <c r="AN9" s="155">
        <v>4.0876779605001394E-6</v>
      </c>
      <c r="AO9" s="29">
        <v>1</v>
      </c>
      <c r="AP9" s="1">
        <v>1.0906744032152329</v>
      </c>
      <c r="AQ9" s="139" t="s">
        <v>112</v>
      </c>
      <c r="AR9" s="155">
        <v>5.2096236473765324E-6</v>
      </c>
      <c r="AS9" s="29">
        <v>1</v>
      </c>
      <c r="AT9" s="1">
        <v>1.0906744032152329</v>
      </c>
      <c r="AU9" s="139" t="s">
        <v>112</v>
      </c>
      <c r="AV9" s="155">
        <v>6.2713956240018686E-6</v>
      </c>
      <c r="AW9" s="29">
        <v>1</v>
      </c>
      <c r="AX9" s="1">
        <v>1.0906744032152329</v>
      </c>
      <c r="AY9" s="139" t="s">
        <v>112</v>
      </c>
      <c r="AZ9" s="155">
        <v>5.1814400620935115E-6</v>
      </c>
      <c r="BA9" s="29">
        <v>1</v>
      </c>
      <c r="BB9" s="1">
        <v>1.0906744032152329</v>
      </c>
      <c r="BC9" s="139" t="s">
        <v>112</v>
      </c>
      <c r="BD9" s="155">
        <v>5.9557412840660709E-6</v>
      </c>
      <c r="BE9" s="29">
        <v>1</v>
      </c>
      <c r="BF9" s="1">
        <v>1.0906744032152329</v>
      </c>
      <c r="BG9" s="139" t="s">
        <v>112</v>
      </c>
      <c r="BH9" s="155">
        <v>5.80003869371299E-6</v>
      </c>
      <c r="BI9" s="29">
        <v>1</v>
      </c>
      <c r="BJ9" s="1">
        <v>1.0906744032152329</v>
      </c>
      <c r="BK9" s="139" t="s">
        <v>112</v>
      </c>
      <c r="BL9" s="155">
        <v>5.7849568795965988E-6</v>
      </c>
      <c r="BM9" s="29">
        <v>1</v>
      </c>
      <c r="BN9" s="1">
        <v>1.0906744032152329</v>
      </c>
      <c r="BO9" s="139" t="s">
        <v>112</v>
      </c>
      <c r="BP9" s="155">
        <v>3.8855796931482033E-6</v>
      </c>
      <c r="BQ9" s="29">
        <v>1</v>
      </c>
      <c r="BR9" s="1">
        <v>1.0906744032152329</v>
      </c>
      <c r="BS9" s="139" t="s">
        <v>112</v>
      </c>
      <c r="BT9" s="155">
        <v>3.1475687085155883E-6</v>
      </c>
      <c r="BU9" s="29">
        <v>1</v>
      </c>
      <c r="BV9" s="1">
        <v>1.0906744032152329</v>
      </c>
      <c r="BW9" s="139" t="s">
        <v>112</v>
      </c>
      <c r="BX9" s="155">
        <v>5.886177378865076E-6</v>
      </c>
      <c r="BY9" s="29">
        <v>1</v>
      </c>
      <c r="BZ9" s="1">
        <v>1.0906744032152329</v>
      </c>
      <c r="CA9" s="139" t="s">
        <v>112</v>
      </c>
      <c r="CB9" s="155">
        <v>6.4931133930435404E-6</v>
      </c>
      <c r="CC9" s="29">
        <v>1</v>
      </c>
      <c r="CD9" s="1">
        <v>1.0906744032152329</v>
      </c>
      <c r="CE9" s="139" t="s">
        <v>112</v>
      </c>
      <c r="CF9" s="155">
        <v>3.7373399057397054E-6</v>
      </c>
      <c r="CG9" s="29">
        <v>1</v>
      </c>
      <c r="CH9" s="1">
        <v>1.0906744032152329</v>
      </c>
      <c r="CI9" s="31" t="s">
        <v>112</v>
      </c>
      <c r="CJ9" s="31"/>
    </row>
    <row r="10" spans="1:88" ht="24" outlineLevel="1">
      <c r="A10" s="464" t="s">
        <v>499</v>
      </c>
      <c r="B10" s="168"/>
      <c r="C10" s="151"/>
      <c r="D10" s="152" t="s">
        <v>526</v>
      </c>
      <c r="E10" s="153" t="s">
        <v>402</v>
      </c>
      <c r="F10" s="144" t="s">
        <v>1673</v>
      </c>
      <c r="G10" s="125" t="s">
        <v>268</v>
      </c>
      <c r="H10" s="154" t="s">
        <v>402</v>
      </c>
      <c r="I10" s="123" t="s">
        <v>402</v>
      </c>
      <c r="J10" s="124">
        <v>1</v>
      </c>
      <c r="K10" s="125" t="s">
        <v>522</v>
      </c>
      <c r="L10" s="165">
        <v>0</v>
      </c>
      <c r="M10" s="29">
        <v>1</v>
      </c>
      <c r="N10" s="1">
        <v>1.2164594125584303</v>
      </c>
      <c r="O10" s="139" t="s">
        <v>1681</v>
      </c>
      <c r="P10" s="165">
        <v>0</v>
      </c>
      <c r="Q10" s="29">
        <v>1</v>
      </c>
      <c r="R10" s="1">
        <v>1.2164594125584303</v>
      </c>
      <c r="S10" s="139" t="s">
        <v>1681</v>
      </c>
      <c r="T10" s="165">
        <v>0</v>
      </c>
      <c r="U10" s="29">
        <v>1</v>
      </c>
      <c r="V10" s="1">
        <v>1.2164594125584303</v>
      </c>
      <c r="W10" s="139" t="s">
        <v>1681</v>
      </c>
      <c r="X10" s="165">
        <v>0</v>
      </c>
      <c r="Y10" s="29">
        <v>1</v>
      </c>
      <c r="Z10" s="1">
        <v>1.2164594125584303</v>
      </c>
      <c r="AA10" s="139" t="s">
        <v>1681</v>
      </c>
      <c r="AB10" s="165">
        <v>0</v>
      </c>
      <c r="AC10" s="29">
        <v>1</v>
      </c>
      <c r="AD10" s="1">
        <v>1.2164594125584303</v>
      </c>
      <c r="AE10" s="139" t="s">
        <v>1681</v>
      </c>
      <c r="AF10" s="155">
        <v>5.3624848106980825E-9</v>
      </c>
      <c r="AG10" s="29">
        <v>1</v>
      </c>
      <c r="AH10" s="1">
        <v>1.2164594125584303</v>
      </c>
      <c r="AI10" s="139" t="s">
        <v>1681</v>
      </c>
      <c r="AJ10" s="155">
        <v>7.1606970895410156E-9</v>
      </c>
      <c r="AK10" s="29">
        <v>1</v>
      </c>
      <c r="AL10" s="1">
        <v>1.2164594125584303</v>
      </c>
      <c r="AM10" s="139" t="s">
        <v>1681</v>
      </c>
      <c r="AN10" s="155">
        <v>0</v>
      </c>
      <c r="AO10" s="29">
        <v>1</v>
      </c>
      <c r="AP10" s="1">
        <v>1.2164594125584303</v>
      </c>
      <c r="AQ10" s="139" t="s">
        <v>1681</v>
      </c>
      <c r="AR10" s="155">
        <v>0</v>
      </c>
      <c r="AS10" s="29">
        <v>1</v>
      </c>
      <c r="AT10" s="1">
        <v>1.2164594125584303</v>
      </c>
      <c r="AU10" s="139" t="s">
        <v>1681</v>
      </c>
      <c r="AV10" s="155">
        <v>0</v>
      </c>
      <c r="AW10" s="29">
        <v>1</v>
      </c>
      <c r="AX10" s="1">
        <v>1.2164594125584303</v>
      </c>
      <c r="AY10" s="139" t="s">
        <v>1681</v>
      </c>
      <c r="AZ10" s="155">
        <v>2.250836043851076E-9</v>
      </c>
      <c r="BA10" s="29">
        <v>1</v>
      </c>
      <c r="BB10" s="1">
        <v>1.2164594125584303</v>
      </c>
      <c r="BC10" s="139" t="s">
        <v>1681</v>
      </c>
      <c r="BD10" s="155">
        <v>0</v>
      </c>
      <c r="BE10" s="29">
        <v>1</v>
      </c>
      <c r="BF10" s="1">
        <v>1.2164594125584303</v>
      </c>
      <c r="BG10" s="139" t="s">
        <v>1681</v>
      </c>
      <c r="BH10" s="155">
        <v>0</v>
      </c>
      <c r="BI10" s="29">
        <v>1</v>
      </c>
      <c r="BJ10" s="1">
        <v>1.2164594125584303</v>
      </c>
      <c r="BK10" s="139" t="s">
        <v>1681</v>
      </c>
      <c r="BL10" s="155">
        <v>0</v>
      </c>
      <c r="BM10" s="29">
        <v>1</v>
      </c>
      <c r="BN10" s="1">
        <v>1.2164594125584303</v>
      </c>
      <c r="BO10" s="139" t="s">
        <v>1681</v>
      </c>
      <c r="BP10" s="155">
        <v>0</v>
      </c>
      <c r="BQ10" s="29">
        <v>1</v>
      </c>
      <c r="BR10" s="1">
        <v>1.2164594125584303</v>
      </c>
      <c r="BS10" s="139" t="s">
        <v>1681</v>
      </c>
      <c r="BT10" s="165" t="s">
        <v>402</v>
      </c>
      <c r="BU10" s="29">
        <v>1</v>
      </c>
      <c r="BV10" s="1">
        <v>1.2164594125584303</v>
      </c>
      <c r="BW10" s="139" t="s">
        <v>1681</v>
      </c>
      <c r="BX10" s="155">
        <v>0</v>
      </c>
      <c r="BY10" s="29">
        <v>1</v>
      </c>
      <c r="BZ10" s="1">
        <v>1.2164594125584303</v>
      </c>
      <c r="CA10" s="139" t="s">
        <v>1681</v>
      </c>
      <c r="CB10" s="155">
        <v>0</v>
      </c>
      <c r="CC10" s="29">
        <v>1</v>
      </c>
      <c r="CD10" s="1">
        <v>1.2164594125584303</v>
      </c>
      <c r="CE10" s="139" t="s">
        <v>1681</v>
      </c>
      <c r="CF10" s="155">
        <v>0</v>
      </c>
      <c r="CG10" s="29">
        <v>1</v>
      </c>
      <c r="CH10" s="1">
        <v>1.2164594125584303</v>
      </c>
      <c r="CI10" s="31" t="s">
        <v>1681</v>
      </c>
      <c r="CJ10" s="31"/>
    </row>
    <row r="11" spans="1:88" ht="24" outlineLevel="1">
      <c r="A11" s="464" t="s">
        <v>500</v>
      </c>
      <c r="B11" s="168"/>
      <c r="C11" s="151"/>
      <c r="D11" s="152" t="s">
        <v>526</v>
      </c>
      <c r="E11" s="153" t="s">
        <v>402</v>
      </c>
      <c r="F11" s="144" t="s">
        <v>1674</v>
      </c>
      <c r="G11" s="125" t="s">
        <v>268</v>
      </c>
      <c r="H11" s="154" t="s">
        <v>402</v>
      </c>
      <c r="I11" s="123" t="s">
        <v>402</v>
      </c>
      <c r="J11" s="124">
        <v>1</v>
      </c>
      <c r="K11" s="125" t="s">
        <v>522</v>
      </c>
      <c r="L11" s="165">
        <v>0</v>
      </c>
      <c r="M11" s="29">
        <v>1</v>
      </c>
      <c r="N11" s="1">
        <v>1.2164594125584303</v>
      </c>
      <c r="O11" s="139" t="s">
        <v>1681</v>
      </c>
      <c r="P11" s="165">
        <v>0</v>
      </c>
      <c r="Q11" s="29">
        <v>1</v>
      </c>
      <c r="R11" s="1">
        <v>1.2164594125584303</v>
      </c>
      <c r="S11" s="139" t="s">
        <v>1681</v>
      </c>
      <c r="T11" s="165">
        <v>0</v>
      </c>
      <c r="U11" s="29">
        <v>1</v>
      </c>
      <c r="V11" s="1">
        <v>1.2164594125584303</v>
      </c>
      <c r="W11" s="139" t="s">
        <v>1681</v>
      </c>
      <c r="X11" s="165">
        <v>0</v>
      </c>
      <c r="Y11" s="29">
        <v>1</v>
      </c>
      <c r="Z11" s="1">
        <v>1.2164594125584303</v>
      </c>
      <c r="AA11" s="139" t="s">
        <v>1681</v>
      </c>
      <c r="AB11" s="165">
        <v>0</v>
      </c>
      <c r="AC11" s="29">
        <v>1</v>
      </c>
      <c r="AD11" s="1">
        <v>1.2164594125584303</v>
      </c>
      <c r="AE11" s="139" t="s">
        <v>1681</v>
      </c>
      <c r="AF11" s="155">
        <v>3.1462540861346055E-9</v>
      </c>
      <c r="AG11" s="29">
        <v>1</v>
      </c>
      <c r="AH11" s="1">
        <v>1.2164594125584303</v>
      </c>
      <c r="AI11" s="139" t="s">
        <v>1681</v>
      </c>
      <c r="AJ11" s="155">
        <v>4.1682329195724568E-9</v>
      </c>
      <c r="AK11" s="29">
        <v>1</v>
      </c>
      <c r="AL11" s="1">
        <v>1.2164594125584303</v>
      </c>
      <c r="AM11" s="139" t="s">
        <v>1681</v>
      </c>
      <c r="AN11" s="155">
        <v>0</v>
      </c>
      <c r="AO11" s="29">
        <v>1</v>
      </c>
      <c r="AP11" s="1">
        <v>1.2164594125584303</v>
      </c>
      <c r="AQ11" s="139" t="s">
        <v>1681</v>
      </c>
      <c r="AR11" s="155">
        <v>0</v>
      </c>
      <c r="AS11" s="29">
        <v>1</v>
      </c>
      <c r="AT11" s="1">
        <v>1.2164594125584303</v>
      </c>
      <c r="AU11" s="139" t="s">
        <v>1681</v>
      </c>
      <c r="AV11" s="155">
        <v>0</v>
      </c>
      <c r="AW11" s="29">
        <v>1</v>
      </c>
      <c r="AX11" s="1">
        <v>1.2164594125584303</v>
      </c>
      <c r="AY11" s="139" t="s">
        <v>1681</v>
      </c>
      <c r="AZ11" s="155">
        <v>3.3330024924138781E-9</v>
      </c>
      <c r="BA11" s="29">
        <v>1</v>
      </c>
      <c r="BB11" s="1">
        <v>1.2164594125584303</v>
      </c>
      <c r="BC11" s="139" t="s">
        <v>1681</v>
      </c>
      <c r="BD11" s="155">
        <v>0</v>
      </c>
      <c r="BE11" s="29">
        <v>1</v>
      </c>
      <c r="BF11" s="1">
        <v>1.2164594125584303</v>
      </c>
      <c r="BG11" s="139" t="s">
        <v>1681</v>
      </c>
      <c r="BH11" s="155">
        <v>0</v>
      </c>
      <c r="BI11" s="29">
        <v>1</v>
      </c>
      <c r="BJ11" s="1">
        <v>1.2164594125584303</v>
      </c>
      <c r="BK11" s="139" t="s">
        <v>1681</v>
      </c>
      <c r="BL11" s="155">
        <v>0</v>
      </c>
      <c r="BM11" s="29">
        <v>1</v>
      </c>
      <c r="BN11" s="1">
        <v>1.2164594125584303</v>
      </c>
      <c r="BO11" s="139" t="s">
        <v>1681</v>
      </c>
      <c r="BP11" s="155">
        <v>0</v>
      </c>
      <c r="BQ11" s="29">
        <v>1</v>
      </c>
      <c r="BR11" s="1">
        <v>1.2164594125584303</v>
      </c>
      <c r="BS11" s="139" t="s">
        <v>1681</v>
      </c>
      <c r="BT11" s="165" t="s">
        <v>402</v>
      </c>
      <c r="BU11" s="29">
        <v>1</v>
      </c>
      <c r="BV11" s="1">
        <v>1.2164594125584303</v>
      </c>
      <c r="BW11" s="139" t="s">
        <v>1681</v>
      </c>
      <c r="BX11" s="155">
        <v>0</v>
      </c>
      <c r="BY11" s="29">
        <v>1</v>
      </c>
      <c r="BZ11" s="1">
        <v>1.2164594125584303</v>
      </c>
      <c r="CA11" s="139" t="s">
        <v>1681</v>
      </c>
      <c r="CB11" s="155">
        <v>0</v>
      </c>
      <c r="CC11" s="29">
        <v>1</v>
      </c>
      <c r="CD11" s="1">
        <v>1.2164594125584303</v>
      </c>
      <c r="CE11" s="139" t="s">
        <v>1681</v>
      </c>
      <c r="CF11" s="155">
        <v>0</v>
      </c>
      <c r="CG11" s="29">
        <v>1</v>
      </c>
      <c r="CH11" s="1">
        <v>1.2164594125584303</v>
      </c>
      <c r="CI11" s="31" t="s">
        <v>1681</v>
      </c>
      <c r="CJ11" s="31"/>
    </row>
    <row r="12" spans="1:88" ht="24">
      <c r="A12" s="464" t="s">
        <v>501</v>
      </c>
      <c r="B12" s="168"/>
      <c r="C12" s="151"/>
      <c r="D12" s="152" t="s">
        <v>526</v>
      </c>
      <c r="E12" s="153" t="s">
        <v>402</v>
      </c>
      <c r="F12" s="144" t="s">
        <v>1675</v>
      </c>
      <c r="G12" s="125" t="s">
        <v>494</v>
      </c>
      <c r="H12" s="154" t="s">
        <v>402</v>
      </c>
      <c r="I12" s="123" t="s">
        <v>402</v>
      </c>
      <c r="J12" s="124">
        <v>1</v>
      </c>
      <c r="K12" s="125" t="s">
        <v>522</v>
      </c>
      <c r="L12" s="165">
        <v>0</v>
      </c>
      <c r="M12" s="29">
        <v>1</v>
      </c>
      <c r="N12" s="1">
        <v>1.2164594125584303</v>
      </c>
      <c r="O12" s="139" t="s">
        <v>1681</v>
      </c>
      <c r="P12" s="165">
        <v>0</v>
      </c>
      <c r="Q12" s="29">
        <v>1</v>
      </c>
      <c r="R12" s="1">
        <v>1.2164594125584303</v>
      </c>
      <c r="S12" s="139" t="s">
        <v>1681</v>
      </c>
      <c r="T12" s="165">
        <v>0</v>
      </c>
      <c r="U12" s="29">
        <v>1</v>
      </c>
      <c r="V12" s="1">
        <v>1.2164594125584303</v>
      </c>
      <c r="W12" s="139" t="s">
        <v>1681</v>
      </c>
      <c r="X12" s="165">
        <v>0</v>
      </c>
      <c r="Y12" s="29">
        <v>1</v>
      </c>
      <c r="Z12" s="1">
        <v>1.2164594125584303</v>
      </c>
      <c r="AA12" s="139" t="s">
        <v>1681</v>
      </c>
      <c r="AB12" s="165">
        <v>0</v>
      </c>
      <c r="AC12" s="29">
        <v>1</v>
      </c>
      <c r="AD12" s="1">
        <v>1.2164594125584303</v>
      </c>
      <c r="AE12" s="139" t="s">
        <v>1681</v>
      </c>
      <c r="AF12" s="165">
        <v>0</v>
      </c>
      <c r="AG12" s="29">
        <v>1</v>
      </c>
      <c r="AH12" s="1">
        <v>1.2164594125584303</v>
      </c>
      <c r="AI12" s="139" t="s">
        <v>1681</v>
      </c>
      <c r="AJ12" s="165" t="s">
        <v>402</v>
      </c>
      <c r="AK12" s="29">
        <v>1</v>
      </c>
      <c r="AL12" s="1">
        <v>1.2164594125584303</v>
      </c>
      <c r="AM12" s="139" t="s">
        <v>1681</v>
      </c>
      <c r="AN12" s="155">
        <v>0</v>
      </c>
      <c r="AO12" s="29">
        <v>1</v>
      </c>
      <c r="AP12" s="1">
        <v>1.2164594125584303</v>
      </c>
      <c r="AQ12" s="139" t="s">
        <v>1681</v>
      </c>
      <c r="AR12" s="155">
        <v>0</v>
      </c>
      <c r="AS12" s="29">
        <v>1</v>
      </c>
      <c r="AT12" s="1">
        <v>1.2164594125584303</v>
      </c>
      <c r="AU12" s="139" t="s">
        <v>1681</v>
      </c>
      <c r="AV12" s="155">
        <v>0</v>
      </c>
      <c r="AW12" s="29">
        <v>1</v>
      </c>
      <c r="AX12" s="1">
        <v>1.2164594125584303</v>
      </c>
      <c r="AY12" s="139" t="s">
        <v>1681</v>
      </c>
      <c r="AZ12" s="470" t="s">
        <v>402</v>
      </c>
      <c r="BA12" s="29">
        <v>1</v>
      </c>
      <c r="BB12" s="1">
        <v>1.2164594125584303</v>
      </c>
      <c r="BC12" s="139" t="s">
        <v>1681</v>
      </c>
      <c r="BD12" s="155">
        <v>0</v>
      </c>
      <c r="BE12" s="29">
        <v>1</v>
      </c>
      <c r="BF12" s="1">
        <v>1.2164594125584303</v>
      </c>
      <c r="BG12" s="139" t="s">
        <v>1681</v>
      </c>
      <c r="BH12" s="155">
        <v>0</v>
      </c>
      <c r="BI12" s="29">
        <v>1</v>
      </c>
      <c r="BJ12" s="1">
        <v>1.2164594125584303</v>
      </c>
      <c r="BK12" s="139" t="s">
        <v>1681</v>
      </c>
      <c r="BL12" s="155">
        <v>0</v>
      </c>
      <c r="BM12" s="29">
        <v>1</v>
      </c>
      <c r="BN12" s="1">
        <v>1.2164594125584303</v>
      </c>
      <c r="BO12" s="139" t="s">
        <v>1681</v>
      </c>
      <c r="BP12" s="155">
        <v>2.1924331819769377E-8</v>
      </c>
      <c r="BQ12" s="29">
        <v>1</v>
      </c>
      <c r="BR12" s="1">
        <v>1.2164594125584303</v>
      </c>
      <c r="BS12" s="139" t="s">
        <v>1681</v>
      </c>
      <c r="BT12" s="155">
        <v>1.6060308095706324E-8</v>
      </c>
      <c r="BU12" s="29">
        <v>1</v>
      </c>
      <c r="BV12" s="1">
        <v>1.2164594125584303</v>
      </c>
      <c r="BW12" s="139" t="s">
        <v>1681</v>
      </c>
      <c r="BX12" s="155">
        <v>0</v>
      </c>
      <c r="BY12" s="29">
        <v>1</v>
      </c>
      <c r="BZ12" s="1">
        <v>1.2164594125584303</v>
      </c>
      <c r="CA12" s="139" t="s">
        <v>1681</v>
      </c>
      <c r="CB12" s="155">
        <v>0</v>
      </c>
      <c r="CC12" s="29">
        <v>1</v>
      </c>
      <c r="CD12" s="1">
        <v>1.2164594125584303</v>
      </c>
      <c r="CE12" s="139" t="s">
        <v>1681</v>
      </c>
      <c r="CF12" s="155">
        <v>0</v>
      </c>
      <c r="CG12" s="29">
        <v>1</v>
      </c>
      <c r="CH12" s="1">
        <v>1.2164594125584303</v>
      </c>
      <c r="CI12" s="31" t="s">
        <v>1681</v>
      </c>
      <c r="CJ12" s="31"/>
    </row>
    <row r="13" spans="1:88" ht="24">
      <c r="A13" s="464" t="s">
        <v>502</v>
      </c>
      <c r="B13" s="168"/>
      <c r="C13" s="151"/>
      <c r="D13" s="152" t="s">
        <v>526</v>
      </c>
      <c r="E13" s="153" t="s">
        <v>402</v>
      </c>
      <c r="F13" s="144" t="s">
        <v>1676</v>
      </c>
      <c r="G13" s="125" t="s">
        <v>494</v>
      </c>
      <c r="H13" s="154" t="s">
        <v>402</v>
      </c>
      <c r="I13" s="123" t="s">
        <v>402</v>
      </c>
      <c r="J13" s="124">
        <v>1</v>
      </c>
      <c r="K13" s="125" t="s">
        <v>522</v>
      </c>
      <c r="L13" s="155">
        <v>4.2462619618368044E-9</v>
      </c>
      <c r="M13" s="29">
        <v>1</v>
      </c>
      <c r="N13" s="1">
        <v>1.2164594125584303</v>
      </c>
      <c r="O13" s="139" t="s">
        <v>1681</v>
      </c>
      <c r="P13" s="165">
        <v>0</v>
      </c>
      <c r="Q13" s="29">
        <v>1</v>
      </c>
      <c r="R13" s="1">
        <v>1.2164594125584303</v>
      </c>
      <c r="S13" s="139" t="s">
        <v>1681</v>
      </c>
      <c r="T13" s="165">
        <v>0</v>
      </c>
      <c r="U13" s="29">
        <v>1</v>
      </c>
      <c r="V13" s="1">
        <v>1.2164594125584303</v>
      </c>
      <c r="W13" s="139" t="s">
        <v>1681</v>
      </c>
      <c r="X13" s="165">
        <v>0</v>
      </c>
      <c r="Y13" s="29">
        <v>1</v>
      </c>
      <c r="Z13" s="1">
        <v>1.2164594125584303</v>
      </c>
      <c r="AA13" s="139" t="s">
        <v>1681</v>
      </c>
      <c r="AB13" s="165">
        <v>0</v>
      </c>
      <c r="AC13" s="29">
        <v>1</v>
      </c>
      <c r="AD13" s="1">
        <v>1.2164594125584303</v>
      </c>
      <c r="AE13" s="139" t="s">
        <v>1681</v>
      </c>
      <c r="AF13" s="155">
        <v>6.5959579625458928E-9</v>
      </c>
      <c r="AG13" s="29">
        <v>1</v>
      </c>
      <c r="AH13" s="1">
        <v>1.2164594125584303</v>
      </c>
      <c r="AI13" s="139" t="s">
        <v>1681</v>
      </c>
      <c r="AJ13" s="155">
        <v>3.9424403705893952E-9</v>
      </c>
      <c r="AK13" s="29">
        <v>1</v>
      </c>
      <c r="AL13" s="1">
        <v>1.2164594125584303</v>
      </c>
      <c r="AM13" s="139" t="s">
        <v>1681</v>
      </c>
      <c r="AN13" s="155">
        <v>0</v>
      </c>
      <c r="AO13" s="29">
        <v>1</v>
      </c>
      <c r="AP13" s="1">
        <v>1.2164594125584303</v>
      </c>
      <c r="AQ13" s="139" t="s">
        <v>1681</v>
      </c>
      <c r="AR13" s="155">
        <v>0</v>
      </c>
      <c r="AS13" s="29">
        <v>1</v>
      </c>
      <c r="AT13" s="1">
        <v>1.2164594125584303</v>
      </c>
      <c r="AU13" s="139" t="s">
        <v>1681</v>
      </c>
      <c r="AV13" s="155">
        <v>0</v>
      </c>
      <c r="AW13" s="29">
        <v>1</v>
      </c>
      <c r="AX13" s="1">
        <v>1.2164594125584303</v>
      </c>
      <c r="AY13" s="139" t="s">
        <v>1681</v>
      </c>
      <c r="AZ13" s="155">
        <v>2.0509762952754451E-8</v>
      </c>
      <c r="BA13" s="29">
        <v>1</v>
      </c>
      <c r="BB13" s="1">
        <v>1.2164594125584303</v>
      </c>
      <c r="BC13" s="139" t="s">
        <v>1681</v>
      </c>
      <c r="BD13" s="155">
        <v>0</v>
      </c>
      <c r="BE13" s="29">
        <v>1</v>
      </c>
      <c r="BF13" s="1">
        <v>1.2164594125584303</v>
      </c>
      <c r="BG13" s="139" t="s">
        <v>1681</v>
      </c>
      <c r="BH13" s="155">
        <v>4.8315723147726905E-9</v>
      </c>
      <c r="BI13" s="29">
        <v>1</v>
      </c>
      <c r="BJ13" s="1">
        <v>1.2164594125584303</v>
      </c>
      <c r="BK13" s="139" t="s">
        <v>1681</v>
      </c>
      <c r="BL13" s="155">
        <v>0</v>
      </c>
      <c r="BM13" s="29">
        <v>1</v>
      </c>
      <c r="BN13" s="1">
        <v>1.2164594125584303</v>
      </c>
      <c r="BO13" s="139" t="s">
        <v>1681</v>
      </c>
      <c r="BP13" s="155">
        <v>2.1885868079734691E-8</v>
      </c>
      <c r="BQ13" s="29">
        <v>1</v>
      </c>
      <c r="BR13" s="1">
        <v>1.2164594125584303</v>
      </c>
      <c r="BS13" s="139" t="s">
        <v>1681</v>
      </c>
      <c r="BT13" s="155">
        <v>1.9317957815888033E-8</v>
      </c>
      <c r="BU13" s="29">
        <v>1</v>
      </c>
      <c r="BV13" s="1">
        <v>1.2164594125584303</v>
      </c>
      <c r="BW13" s="139" t="s">
        <v>1681</v>
      </c>
      <c r="BX13" s="155">
        <v>0</v>
      </c>
      <c r="BY13" s="29">
        <v>1</v>
      </c>
      <c r="BZ13" s="1">
        <v>1.2164594125584303</v>
      </c>
      <c r="CA13" s="139" t="s">
        <v>1681</v>
      </c>
      <c r="CB13" s="155">
        <v>0</v>
      </c>
      <c r="CC13" s="29">
        <v>1</v>
      </c>
      <c r="CD13" s="1">
        <v>1.2164594125584303</v>
      </c>
      <c r="CE13" s="139" t="s">
        <v>1681</v>
      </c>
      <c r="CF13" s="155">
        <v>0</v>
      </c>
      <c r="CG13" s="29">
        <v>1</v>
      </c>
      <c r="CH13" s="1">
        <v>1.2164594125584303</v>
      </c>
      <c r="CI13" s="31" t="s">
        <v>1681</v>
      </c>
      <c r="CJ13" s="31"/>
    </row>
    <row r="14" spans="1:88" ht="24">
      <c r="A14" s="464" t="s">
        <v>503</v>
      </c>
      <c r="B14" s="168"/>
      <c r="C14" s="151"/>
      <c r="D14" s="152" t="s">
        <v>526</v>
      </c>
      <c r="E14" s="153" t="s">
        <v>402</v>
      </c>
      <c r="F14" s="144" t="s">
        <v>1677</v>
      </c>
      <c r="G14" s="125" t="s">
        <v>465</v>
      </c>
      <c r="H14" s="154" t="s">
        <v>402</v>
      </c>
      <c r="I14" s="123" t="s">
        <v>402</v>
      </c>
      <c r="J14" s="124">
        <v>1</v>
      </c>
      <c r="K14" s="125" t="s">
        <v>522</v>
      </c>
      <c r="L14" s="165">
        <v>0</v>
      </c>
      <c r="M14" s="29">
        <v>1</v>
      </c>
      <c r="N14" s="1">
        <v>1.2164594125584303</v>
      </c>
      <c r="O14" s="139" t="s">
        <v>1681</v>
      </c>
      <c r="P14" s="165">
        <v>0</v>
      </c>
      <c r="Q14" s="29">
        <v>1</v>
      </c>
      <c r="R14" s="1">
        <v>1.2164594125584303</v>
      </c>
      <c r="S14" s="139" t="s">
        <v>1681</v>
      </c>
      <c r="T14" s="165">
        <v>0</v>
      </c>
      <c r="U14" s="29">
        <v>1</v>
      </c>
      <c r="V14" s="1">
        <v>1.2164594125584303</v>
      </c>
      <c r="W14" s="139" t="s">
        <v>1681</v>
      </c>
      <c r="X14" s="165">
        <v>0</v>
      </c>
      <c r="Y14" s="29">
        <v>1</v>
      </c>
      <c r="Z14" s="1">
        <v>1.2164594125584303</v>
      </c>
      <c r="AA14" s="139" t="s">
        <v>1681</v>
      </c>
      <c r="AB14" s="165">
        <v>0</v>
      </c>
      <c r="AC14" s="29">
        <v>1</v>
      </c>
      <c r="AD14" s="1">
        <v>1.2164594125584303</v>
      </c>
      <c r="AE14" s="139" t="s">
        <v>1681</v>
      </c>
      <c r="AF14" s="165">
        <v>0</v>
      </c>
      <c r="AG14" s="29">
        <v>1</v>
      </c>
      <c r="AH14" s="1">
        <v>1.2164594125584303</v>
      </c>
      <c r="AI14" s="139" t="s">
        <v>1681</v>
      </c>
      <c r="AJ14" s="165" t="s">
        <v>402</v>
      </c>
      <c r="AK14" s="29">
        <v>1</v>
      </c>
      <c r="AL14" s="1">
        <v>1.2164594125584303</v>
      </c>
      <c r="AM14" s="139" t="s">
        <v>1681</v>
      </c>
      <c r="AN14" s="155">
        <v>0</v>
      </c>
      <c r="AO14" s="29">
        <v>1</v>
      </c>
      <c r="AP14" s="1">
        <v>1.2164594125584303</v>
      </c>
      <c r="AQ14" s="139" t="s">
        <v>1681</v>
      </c>
      <c r="AR14" s="155">
        <v>0</v>
      </c>
      <c r="AS14" s="29">
        <v>1</v>
      </c>
      <c r="AT14" s="1">
        <v>1.2164594125584303</v>
      </c>
      <c r="AU14" s="139" t="s">
        <v>1681</v>
      </c>
      <c r="AV14" s="155">
        <v>0</v>
      </c>
      <c r="AW14" s="29">
        <v>1</v>
      </c>
      <c r="AX14" s="1">
        <v>1.2164594125584303</v>
      </c>
      <c r="AY14" s="139" t="s">
        <v>1681</v>
      </c>
      <c r="AZ14" s="470" t="s">
        <v>402</v>
      </c>
      <c r="BA14" s="29">
        <v>1</v>
      </c>
      <c r="BB14" s="1">
        <v>1.2164594125584303</v>
      </c>
      <c r="BC14" s="139" t="s">
        <v>1681</v>
      </c>
      <c r="BD14" s="155">
        <v>0</v>
      </c>
      <c r="BE14" s="29">
        <v>1</v>
      </c>
      <c r="BF14" s="1">
        <v>1.2164594125584303</v>
      </c>
      <c r="BG14" s="139" t="s">
        <v>1681</v>
      </c>
      <c r="BH14" s="155">
        <v>0</v>
      </c>
      <c r="BI14" s="29">
        <v>1</v>
      </c>
      <c r="BJ14" s="1">
        <v>1.2164594125584303</v>
      </c>
      <c r="BK14" s="139" t="s">
        <v>1681</v>
      </c>
      <c r="BL14" s="155">
        <v>0</v>
      </c>
      <c r="BM14" s="29">
        <v>1</v>
      </c>
      <c r="BN14" s="1">
        <v>1.2164594125584303</v>
      </c>
      <c r="BO14" s="139" t="s">
        <v>1681</v>
      </c>
      <c r="BP14" s="155">
        <v>0</v>
      </c>
      <c r="BQ14" s="29">
        <v>1</v>
      </c>
      <c r="BR14" s="1">
        <v>1.2164594125584303</v>
      </c>
      <c r="BS14" s="139" t="s">
        <v>1681</v>
      </c>
      <c r="BT14" s="165" t="s">
        <v>402</v>
      </c>
      <c r="BU14" s="29">
        <v>1</v>
      </c>
      <c r="BV14" s="1">
        <v>1.2164594125584303</v>
      </c>
      <c r="BW14" s="139" t="s">
        <v>1681</v>
      </c>
      <c r="BX14" s="155">
        <v>0</v>
      </c>
      <c r="BY14" s="29">
        <v>1</v>
      </c>
      <c r="BZ14" s="1">
        <v>1.2164594125584303</v>
      </c>
      <c r="CA14" s="139" t="s">
        <v>1681</v>
      </c>
      <c r="CB14" s="155">
        <v>0</v>
      </c>
      <c r="CC14" s="29">
        <v>1</v>
      </c>
      <c r="CD14" s="1">
        <v>1.2164594125584303</v>
      </c>
      <c r="CE14" s="139" t="s">
        <v>1681</v>
      </c>
      <c r="CF14" s="155">
        <v>0</v>
      </c>
      <c r="CG14" s="29">
        <v>1</v>
      </c>
      <c r="CH14" s="1">
        <v>1.2164594125584303</v>
      </c>
      <c r="CI14" s="31" t="s">
        <v>1681</v>
      </c>
      <c r="CJ14" s="31"/>
    </row>
    <row r="15" spans="1:88" ht="24" outlineLevel="1">
      <c r="A15" s="467" t="s">
        <v>724</v>
      </c>
      <c r="B15" s="168"/>
      <c r="C15" s="151"/>
      <c r="D15" s="152" t="s">
        <v>526</v>
      </c>
      <c r="E15" s="153" t="s">
        <v>402</v>
      </c>
      <c r="F15" s="144" t="s">
        <v>118</v>
      </c>
      <c r="G15" s="125" t="s">
        <v>393</v>
      </c>
      <c r="H15" s="154" t="s">
        <v>402</v>
      </c>
      <c r="I15" s="123" t="s">
        <v>402</v>
      </c>
      <c r="J15" s="124">
        <v>1</v>
      </c>
      <c r="K15" s="125" t="s">
        <v>522</v>
      </c>
      <c r="L15" s="165">
        <v>0</v>
      </c>
      <c r="M15" s="29">
        <v>1</v>
      </c>
      <c r="N15" s="1">
        <v>1.2164594125584303</v>
      </c>
      <c r="O15" s="139" t="s">
        <v>1681</v>
      </c>
      <c r="P15" s="165">
        <v>0</v>
      </c>
      <c r="Q15" s="29">
        <v>1</v>
      </c>
      <c r="R15" s="1">
        <v>1.2164594125584303</v>
      </c>
      <c r="S15" s="139" t="s">
        <v>1681</v>
      </c>
      <c r="T15" s="165">
        <v>0</v>
      </c>
      <c r="U15" s="29">
        <v>1</v>
      </c>
      <c r="V15" s="1">
        <v>1.2164594125584303</v>
      </c>
      <c r="W15" s="139" t="s">
        <v>1681</v>
      </c>
      <c r="X15" s="165">
        <v>0</v>
      </c>
      <c r="Y15" s="29">
        <v>1</v>
      </c>
      <c r="Z15" s="1">
        <v>1.2164594125584303</v>
      </c>
      <c r="AA15" s="139" t="s">
        <v>1681</v>
      </c>
      <c r="AB15" s="165">
        <v>0</v>
      </c>
      <c r="AC15" s="29">
        <v>1</v>
      </c>
      <c r="AD15" s="1">
        <v>1.2164594125584303</v>
      </c>
      <c r="AE15" s="139" t="s">
        <v>1681</v>
      </c>
      <c r="AF15" s="165">
        <v>0</v>
      </c>
      <c r="AG15" s="29">
        <v>1</v>
      </c>
      <c r="AH15" s="1">
        <v>1.2164594125584303</v>
      </c>
      <c r="AI15" s="139" t="s">
        <v>1681</v>
      </c>
      <c r="AJ15" s="165" t="s">
        <v>402</v>
      </c>
      <c r="AK15" s="29">
        <v>1</v>
      </c>
      <c r="AL15" s="1">
        <v>1.2164594125584303</v>
      </c>
      <c r="AM15" s="139" t="s">
        <v>1681</v>
      </c>
      <c r="AN15" s="155">
        <v>0</v>
      </c>
      <c r="AO15" s="29">
        <v>1</v>
      </c>
      <c r="AP15" s="1">
        <v>1.2164594125584303</v>
      </c>
      <c r="AQ15" s="139" t="s">
        <v>1681</v>
      </c>
      <c r="AR15" s="155">
        <v>0</v>
      </c>
      <c r="AS15" s="29">
        <v>1</v>
      </c>
      <c r="AT15" s="1">
        <v>1.2164594125584303</v>
      </c>
      <c r="AU15" s="139" t="s">
        <v>1681</v>
      </c>
      <c r="AV15" s="155">
        <v>0</v>
      </c>
      <c r="AW15" s="29">
        <v>1</v>
      </c>
      <c r="AX15" s="1">
        <v>1.2164594125584303</v>
      </c>
      <c r="AY15" s="139" t="s">
        <v>1681</v>
      </c>
      <c r="AZ15" s="470" t="s">
        <v>402</v>
      </c>
      <c r="BA15" s="29">
        <v>1</v>
      </c>
      <c r="BB15" s="1">
        <v>1.2164594125584303</v>
      </c>
      <c r="BC15" s="139" t="s">
        <v>1681</v>
      </c>
      <c r="BD15" s="155">
        <v>0</v>
      </c>
      <c r="BE15" s="29">
        <v>1</v>
      </c>
      <c r="BF15" s="1">
        <v>1.2164594125584303</v>
      </c>
      <c r="BG15" s="139" t="s">
        <v>1681</v>
      </c>
      <c r="BH15" s="155">
        <v>0</v>
      </c>
      <c r="BI15" s="29">
        <v>1</v>
      </c>
      <c r="BJ15" s="1">
        <v>1.2164594125584303</v>
      </c>
      <c r="BK15" s="139" t="s">
        <v>1681</v>
      </c>
      <c r="BL15" s="155">
        <v>0</v>
      </c>
      <c r="BM15" s="29">
        <v>1</v>
      </c>
      <c r="BN15" s="1">
        <v>1.2164594125584303</v>
      </c>
      <c r="BO15" s="139" t="s">
        <v>1681</v>
      </c>
      <c r="BP15" s="155">
        <v>0</v>
      </c>
      <c r="BQ15" s="29">
        <v>1</v>
      </c>
      <c r="BR15" s="1">
        <v>1.2164594125584303</v>
      </c>
      <c r="BS15" s="139" t="s">
        <v>1681</v>
      </c>
      <c r="BT15" s="165" t="s">
        <v>402</v>
      </c>
      <c r="BU15" s="29">
        <v>1</v>
      </c>
      <c r="BV15" s="1">
        <v>1.2164594125584303</v>
      </c>
      <c r="BW15" s="139" t="s">
        <v>1681</v>
      </c>
      <c r="BX15" s="155">
        <v>0</v>
      </c>
      <c r="BY15" s="29">
        <v>1</v>
      </c>
      <c r="BZ15" s="1">
        <v>1.2164594125584303</v>
      </c>
      <c r="CA15" s="139" t="s">
        <v>1681</v>
      </c>
      <c r="CB15" s="155">
        <v>0</v>
      </c>
      <c r="CC15" s="29">
        <v>1</v>
      </c>
      <c r="CD15" s="1">
        <v>1.2164594125584303</v>
      </c>
      <c r="CE15" s="139" t="s">
        <v>1681</v>
      </c>
      <c r="CF15" s="155">
        <v>0</v>
      </c>
      <c r="CG15" s="29">
        <v>1</v>
      </c>
      <c r="CH15" s="1">
        <v>1.2164594125584303</v>
      </c>
      <c r="CI15" s="31" t="s">
        <v>1681</v>
      </c>
      <c r="CJ15" s="31"/>
    </row>
    <row r="16" spans="1:88" ht="24" outlineLevel="1">
      <c r="A16" s="467" t="s">
        <v>721</v>
      </c>
      <c r="B16" s="168"/>
      <c r="C16" s="151"/>
      <c r="D16" s="152" t="s">
        <v>526</v>
      </c>
      <c r="E16" s="153" t="s">
        <v>402</v>
      </c>
      <c r="F16" s="144" t="s">
        <v>119</v>
      </c>
      <c r="G16" s="125" t="s">
        <v>393</v>
      </c>
      <c r="H16" s="154" t="s">
        <v>402</v>
      </c>
      <c r="I16" s="123" t="s">
        <v>402</v>
      </c>
      <c r="J16" s="124">
        <v>1</v>
      </c>
      <c r="K16" s="125" t="s">
        <v>522</v>
      </c>
      <c r="L16" s="165">
        <v>0</v>
      </c>
      <c r="M16" s="29">
        <v>1</v>
      </c>
      <c r="N16" s="1">
        <v>1.2164594125584303</v>
      </c>
      <c r="O16" s="139" t="s">
        <v>1681</v>
      </c>
      <c r="P16" s="165">
        <v>0</v>
      </c>
      <c r="Q16" s="29">
        <v>1</v>
      </c>
      <c r="R16" s="1">
        <v>1.2164594125584303</v>
      </c>
      <c r="S16" s="139" t="s">
        <v>1681</v>
      </c>
      <c r="T16" s="165">
        <v>0</v>
      </c>
      <c r="U16" s="29">
        <v>1</v>
      </c>
      <c r="V16" s="1">
        <v>1.2164594125584303</v>
      </c>
      <c r="W16" s="139" t="s">
        <v>1681</v>
      </c>
      <c r="X16" s="165">
        <v>0</v>
      </c>
      <c r="Y16" s="29">
        <v>1</v>
      </c>
      <c r="Z16" s="1">
        <v>1.2164594125584303</v>
      </c>
      <c r="AA16" s="139" t="s">
        <v>1681</v>
      </c>
      <c r="AB16" s="165">
        <v>0</v>
      </c>
      <c r="AC16" s="29">
        <v>1</v>
      </c>
      <c r="AD16" s="1">
        <v>1.2164594125584303</v>
      </c>
      <c r="AE16" s="139" t="s">
        <v>1681</v>
      </c>
      <c r="AF16" s="165">
        <v>0</v>
      </c>
      <c r="AG16" s="29">
        <v>1</v>
      </c>
      <c r="AH16" s="1">
        <v>1.2164594125584303</v>
      </c>
      <c r="AI16" s="139" t="s">
        <v>1681</v>
      </c>
      <c r="AJ16" s="165" t="s">
        <v>402</v>
      </c>
      <c r="AK16" s="29">
        <v>1</v>
      </c>
      <c r="AL16" s="1">
        <v>1.2164594125584303</v>
      </c>
      <c r="AM16" s="139" t="s">
        <v>1681</v>
      </c>
      <c r="AN16" s="155">
        <v>0</v>
      </c>
      <c r="AO16" s="29">
        <v>1</v>
      </c>
      <c r="AP16" s="1">
        <v>1.2164594125584303</v>
      </c>
      <c r="AQ16" s="139" t="s">
        <v>1681</v>
      </c>
      <c r="AR16" s="155">
        <v>0</v>
      </c>
      <c r="AS16" s="29">
        <v>1</v>
      </c>
      <c r="AT16" s="1">
        <v>1.2164594125584303</v>
      </c>
      <c r="AU16" s="139" t="s">
        <v>1681</v>
      </c>
      <c r="AV16" s="155">
        <v>0</v>
      </c>
      <c r="AW16" s="29">
        <v>1</v>
      </c>
      <c r="AX16" s="1">
        <v>1.2164594125584303</v>
      </c>
      <c r="AY16" s="139" t="s">
        <v>1681</v>
      </c>
      <c r="AZ16" s="470" t="s">
        <v>402</v>
      </c>
      <c r="BA16" s="29">
        <v>1</v>
      </c>
      <c r="BB16" s="1">
        <v>1.2164594125584303</v>
      </c>
      <c r="BC16" s="139" t="s">
        <v>1681</v>
      </c>
      <c r="BD16" s="155">
        <v>0</v>
      </c>
      <c r="BE16" s="29">
        <v>1</v>
      </c>
      <c r="BF16" s="1">
        <v>1.2164594125584303</v>
      </c>
      <c r="BG16" s="139" t="s">
        <v>1681</v>
      </c>
      <c r="BH16" s="155">
        <v>0</v>
      </c>
      <c r="BI16" s="29">
        <v>1</v>
      </c>
      <c r="BJ16" s="1">
        <v>1.2164594125584303</v>
      </c>
      <c r="BK16" s="139" t="s">
        <v>1681</v>
      </c>
      <c r="BL16" s="155">
        <v>0</v>
      </c>
      <c r="BM16" s="29">
        <v>1</v>
      </c>
      <c r="BN16" s="1">
        <v>1.2164594125584303</v>
      </c>
      <c r="BO16" s="139" t="s">
        <v>1681</v>
      </c>
      <c r="BP16" s="155">
        <v>0</v>
      </c>
      <c r="BQ16" s="29">
        <v>1</v>
      </c>
      <c r="BR16" s="1">
        <v>1.2164594125584303</v>
      </c>
      <c r="BS16" s="139" t="s">
        <v>1681</v>
      </c>
      <c r="BT16" s="165" t="s">
        <v>402</v>
      </c>
      <c r="BU16" s="29">
        <v>1</v>
      </c>
      <c r="BV16" s="1">
        <v>1.2164594125584303</v>
      </c>
      <c r="BW16" s="139" t="s">
        <v>1681</v>
      </c>
      <c r="BX16" s="155">
        <v>0</v>
      </c>
      <c r="BY16" s="29">
        <v>1</v>
      </c>
      <c r="BZ16" s="1">
        <v>1.2164594125584303</v>
      </c>
      <c r="CA16" s="139" t="s">
        <v>1681</v>
      </c>
      <c r="CB16" s="155">
        <v>0</v>
      </c>
      <c r="CC16" s="29">
        <v>1</v>
      </c>
      <c r="CD16" s="1">
        <v>1.2164594125584303</v>
      </c>
      <c r="CE16" s="139" t="s">
        <v>1681</v>
      </c>
      <c r="CF16" s="155">
        <v>0</v>
      </c>
      <c r="CG16" s="29">
        <v>1</v>
      </c>
      <c r="CH16" s="1">
        <v>1.2164594125584303</v>
      </c>
      <c r="CI16" s="31" t="s">
        <v>1681</v>
      </c>
      <c r="CJ16" s="31"/>
    </row>
    <row r="17" spans="1:88" ht="24">
      <c r="A17" s="156" t="s">
        <v>1010</v>
      </c>
      <c r="B17" s="168"/>
      <c r="C17" s="151"/>
      <c r="D17" s="152" t="s">
        <v>526</v>
      </c>
      <c r="E17" s="153" t="s">
        <v>402</v>
      </c>
      <c r="F17" s="144" t="s">
        <v>121</v>
      </c>
      <c r="G17" s="125" t="s">
        <v>521</v>
      </c>
      <c r="H17" s="154" t="s">
        <v>402</v>
      </c>
      <c r="I17" s="123" t="s">
        <v>402</v>
      </c>
      <c r="J17" s="124">
        <v>1</v>
      </c>
      <c r="K17" s="125" t="s">
        <v>522</v>
      </c>
      <c r="L17" s="155">
        <v>2.2228113585483686E-7</v>
      </c>
      <c r="M17" s="29">
        <v>1</v>
      </c>
      <c r="N17" s="1">
        <v>1.2164594125584303</v>
      </c>
      <c r="O17" s="139" t="s">
        <v>1681</v>
      </c>
      <c r="P17" s="155">
        <v>1.9311970870309735E-7</v>
      </c>
      <c r="Q17" s="29">
        <v>1</v>
      </c>
      <c r="R17" s="1">
        <v>1.2164594125584303</v>
      </c>
      <c r="S17" s="139" t="s">
        <v>1681</v>
      </c>
      <c r="T17" s="155">
        <v>1.8994803465505382E-7</v>
      </c>
      <c r="U17" s="29">
        <v>1</v>
      </c>
      <c r="V17" s="1">
        <v>1.2164594125584303</v>
      </c>
      <c r="W17" s="139" t="s">
        <v>1681</v>
      </c>
      <c r="X17" s="155">
        <v>1.6980672592327816E-7</v>
      </c>
      <c r="Y17" s="29">
        <v>1</v>
      </c>
      <c r="Z17" s="1">
        <v>1.2164594125584303</v>
      </c>
      <c r="AA17" s="139" t="s">
        <v>1681</v>
      </c>
      <c r="AB17" s="155">
        <v>1.7290950662951741E-7</v>
      </c>
      <c r="AC17" s="29">
        <v>1</v>
      </c>
      <c r="AD17" s="1">
        <v>1.2164594125584303</v>
      </c>
      <c r="AE17" s="139" t="s">
        <v>1681</v>
      </c>
      <c r="AF17" s="155">
        <v>1.92722542434625E-7</v>
      </c>
      <c r="AG17" s="29">
        <v>1</v>
      </c>
      <c r="AH17" s="1">
        <v>1.2164594125584303</v>
      </c>
      <c r="AI17" s="139" t="s">
        <v>1681</v>
      </c>
      <c r="AJ17" s="155">
        <v>1.83753386596072E-8</v>
      </c>
      <c r="AK17" s="29">
        <v>1</v>
      </c>
      <c r="AL17" s="1">
        <v>1.2164594125584303</v>
      </c>
      <c r="AM17" s="139" t="s">
        <v>1681</v>
      </c>
      <c r="AN17" s="155">
        <v>1.3448517182295798E-7</v>
      </c>
      <c r="AO17" s="29">
        <v>1</v>
      </c>
      <c r="AP17" s="1">
        <v>1.2164594125584303</v>
      </c>
      <c r="AQ17" s="139" t="s">
        <v>1681</v>
      </c>
      <c r="AR17" s="155">
        <v>1.5867610212038031E-7</v>
      </c>
      <c r="AS17" s="29">
        <v>1</v>
      </c>
      <c r="AT17" s="1">
        <v>1.2164594125584303</v>
      </c>
      <c r="AU17" s="139" t="s">
        <v>1681</v>
      </c>
      <c r="AV17" s="155">
        <v>1.7854463634814665E-7</v>
      </c>
      <c r="AW17" s="29">
        <v>1</v>
      </c>
      <c r="AX17" s="1">
        <v>1.2164594125584303</v>
      </c>
      <c r="AY17" s="139" t="s">
        <v>1681</v>
      </c>
      <c r="AZ17" s="155">
        <v>7.8373150657168895E-7</v>
      </c>
      <c r="BA17" s="29">
        <v>1</v>
      </c>
      <c r="BB17" s="1">
        <v>1.2164594125584303</v>
      </c>
      <c r="BC17" s="139" t="s">
        <v>1681</v>
      </c>
      <c r="BD17" s="155">
        <v>1.7885141407383074E-7</v>
      </c>
      <c r="BE17" s="29">
        <v>1</v>
      </c>
      <c r="BF17" s="1">
        <v>1.2164594125584303</v>
      </c>
      <c r="BG17" s="139" t="s">
        <v>1681</v>
      </c>
      <c r="BH17" s="155">
        <v>1.588958474462426E-7</v>
      </c>
      <c r="BI17" s="29">
        <v>1</v>
      </c>
      <c r="BJ17" s="1">
        <v>1.2164594125584303</v>
      </c>
      <c r="BK17" s="139" t="s">
        <v>1681</v>
      </c>
      <c r="BL17" s="155">
        <v>1.5443846141093399E-7</v>
      </c>
      <c r="BM17" s="29">
        <v>1</v>
      </c>
      <c r="BN17" s="1">
        <v>1.2164594125584303</v>
      </c>
      <c r="BO17" s="139" t="s">
        <v>1681</v>
      </c>
      <c r="BP17" s="165" t="s">
        <v>402</v>
      </c>
      <c r="BQ17" s="29">
        <v>1</v>
      </c>
      <c r="BR17" s="1">
        <v>1.2164594125584303</v>
      </c>
      <c r="BS17" s="139" t="s">
        <v>1681</v>
      </c>
      <c r="BT17" s="155">
        <v>0</v>
      </c>
      <c r="BU17" s="29">
        <v>1</v>
      </c>
      <c r="BV17" s="1">
        <v>1.2164594125584303</v>
      </c>
      <c r="BW17" s="139" t="s">
        <v>1681</v>
      </c>
      <c r="BX17" s="155">
        <v>1.6289753206724486E-7</v>
      </c>
      <c r="BY17" s="29">
        <v>1</v>
      </c>
      <c r="BZ17" s="1">
        <v>1.2164594125584303</v>
      </c>
      <c r="CA17" s="139" t="s">
        <v>1681</v>
      </c>
      <c r="CB17" s="155">
        <v>1.9134471138045859E-7</v>
      </c>
      <c r="CC17" s="29">
        <v>1</v>
      </c>
      <c r="CD17" s="1">
        <v>1.2164594125584303</v>
      </c>
      <c r="CE17" s="139" t="s">
        <v>1681</v>
      </c>
      <c r="CF17" s="155">
        <v>1.2391847975115417E-7</v>
      </c>
      <c r="CG17" s="29">
        <v>1</v>
      </c>
      <c r="CH17" s="1">
        <v>1.2164594125584303</v>
      </c>
      <c r="CI17" s="31" t="s">
        <v>1681</v>
      </c>
      <c r="CJ17" s="31"/>
    </row>
    <row r="18" spans="1:88" ht="24">
      <c r="A18" s="156" t="s">
        <v>1011</v>
      </c>
      <c r="B18" s="168" t="s">
        <v>525</v>
      </c>
      <c r="C18" s="151"/>
      <c r="D18" s="152" t="s">
        <v>526</v>
      </c>
      <c r="E18" s="153" t="s">
        <v>402</v>
      </c>
      <c r="F18" s="144" t="s">
        <v>122</v>
      </c>
      <c r="G18" s="125" t="s">
        <v>521</v>
      </c>
      <c r="H18" s="154" t="s">
        <v>402</v>
      </c>
      <c r="I18" s="123" t="s">
        <v>402</v>
      </c>
      <c r="J18" s="124">
        <v>1</v>
      </c>
      <c r="K18" s="125" t="s">
        <v>522</v>
      </c>
      <c r="L18" s="155">
        <v>8.8912454341934746E-7</v>
      </c>
      <c r="M18" s="29">
        <v>1</v>
      </c>
      <c r="N18" s="1">
        <v>1.2164594125584303</v>
      </c>
      <c r="O18" s="139" t="s">
        <v>1681</v>
      </c>
      <c r="P18" s="155">
        <v>7.724788348123894E-7</v>
      </c>
      <c r="Q18" s="29">
        <v>1</v>
      </c>
      <c r="R18" s="1">
        <v>1.2164594125584303</v>
      </c>
      <c r="S18" s="139" t="s">
        <v>1681</v>
      </c>
      <c r="T18" s="155">
        <v>7.5979213862021529E-7</v>
      </c>
      <c r="U18" s="29">
        <v>1</v>
      </c>
      <c r="V18" s="1">
        <v>1.2164594125584303</v>
      </c>
      <c r="W18" s="139" t="s">
        <v>1681</v>
      </c>
      <c r="X18" s="155">
        <v>6.7922690369311262E-7</v>
      </c>
      <c r="Y18" s="29">
        <v>1</v>
      </c>
      <c r="Z18" s="1">
        <v>1.2164594125584303</v>
      </c>
      <c r="AA18" s="139" t="s">
        <v>1681</v>
      </c>
      <c r="AB18" s="155">
        <v>6.9163802651806965E-7</v>
      </c>
      <c r="AC18" s="29">
        <v>1</v>
      </c>
      <c r="AD18" s="1">
        <v>1.2164594125584303</v>
      </c>
      <c r="AE18" s="139" t="s">
        <v>1681</v>
      </c>
      <c r="AF18" s="155">
        <v>7.7089016973849999E-7</v>
      </c>
      <c r="AG18" s="29">
        <v>1</v>
      </c>
      <c r="AH18" s="1">
        <v>1.2164594125584303</v>
      </c>
      <c r="AI18" s="139" t="s">
        <v>1681</v>
      </c>
      <c r="AJ18" s="155">
        <v>7.3501354638428801E-8</v>
      </c>
      <c r="AK18" s="29">
        <v>1</v>
      </c>
      <c r="AL18" s="1">
        <v>1.2164594125584303</v>
      </c>
      <c r="AM18" s="139" t="s">
        <v>1681</v>
      </c>
      <c r="AN18" s="155">
        <v>5.3794068729183193E-7</v>
      </c>
      <c r="AO18" s="29">
        <v>1</v>
      </c>
      <c r="AP18" s="1">
        <v>1.2164594125584303</v>
      </c>
      <c r="AQ18" s="139" t="s">
        <v>1681</v>
      </c>
      <c r="AR18" s="155">
        <v>6.3470440848152122E-7</v>
      </c>
      <c r="AS18" s="29">
        <v>1</v>
      </c>
      <c r="AT18" s="1">
        <v>1.2164594125584303</v>
      </c>
      <c r="AU18" s="139" t="s">
        <v>1681</v>
      </c>
      <c r="AV18" s="155">
        <v>7.1417854539258661E-7</v>
      </c>
      <c r="AW18" s="29">
        <v>1</v>
      </c>
      <c r="AX18" s="1">
        <v>1.2164594125584303</v>
      </c>
      <c r="AY18" s="139" t="s">
        <v>1681</v>
      </c>
      <c r="AZ18" s="155">
        <v>5.0319291809459287E-7</v>
      </c>
      <c r="BA18" s="29">
        <v>1</v>
      </c>
      <c r="BB18" s="1">
        <v>1.2164594125584303</v>
      </c>
      <c r="BC18" s="139" t="s">
        <v>1681</v>
      </c>
      <c r="BD18" s="155">
        <v>7.1540565629532295E-7</v>
      </c>
      <c r="BE18" s="29">
        <v>1</v>
      </c>
      <c r="BF18" s="1">
        <v>1.2164594125584303</v>
      </c>
      <c r="BG18" s="139" t="s">
        <v>1681</v>
      </c>
      <c r="BH18" s="155">
        <v>6.3558338978497041E-7</v>
      </c>
      <c r="BI18" s="29">
        <v>1</v>
      </c>
      <c r="BJ18" s="1">
        <v>1.2164594125584303</v>
      </c>
      <c r="BK18" s="139" t="s">
        <v>1681</v>
      </c>
      <c r="BL18" s="155">
        <v>6.1775384564373594E-7</v>
      </c>
      <c r="BM18" s="29">
        <v>1</v>
      </c>
      <c r="BN18" s="1">
        <v>1.2164594125584303</v>
      </c>
      <c r="BO18" s="139" t="s">
        <v>1681</v>
      </c>
      <c r="BP18" s="165" t="s">
        <v>402</v>
      </c>
      <c r="BQ18" s="29">
        <v>1</v>
      </c>
      <c r="BR18" s="1">
        <v>1.2164594125584303</v>
      </c>
      <c r="BS18" s="139" t="s">
        <v>1681</v>
      </c>
      <c r="BT18" s="155">
        <v>0</v>
      </c>
      <c r="BU18" s="29">
        <v>1</v>
      </c>
      <c r="BV18" s="1">
        <v>1.2164594125584303</v>
      </c>
      <c r="BW18" s="139" t="s">
        <v>1681</v>
      </c>
      <c r="BX18" s="155">
        <v>6.5159012826897946E-7</v>
      </c>
      <c r="BY18" s="29">
        <v>1</v>
      </c>
      <c r="BZ18" s="1">
        <v>1.2164594125584303</v>
      </c>
      <c r="CA18" s="139" t="s">
        <v>1681</v>
      </c>
      <c r="CB18" s="155">
        <v>7.6537884552183437E-7</v>
      </c>
      <c r="CC18" s="29">
        <v>1</v>
      </c>
      <c r="CD18" s="1">
        <v>1.2164594125584303</v>
      </c>
      <c r="CE18" s="139" t="s">
        <v>1681</v>
      </c>
      <c r="CF18" s="155">
        <v>4.9567391900461667E-7</v>
      </c>
      <c r="CG18" s="29">
        <v>1</v>
      </c>
      <c r="CH18" s="1">
        <v>1.2164594125584303</v>
      </c>
      <c r="CI18" s="31" t="s">
        <v>1681</v>
      </c>
      <c r="CJ18" s="31"/>
    </row>
    <row r="19" spans="1:88" ht="24">
      <c r="A19" s="156" t="s">
        <v>1015</v>
      </c>
      <c r="B19" s="168" t="s">
        <v>525</v>
      </c>
      <c r="C19" s="151"/>
      <c r="D19" s="152" t="s">
        <v>526</v>
      </c>
      <c r="E19" s="153" t="s">
        <v>402</v>
      </c>
      <c r="F19" s="144" t="s">
        <v>123</v>
      </c>
      <c r="G19" s="125" t="s">
        <v>521</v>
      </c>
      <c r="H19" s="154" t="s">
        <v>402</v>
      </c>
      <c r="I19" s="123" t="s">
        <v>402</v>
      </c>
      <c r="J19" s="124">
        <v>1</v>
      </c>
      <c r="K19" s="125" t="s">
        <v>522</v>
      </c>
      <c r="L19" s="155">
        <v>2.3718955732219342E-7</v>
      </c>
      <c r="M19" s="29">
        <v>1</v>
      </c>
      <c r="N19" s="1">
        <v>1.2164594125584303</v>
      </c>
      <c r="O19" s="139" t="s">
        <v>1681</v>
      </c>
      <c r="P19" s="155">
        <v>2.9418834181385115E-7</v>
      </c>
      <c r="Q19" s="29">
        <v>1</v>
      </c>
      <c r="R19" s="1">
        <v>1.2164594125584303</v>
      </c>
      <c r="S19" s="139" t="s">
        <v>1681</v>
      </c>
      <c r="T19" s="155">
        <v>2.8935678145559453E-7</v>
      </c>
      <c r="U19" s="29">
        <v>1</v>
      </c>
      <c r="V19" s="1">
        <v>1.2164594125584303</v>
      </c>
      <c r="W19" s="139" t="s">
        <v>1681</v>
      </c>
      <c r="X19" s="155">
        <v>2.5867457787547441E-7</v>
      </c>
      <c r="Y19" s="29">
        <v>1</v>
      </c>
      <c r="Z19" s="1">
        <v>1.2164594125584303</v>
      </c>
      <c r="AA19" s="139" t="s">
        <v>1681</v>
      </c>
      <c r="AB19" s="155">
        <v>2.6340118976356443E-7</v>
      </c>
      <c r="AC19" s="29">
        <v>1</v>
      </c>
      <c r="AD19" s="1">
        <v>1.2164594125584303</v>
      </c>
      <c r="AE19" s="139" t="s">
        <v>1681</v>
      </c>
      <c r="AF19" s="155">
        <v>2.3650334915678406E-7</v>
      </c>
      <c r="AG19" s="29">
        <v>1</v>
      </c>
      <c r="AH19" s="1">
        <v>1.2164594125584303</v>
      </c>
      <c r="AI19" s="139" t="s">
        <v>1681</v>
      </c>
      <c r="AJ19" s="155">
        <v>2.4704913889798864E-8</v>
      </c>
      <c r="AK19" s="29">
        <v>1</v>
      </c>
      <c r="AL19" s="1">
        <v>1.2164594125584303</v>
      </c>
      <c r="AM19" s="139" t="s">
        <v>1681</v>
      </c>
      <c r="AN19" s="155">
        <v>2.0486759203832788E-7</v>
      </c>
      <c r="AO19" s="29">
        <v>1</v>
      </c>
      <c r="AP19" s="1">
        <v>1.2164594125584303</v>
      </c>
      <c r="AQ19" s="139" t="s">
        <v>1681</v>
      </c>
      <c r="AR19" s="155">
        <v>2.417187747525393E-7</v>
      </c>
      <c r="AS19" s="29">
        <v>1</v>
      </c>
      <c r="AT19" s="1">
        <v>1.2164594125584303</v>
      </c>
      <c r="AU19" s="139" t="s">
        <v>1681</v>
      </c>
      <c r="AV19" s="155">
        <v>2.7198544809205114E-7</v>
      </c>
      <c r="AW19" s="29">
        <v>1</v>
      </c>
      <c r="AX19" s="1">
        <v>1.2164594125584303</v>
      </c>
      <c r="AY19" s="139" t="s">
        <v>1681</v>
      </c>
      <c r="AZ19" s="155">
        <v>3.8107286506686237E-7</v>
      </c>
      <c r="BA19" s="29">
        <v>1</v>
      </c>
      <c r="BB19" s="1">
        <v>1.2164594125584303</v>
      </c>
      <c r="BC19" s="139" t="s">
        <v>1681</v>
      </c>
      <c r="BD19" s="155">
        <v>2.7245277704066287E-7</v>
      </c>
      <c r="BE19" s="29">
        <v>1</v>
      </c>
      <c r="BF19" s="1">
        <v>1.2164594125584303</v>
      </c>
      <c r="BG19" s="139" t="s">
        <v>1681</v>
      </c>
      <c r="BH19" s="155">
        <v>2.4205352315015707E-7</v>
      </c>
      <c r="BI19" s="29">
        <v>1</v>
      </c>
      <c r="BJ19" s="1">
        <v>1.2164594125584303</v>
      </c>
      <c r="BK19" s="139" t="s">
        <v>1681</v>
      </c>
      <c r="BL19" s="155">
        <v>2.352633772072193E-7</v>
      </c>
      <c r="BM19" s="29">
        <v>1</v>
      </c>
      <c r="BN19" s="1">
        <v>1.2164594125584303</v>
      </c>
      <c r="BO19" s="139" t="s">
        <v>1681</v>
      </c>
      <c r="BP19" s="165" t="s">
        <v>402</v>
      </c>
      <c r="BQ19" s="29">
        <v>1</v>
      </c>
      <c r="BR19" s="1">
        <v>1.2164594125584303</v>
      </c>
      <c r="BS19" s="139" t="s">
        <v>1681</v>
      </c>
      <c r="BT19" s="155">
        <v>0</v>
      </c>
      <c r="BU19" s="29">
        <v>1</v>
      </c>
      <c r="BV19" s="1">
        <v>1.2164594125584303</v>
      </c>
      <c r="BW19" s="139" t="s">
        <v>1681</v>
      </c>
      <c r="BX19" s="155">
        <v>2.4814947768022814E-7</v>
      </c>
      <c r="BY19" s="29">
        <v>1</v>
      </c>
      <c r="BZ19" s="1">
        <v>1.2164594125584303</v>
      </c>
      <c r="CA19" s="139" t="s">
        <v>1681</v>
      </c>
      <c r="CB19" s="155">
        <v>2.914844048486503E-7</v>
      </c>
      <c r="CC19" s="29">
        <v>1</v>
      </c>
      <c r="CD19" s="1">
        <v>1.2164594125584303</v>
      </c>
      <c r="CE19" s="139" t="s">
        <v>1681</v>
      </c>
      <c r="CF19" s="155">
        <v>1.8877085266388786E-7</v>
      </c>
      <c r="CG19" s="29">
        <v>1</v>
      </c>
      <c r="CH19" s="1">
        <v>1.2164594125584303</v>
      </c>
      <c r="CI19" s="31" t="s">
        <v>1681</v>
      </c>
      <c r="CJ19" s="31"/>
    </row>
    <row r="20" spans="1:88" ht="24">
      <c r="A20" s="156" t="s">
        <v>1016</v>
      </c>
      <c r="B20" s="168" t="s">
        <v>525</v>
      </c>
      <c r="C20" s="151"/>
      <c r="D20" s="152" t="s">
        <v>526</v>
      </c>
      <c r="E20" s="153" t="s">
        <v>402</v>
      </c>
      <c r="F20" s="144" t="s">
        <v>124</v>
      </c>
      <c r="G20" s="125" t="s">
        <v>521</v>
      </c>
      <c r="H20" s="154" t="s">
        <v>402</v>
      </c>
      <c r="I20" s="123" t="s">
        <v>402</v>
      </c>
      <c r="J20" s="124">
        <v>1</v>
      </c>
      <c r="K20" s="125" t="s">
        <v>522</v>
      </c>
      <c r="L20" s="155">
        <v>9.4875822928877366E-7</v>
      </c>
      <c r="M20" s="29">
        <v>1</v>
      </c>
      <c r="N20" s="1">
        <v>1.2164594125584303</v>
      </c>
      <c r="O20" s="139" t="s">
        <v>1681</v>
      </c>
      <c r="P20" s="155">
        <v>1.1767533672554046E-6</v>
      </c>
      <c r="Q20" s="29">
        <v>1</v>
      </c>
      <c r="R20" s="1">
        <v>1.2164594125584303</v>
      </c>
      <c r="S20" s="139" t="s">
        <v>1681</v>
      </c>
      <c r="T20" s="155">
        <v>1.1574271258223781E-6</v>
      </c>
      <c r="U20" s="29">
        <v>1</v>
      </c>
      <c r="V20" s="1">
        <v>1.2164594125584303</v>
      </c>
      <c r="W20" s="139" t="s">
        <v>1681</v>
      </c>
      <c r="X20" s="155">
        <v>1.0346983115018977E-6</v>
      </c>
      <c r="Y20" s="29">
        <v>1</v>
      </c>
      <c r="Z20" s="1">
        <v>1.2164594125584303</v>
      </c>
      <c r="AA20" s="139" t="s">
        <v>1681</v>
      </c>
      <c r="AB20" s="155">
        <v>1.0536047590542577E-6</v>
      </c>
      <c r="AC20" s="29">
        <v>1</v>
      </c>
      <c r="AD20" s="1">
        <v>1.2164594125584303</v>
      </c>
      <c r="AE20" s="139" t="s">
        <v>1681</v>
      </c>
      <c r="AF20" s="155">
        <v>9.4601339662713623E-7</v>
      </c>
      <c r="AG20" s="29">
        <v>1</v>
      </c>
      <c r="AH20" s="1">
        <v>1.2164594125584303</v>
      </c>
      <c r="AI20" s="139" t="s">
        <v>1681</v>
      </c>
      <c r="AJ20" s="155">
        <v>9.8819655559195455E-8</v>
      </c>
      <c r="AK20" s="29">
        <v>1</v>
      </c>
      <c r="AL20" s="1">
        <v>1.2164594125584303</v>
      </c>
      <c r="AM20" s="139" t="s">
        <v>1681</v>
      </c>
      <c r="AN20" s="155">
        <v>8.1947036815331151E-7</v>
      </c>
      <c r="AO20" s="29">
        <v>1</v>
      </c>
      <c r="AP20" s="1">
        <v>1.2164594125584303</v>
      </c>
      <c r="AQ20" s="139" t="s">
        <v>1681</v>
      </c>
      <c r="AR20" s="155">
        <v>9.6687509901015719E-7</v>
      </c>
      <c r="AS20" s="29">
        <v>1</v>
      </c>
      <c r="AT20" s="1">
        <v>1.2164594125584303</v>
      </c>
      <c r="AU20" s="139" t="s">
        <v>1681</v>
      </c>
      <c r="AV20" s="155">
        <v>1.0879417923682046E-6</v>
      </c>
      <c r="AW20" s="29">
        <v>1</v>
      </c>
      <c r="AX20" s="1">
        <v>1.2164594125584303</v>
      </c>
      <c r="AY20" s="139" t="s">
        <v>1681</v>
      </c>
      <c r="AZ20" s="155">
        <v>2.4466691127227461E-7</v>
      </c>
      <c r="BA20" s="29">
        <v>1</v>
      </c>
      <c r="BB20" s="1">
        <v>1.2164594125584303</v>
      </c>
      <c r="BC20" s="139" t="s">
        <v>1681</v>
      </c>
      <c r="BD20" s="155">
        <v>1.0898111081626515E-6</v>
      </c>
      <c r="BE20" s="29">
        <v>1</v>
      </c>
      <c r="BF20" s="1">
        <v>1.2164594125584303</v>
      </c>
      <c r="BG20" s="139" t="s">
        <v>1681</v>
      </c>
      <c r="BH20" s="155">
        <v>9.6821409260062829E-7</v>
      </c>
      <c r="BI20" s="29">
        <v>1</v>
      </c>
      <c r="BJ20" s="1">
        <v>1.2164594125584303</v>
      </c>
      <c r="BK20" s="139" t="s">
        <v>1681</v>
      </c>
      <c r="BL20" s="155">
        <v>9.4105350882887721E-7</v>
      </c>
      <c r="BM20" s="29">
        <v>1</v>
      </c>
      <c r="BN20" s="1">
        <v>1.2164594125584303</v>
      </c>
      <c r="BO20" s="139" t="s">
        <v>1681</v>
      </c>
      <c r="BP20" s="165" t="s">
        <v>402</v>
      </c>
      <c r="BQ20" s="29">
        <v>1</v>
      </c>
      <c r="BR20" s="1">
        <v>1.2164594125584303</v>
      </c>
      <c r="BS20" s="139" t="s">
        <v>1681</v>
      </c>
      <c r="BT20" s="155">
        <v>0</v>
      </c>
      <c r="BU20" s="29">
        <v>1</v>
      </c>
      <c r="BV20" s="1">
        <v>1.2164594125584303</v>
      </c>
      <c r="BW20" s="139" t="s">
        <v>1681</v>
      </c>
      <c r="BX20" s="155">
        <v>9.9259791072091257E-7</v>
      </c>
      <c r="BY20" s="29">
        <v>1</v>
      </c>
      <c r="BZ20" s="1">
        <v>1.2164594125584303</v>
      </c>
      <c r="CA20" s="139" t="s">
        <v>1681</v>
      </c>
      <c r="CB20" s="155">
        <v>1.1659376193946012E-6</v>
      </c>
      <c r="CC20" s="29">
        <v>1</v>
      </c>
      <c r="CD20" s="1">
        <v>1.2164594125584303</v>
      </c>
      <c r="CE20" s="139" t="s">
        <v>1681</v>
      </c>
      <c r="CF20" s="155">
        <v>7.5508341065555145E-7</v>
      </c>
      <c r="CG20" s="29">
        <v>1</v>
      </c>
      <c r="CH20" s="1">
        <v>1.2164594125584303</v>
      </c>
      <c r="CI20" s="31" t="s">
        <v>1681</v>
      </c>
      <c r="CJ20" s="31"/>
    </row>
    <row r="21" spans="1:88" ht="24">
      <c r="A21" s="156" t="s">
        <v>1012</v>
      </c>
      <c r="B21" s="168" t="s">
        <v>525</v>
      </c>
      <c r="C21" s="151"/>
      <c r="D21" s="152" t="s">
        <v>526</v>
      </c>
      <c r="E21" s="153" t="s">
        <v>402</v>
      </c>
      <c r="F21" s="144" t="s">
        <v>125</v>
      </c>
      <c r="G21" s="125" t="s">
        <v>521</v>
      </c>
      <c r="H21" s="154" t="s">
        <v>402</v>
      </c>
      <c r="I21" s="123" t="s">
        <v>402</v>
      </c>
      <c r="J21" s="124">
        <v>1</v>
      </c>
      <c r="K21" s="125" t="s">
        <v>522</v>
      </c>
      <c r="L21" s="155">
        <v>1.1737229072069973E-6</v>
      </c>
      <c r="M21" s="29">
        <v>1</v>
      </c>
      <c r="N21" s="1">
        <v>1.2164594125584303</v>
      </c>
      <c r="O21" s="139" t="s">
        <v>1681</v>
      </c>
      <c r="P21" s="155">
        <v>1.0567667308727866E-6</v>
      </c>
      <c r="Q21" s="29">
        <v>1</v>
      </c>
      <c r="R21" s="1">
        <v>1.2164594125584303</v>
      </c>
      <c r="S21" s="139" t="s">
        <v>1681</v>
      </c>
      <c r="T21" s="155">
        <v>1.0180100048016577E-6</v>
      </c>
      <c r="U21" s="29">
        <v>1</v>
      </c>
      <c r="V21" s="1">
        <v>1.2164594125584303</v>
      </c>
      <c r="W21" s="139" t="s">
        <v>1681</v>
      </c>
      <c r="X21" s="155">
        <v>9.7968492226794814E-7</v>
      </c>
      <c r="Y21" s="29">
        <v>1</v>
      </c>
      <c r="Z21" s="1">
        <v>1.2164594125584303</v>
      </c>
      <c r="AA21" s="139" t="s">
        <v>1681</v>
      </c>
      <c r="AB21" s="155">
        <v>1.0093723441548555E-6</v>
      </c>
      <c r="AC21" s="29">
        <v>1</v>
      </c>
      <c r="AD21" s="1">
        <v>1.2164594125584303</v>
      </c>
      <c r="AE21" s="139" t="s">
        <v>1681</v>
      </c>
      <c r="AF21" s="155">
        <v>5.1831104820731325E-7</v>
      </c>
      <c r="AG21" s="29">
        <v>1</v>
      </c>
      <c r="AH21" s="1">
        <v>1.2164594125584303</v>
      </c>
      <c r="AI21" s="139" t="s">
        <v>1681</v>
      </c>
      <c r="AJ21" s="155">
        <v>4.3688073408608745E-7</v>
      </c>
      <c r="AK21" s="29">
        <v>1</v>
      </c>
      <c r="AL21" s="1">
        <v>1.2164594125584303</v>
      </c>
      <c r="AM21" s="139" t="s">
        <v>1681</v>
      </c>
      <c r="AN21" s="155">
        <v>6.5159012826897946E-7</v>
      </c>
      <c r="AO21" s="29">
        <v>1</v>
      </c>
      <c r="AP21" s="1">
        <v>1.2164594125584303</v>
      </c>
      <c r="AQ21" s="139" t="s">
        <v>1681</v>
      </c>
      <c r="AR21" s="155">
        <v>8.4284634000784995E-7</v>
      </c>
      <c r="AS21" s="29">
        <v>1</v>
      </c>
      <c r="AT21" s="1">
        <v>1.2164594125584303</v>
      </c>
      <c r="AU21" s="139" t="s">
        <v>1681</v>
      </c>
      <c r="AV21" s="155">
        <v>1.0267967742635708E-6</v>
      </c>
      <c r="AW21" s="29">
        <v>1</v>
      </c>
      <c r="AX21" s="1">
        <v>1.2164594125584303</v>
      </c>
      <c r="AY21" s="139" t="s">
        <v>1681</v>
      </c>
      <c r="AZ21" s="155">
        <v>1.2577836676064915E-6</v>
      </c>
      <c r="BA21" s="29">
        <v>1</v>
      </c>
      <c r="BB21" s="1">
        <v>1.2164594125584303</v>
      </c>
      <c r="BC21" s="139" t="s">
        <v>1681</v>
      </c>
      <c r="BD21" s="155">
        <v>9.6604661708556362E-7</v>
      </c>
      <c r="BE21" s="29">
        <v>1</v>
      </c>
      <c r="BF21" s="1">
        <v>1.2164594125584303</v>
      </c>
      <c r="BG21" s="139" t="s">
        <v>1681</v>
      </c>
      <c r="BH21" s="155">
        <v>8.7661727123841296E-7</v>
      </c>
      <c r="BI21" s="29">
        <v>1</v>
      </c>
      <c r="BJ21" s="1">
        <v>1.2164594125584303</v>
      </c>
      <c r="BK21" s="139" t="s">
        <v>1681</v>
      </c>
      <c r="BL21" s="155">
        <v>9.5716342980201836E-7</v>
      </c>
      <c r="BM21" s="29">
        <v>1</v>
      </c>
      <c r="BN21" s="1">
        <v>1.2164594125584303</v>
      </c>
      <c r="BO21" s="139" t="s">
        <v>1681</v>
      </c>
      <c r="BP21" s="165" t="s">
        <v>402</v>
      </c>
      <c r="BQ21" s="29">
        <v>1</v>
      </c>
      <c r="BR21" s="1">
        <v>1.2164594125584303</v>
      </c>
      <c r="BS21" s="139" t="s">
        <v>1681</v>
      </c>
      <c r="BT21" s="155">
        <v>0</v>
      </c>
      <c r="BU21" s="29">
        <v>1</v>
      </c>
      <c r="BV21" s="1">
        <v>1.2164594125584303</v>
      </c>
      <c r="BW21" s="139" t="s">
        <v>1681</v>
      </c>
      <c r="BX21" s="155">
        <v>9.682932371252976E-7</v>
      </c>
      <c r="BY21" s="29">
        <v>1</v>
      </c>
      <c r="BZ21" s="1">
        <v>1.2164594125584303</v>
      </c>
      <c r="CA21" s="139" t="s">
        <v>1681</v>
      </c>
      <c r="CB21" s="155">
        <v>1.0567667308727866E-6</v>
      </c>
      <c r="CC21" s="29">
        <v>1</v>
      </c>
      <c r="CD21" s="1">
        <v>1.2164594125584303</v>
      </c>
      <c r="CE21" s="139" t="s">
        <v>1681</v>
      </c>
      <c r="CF21" s="155">
        <v>5.9480870280553979E-7</v>
      </c>
      <c r="CG21" s="29">
        <v>1</v>
      </c>
      <c r="CH21" s="1">
        <v>1.2164594125584303</v>
      </c>
      <c r="CI21" s="31" t="s">
        <v>1681</v>
      </c>
      <c r="CJ21" s="31"/>
    </row>
    <row r="22" spans="1:88" ht="24">
      <c r="A22" s="156" t="s">
        <v>1017</v>
      </c>
      <c r="B22" s="168" t="s">
        <v>525</v>
      </c>
      <c r="C22" s="151"/>
      <c r="D22" s="152" t="s">
        <v>526</v>
      </c>
      <c r="E22" s="153" t="s">
        <v>402</v>
      </c>
      <c r="F22" s="144" t="s">
        <v>126</v>
      </c>
      <c r="G22" s="125" t="s">
        <v>521</v>
      </c>
      <c r="H22" s="154" t="s">
        <v>402</v>
      </c>
      <c r="I22" s="123" t="s">
        <v>402</v>
      </c>
      <c r="J22" s="124">
        <v>1</v>
      </c>
      <c r="K22" s="125" t="s">
        <v>522</v>
      </c>
      <c r="L22" s="155">
        <v>1.2524446382222663E-6</v>
      </c>
      <c r="M22" s="29">
        <v>1</v>
      </c>
      <c r="N22" s="1">
        <v>1.2164594125584303</v>
      </c>
      <c r="O22" s="139" t="s">
        <v>1681</v>
      </c>
      <c r="P22" s="155">
        <v>1.6098224998747794E-6</v>
      </c>
      <c r="Q22" s="29">
        <v>1</v>
      </c>
      <c r="R22" s="1">
        <v>1.2164594125584303</v>
      </c>
      <c r="S22" s="139" t="s">
        <v>1681</v>
      </c>
      <c r="T22" s="155">
        <v>1.5507825548915971E-6</v>
      </c>
      <c r="U22" s="29">
        <v>1</v>
      </c>
      <c r="V22" s="1">
        <v>1.2164594125584303</v>
      </c>
      <c r="W22" s="139" t="s">
        <v>1681</v>
      </c>
      <c r="X22" s="155">
        <v>1.4924001528250897E-6</v>
      </c>
      <c r="Y22" s="29">
        <v>1</v>
      </c>
      <c r="Z22" s="1">
        <v>1.2164594125584303</v>
      </c>
      <c r="AA22" s="139" t="s">
        <v>1681</v>
      </c>
      <c r="AB22" s="155">
        <v>1.5376243998803952E-6</v>
      </c>
      <c r="AC22" s="29">
        <v>1</v>
      </c>
      <c r="AD22" s="1">
        <v>1.2164594125584303</v>
      </c>
      <c r="AE22" s="139" t="s">
        <v>1681</v>
      </c>
      <c r="AF22" s="155">
        <v>6.3605584099003407E-7</v>
      </c>
      <c r="AG22" s="29">
        <v>1</v>
      </c>
      <c r="AH22" s="1">
        <v>1.2164594125584303</v>
      </c>
      <c r="AI22" s="139" t="s">
        <v>1681</v>
      </c>
      <c r="AJ22" s="155">
        <v>5.8736881619680709E-7</v>
      </c>
      <c r="AK22" s="29">
        <v>1</v>
      </c>
      <c r="AL22" s="1">
        <v>1.2164594125584303</v>
      </c>
      <c r="AM22" s="139" t="s">
        <v>1681</v>
      </c>
      <c r="AN22" s="155">
        <v>9.9259791072091257E-7</v>
      </c>
      <c r="AO22" s="29">
        <v>1</v>
      </c>
      <c r="AP22" s="1">
        <v>1.2164594125584303</v>
      </c>
      <c r="AQ22" s="139" t="s">
        <v>1681</v>
      </c>
      <c r="AR22" s="155">
        <v>1.2839474999001277E-6</v>
      </c>
      <c r="AS22" s="29">
        <v>1</v>
      </c>
      <c r="AT22" s="1">
        <v>1.2164594125584303</v>
      </c>
      <c r="AU22" s="139" t="s">
        <v>1681</v>
      </c>
      <c r="AV22" s="155">
        <v>1.5641678543789476E-6</v>
      </c>
      <c r="AW22" s="29">
        <v>1</v>
      </c>
      <c r="AX22" s="1">
        <v>1.2164594125584303</v>
      </c>
      <c r="AY22" s="139" t="s">
        <v>1681</v>
      </c>
      <c r="AZ22" s="155">
        <v>6.1157069969761253E-7</v>
      </c>
      <c r="BA22" s="29">
        <v>1</v>
      </c>
      <c r="BB22" s="1">
        <v>1.2164594125584303</v>
      </c>
      <c r="BC22" s="139" t="s">
        <v>1681</v>
      </c>
      <c r="BD22" s="155">
        <v>1.4716242806279888E-6</v>
      </c>
      <c r="BE22" s="29">
        <v>1</v>
      </c>
      <c r="BF22" s="1">
        <v>1.2164594125584303</v>
      </c>
      <c r="BG22" s="139" t="s">
        <v>1681</v>
      </c>
      <c r="BH22" s="155">
        <v>1.3353923489367582E-6</v>
      </c>
      <c r="BI22" s="29">
        <v>1</v>
      </c>
      <c r="BJ22" s="1">
        <v>1.2164594125584303</v>
      </c>
      <c r="BK22" s="139" t="s">
        <v>1681</v>
      </c>
      <c r="BL22" s="155">
        <v>1.4580921033348581E-6</v>
      </c>
      <c r="BM22" s="29">
        <v>1</v>
      </c>
      <c r="BN22" s="1">
        <v>1.2164594125584303</v>
      </c>
      <c r="BO22" s="139" t="s">
        <v>1681</v>
      </c>
      <c r="BP22" s="155">
        <v>8.9012528634521976E-8</v>
      </c>
      <c r="BQ22" s="29">
        <v>1</v>
      </c>
      <c r="BR22" s="1">
        <v>1.2164594125584303</v>
      </c>
      <c r="BS22" s="139" t="s">
        <v>1681</v>
      </c>
      <c r="BT22" s="155">
        <v>0</v>
      </c>
      <c r="BU22" s="29">
        <v>1</v>
      </c>
      <c r="BV22" s="1">
        <v>1.2164594125584303</v>
      </c>
      <c r="BW22" s="139" t="s">
        <v>1681</v>
      </c>
      <c r="BX22" s="155">
        <v>1.475046662675961E-6</v>
      </c>
      <c r="BY22" s="29">
        <v>1</v>
      </c>
      <c r="BZ22" s="1">
        <v>1.2164594125584303</v>
      </c>
      <c r="CA22" s="139" t="s">
        <v>1681</v>
      </c>
      <c r="CB22" s="155">
        <v>1.6098224998747794E-6</v>
      </c>
      <c r="CC22" s="29">
        <v>1</v>
      </c>
      <c r="CD22" s="1">
        <v>1.2164594125584303</v>
      </c>
      <c r="CE22" s="139" t="s">
        <v>1681</v>
      </c>
      <c r="CF22" s="155">
        <v>9.0610009278666153E-7</v>
      </c>
      <c r="CG22" s="29">
        <v>1</v>
      </c>
      <c r="CH22" s="1">
        <v>1.2164594125584303</v>
      </c>
      <c r="CI22" s="31" t="s">
        <v>1681</v>
      </c>
      <c r="CJ22" s="31"/>
    </row>
    <row r="23" spans="1:88" ht="24">
      <c r="A23" s="156" t="s">
        <v>1013</v>
      </c>
      <c r="B23" s="168" t="s">
        <v>525</v>
      </c>
      <c r="C23" s="151"/>
      <c r="D23" s="152" t="s">
        <v>526</v>
      </c>
      <c r="E23" s="153" t="s">
        <v>402</v>
      </c>
      <c r="F23" s="144" t="s">
        <v>127</v>
      </c>
      <c r="G23" s="125" t="s">
        <v>521</v>
      </c>
      <c r="H23" s="154" t="s">
        <v>402</v>
      </c>
      <c r="I23" s="123" t="s">
        <v>402</v>
      </c>
      <c r="J23" s="124">
        <v>1</v>
      </c>
      <c r="K23" s="125" t="s">
        <v>522</v>
      </c>
      <c r="L23" s="155">
        <v>1.4671536340087467E-7</v>
      </c>
      <c r="M23" s="29">
        <v>1</v>
      </c>
      <c r="N23" s="1">
        <v>1.2164594125584303</v>
      </c>
      <c r="O23" s="139" t="s">
        <v>1681</v>
      </c>
      <c r="P23" s="155">
        <v>1.3209584135909832E-7</v>
      </c>
      <c r="Q23" s="29">
        <v>1</v>
      </c>
      <c r="R23" s="1">
        <v>1.2164594125584303</v>
      </c>
      <c r="S23" s="139" t="s">
        <v>1681</v>
      </c>
      <c r="T23" s="155">
        <v>1.2725125060020721E-7</v>
      </c>
      <c r="U23" s="29">
        <v>1</v>
      </c>
      <c r="V23" s="1">
        <v>1.2164594125584303</v>
      </c>
      <c r="W23" s="139" t="s">
        <v>1681</v>
      </c>
      <c r="X23" s="155">
        <v>1.2246061528349352E-7</v>
      </c>
      <c r="Y23" s="29">
        <v>1</v>
      </c>
      <c r="Z23" s="1">
        <v>1.2164594125584303</v>
      </c>
      <c r="AA23" s="139" t="s">
        <v>1681</v>
      </c>
      <c r="AB23" s="155">
        <v>1.2617154301935694E-7</v>
      </c>
      <c r="AC23" s="29">
        <v>1</v>
      </c>
      <c r="AD23" s="1">
        <v>1.2164594125584303</v>
      </c>
      <c r="AE23" s="139" t="s">
        <v>1681</v>
      </c>
      <c r="AF23" s="155">
        <v>9.8282602550294416E-8</v>
      </c>
      <c r="AG23" s="29">
        <v>1</v>
      </c>
      <c r="AH23" s="1">
        <v>1.2164594125584303</v>
      </c>
      <c r="AI23" s="139" t="s">
        <v>1681</v>
      </c>
      <c r="AJ23" s="155">
        <v>8.1749961726355123E-8</v>
      </c>
      <c r="AK23" s="29">
        <v>1</v>
      </c>
      <c r="AL23" s="1">
        <v>1.2164594125584303</v>
      </c>
      <c r="AM23" s="139" t="s">
        <v>1681</v>
      </c>
      <c r="AN23" s="155">
        <v>8.1448766033622432E-8</v>
      </c>
      <c r="AO23" s="29">
        <v>1</v>
      </c>
      <c r="AP23" s="1">
        <v>1.2164594125584303</v>
      </c>
      <c r="AQ23" s="139" t="s">
        <v>1681</v>
      </c>
      <c r="AR23" s="155">
        <v>1.0535579250098124E-7</v>
      </c>
      <c r="AS23" s="29">
        <v>1</v>
      </c>
      <c r="AT23" s="1">
        <v>1.2164594125584303</v>
      </c>
      <c r="AU23" s="139" t="s">
        <v>1681</v>
      </c>
      <c r="AV23" s="155">
        <v>1.2834959678294635E-7</v>
      </c>
      <c r="AW23" s="29">
        <v>1</v>
      </c>
      <c r="AX23" s="1">
        <v>1.2164594125584303</v>
      </c>
      <c r="AY23" s="139" t="s">
        <v>1681</v>
      </c>
      <c r="AZ23" s="155">
        <v>2.0326747959535368E-7</v>
      </c>
      <c r="BA23" s="29">
        <v>1</v>
      </c>
      <c r="BB23" s="1">
        <v>1.2164594125584303</v>
      </c>
      <c r="BC23" s="139" t="s">
        <v>1681</v>
      </c>
      <c r="BD23" s="155">
        <v>1.2075582713569545E-7</v>
      </c>
      <c r="BE23" s="29">
        <v>1</v>
      </c>
      <c r="BF23" s="1">
        <v>1.2164594125584303</v>
      </c>
      <c r="BG23" s="139" t="s">
        <v>1681</v>
      </c>
      <c r="BH23" s="155">
        <v>1.0957715890480162E-7</v>
      </c>
      <c r="BI23" s="29">
        <v>1</v>
      </c>
      <c r="BJ23" s="1">
        <v>1.2164594125584303</v>
      </c>
      <c r="BK23" s="139" t="s">
        <v>1681</v>
      </c>
      <c r="BL23" s="155">
        <v>1.196454287252523E-7</v>
      </c>
      <c r="BM23" s="29">
        <v>1</v>
      </c>
      <c r="BN23" s="1">
        <v>1.2164594125584303</v>
      </c>
      <c r="BO23" s="139" t="s">
        <v>1681</v>
      </c>
      <c r="BP23" s="165" t="s">
        <v>402</v>
      </c>
      <c r="BQ23" s="29">
        <v>1</v>
      </c>
      <c r="BR23" s="1">
        <v>1.2164594125584303</v>
      </c>
      <c r="BS23" s="139" t="s">
        <v>1681</v>
      </c>
      <c r="BT23" s="155">
        <v>0</v>
      </c>
      <c r="BU23" s="29">
        <v>1</v>
      </c>
      <c r="BV23" s="1">
        <v>1.2164594125584303</v>
      </c>
      <c r="BW23" s="139" t="s">
        <v>1681</v>
      </c>
      <c r="BX23" s="155">
        <v>1.210366546406622E-7</v>
      </c>
      <c r="BY23" s="29">
        <v>1</v>
      </c>
      <c r="BZ23" s="1">
        <v>1.2164594125584303</v>
      </c>
      <c r="CA23" s="139" t="s">
        <v>1681</v>
      </c>
      <c r="CB23" s="155">
        <v>1.3209584135909832E-7</v>
      </c>
      <c r="CC23" s="29">
        <v>1</v>
      </c>
      <c r="CD23" s="1">
        <v>1.2164594125584303</v>
      </c>
      <c r="CE23" s="139" t="s">
        <v>1681</v>
      </c>
      <c r="CF23" s="155">
        <v>7.4351087850692473E-8</v>
      </c>
      <c r="CG23" s="29">
        <v>1</v>
      </c>
      <c r="CH23" s="1">
        <v>1.2164594125584303</v>
      </c>
      <c r="CI23" s="31" t="s">
        <v>1681</v>
      </c>
      <c r="CJ23" s="31"/>
    </row>
    <row r="24" spans="1:88" ht="24">
      <c r="A24" s="156" t="s">
        <v>1014</v>
      </c>
      <c r="B24" s="168" t="s">
        <v>525</v>
      </c>
      <c r="C24" s="151"/>
      <c r="D24" s="152" t="s">
        <v>526</v>
      </c>
      <c r="E24" s="153" t="s">
        <v>402</v>
      </c>
      <c r="F24" s="144" t="s">
        <v>128</v>
      </c>
      <c r="G24" s="125" t="s">
        <v>521</v>
      </c>
      <c r="H24" s="154" t="s">
        <v>402</v>
      </c>
      <c r="I24" s="123" t="s">
        <v>402</v>
      </c>
      <c r="J24" s="124">
        <v>1</v>
      </c>
      <c r="K24" s="125" t="s">
        <v>522</v>
      </c>
      <c r="L24" s="155">
        <v>3.8145994484227418E-6</v>
      </c>
      <c r="M24" s="29">
        <v>1</v>
      </c>
      <c r="N24" s="1">
        <v>1.2164594125584303</v>
      </c>
      <c r="O24" s="139" t="s">
        <v>1681</v>
      </c>
      <c r="P24" s="155">
        <v>3.4344918753365569E-6</v>
      </c>
      <c r="Q24" s="29">
        <v>1</v>
      </c>
      <c r="R24" s="1">
        <v>1.2164594125584303</v>
      </c>
      <c r="S24" s="139" t="s">
        <v>1681</v>
      </c>
      <c r="T24" s="155">
        <v>3.3085325156053876E-6</v>
      </c>
      <c r="U24" s="29">
        <v>1</v>
      </c>
      <c r="V24" s="1">
        <v>1.2164594125584303</v>
      </c>
      <c r="W24" s="139" t="s">
        <v>1681</v>
      </c>
      <c r="X24" s="155">
        <v>3.1839759973708314E-6</v>
      </c>
      <c r="Y24" s="29">
        <v>1</v>
      </c>
      <c r="Z24" s="1">
        <v>1.2164594125584303</v>
      </c>
      <c r="AA24" s="139" t="s">
        <v>1681</v>
      </c>
      <c r="AB24" s="155">
        <v>3.2804601185032804E-6</v>
      </c>
      <c r="AC24" s="29">
        <v>1</v>
      </c>
      <c r="AD24" s="1">
        <v>1.2164594125584303</v>
      </c>
      <c r="AE24" s="139" t="s">
        <v>1681</v>
      </c>
      <c r="AF24" s="155">
        <v>2.5239252338276525E-6</v>
      </c>
      <c r="AG24" s="29">
        <v>1</v>
      </c>
      <c r="AH24" s="1">
        <v>1.2164594125584303</v>
      </c>
      <c r="AI24" s="139" t="s">
        <v>1681</v>
      </c>
      <c r="AJ24" s="155">
        <v>3.7051347974835773E-6</v>
      </c>
      <c r="AK24" s="29">
        <v>1</v>
      </c>
      <c r="AL24" s="1">
        <v>1.2164594125584303</v>
      </c>
      <c r="AM24" s="139" t="s">
        <v>1681</v>
      </c>
      <c r="AN24" s="155">
        <v>2.1176679168741835E-6</v>
      </c>
      <c r="AO24" s="29">
        <v>1</v>
      </c>
      <c r="AP24" s="1">
        <v>1.2164594125584303</v>
      </c>
      <c r="AQ24" s="139" t="s">
        <v>1681</v>
      </c>
      <c r="AR24" s="155">
        <v>2.7392506050255127E-6</v>
      </c>
      <c r="AS24" s="29">
        <v>1</v>
      </c>
      <c r="AT24" s="1">
        <v>1.2164594125584303</v>
      </c>
      <c r="AU24" s="139" t="s">
        <v>1681</v>
      </c>
      <c r="AV24" s="155">
        <v>3.3370895163566054E-6</v>
      </c>
      <c r="AW24" s="29">
        <v>1</v>
      </c>
      <c r="AX24" s="1">
        <v>1.2164594125584303</v>
      </c>
      <c r="AY24" s="139" t="s">
        <v>1681</v>
      </c>
      <c r="AZ24" s="155">
        <v>1.8714458158670302E-6</v>
      </c>
      <c r="BA24" s="29">
        <v>1</v>
      </c>
      <c r="BB24" s="1">
        <v>1.2164594125584303</v>
      </c>
      <c r="BC24" s="139" t="s">
        <v>1681</v>
      </c>
      <c r="BD24" s="155">
        <v>3.1396515055280822E-6</v>
      </c>
      <c r="BE24" s="29">
        <v>1</v>
      </c>
      <c r="BF24" s="1">
        <v>1.2164594125584303</v>
      </c>
      <c r="BG24" s="139" t="s">
        <v>1681</v>
      </c>
      <c r="BH24" s="155">
        <v>2.849006131524842E-6</v>
      </c>
      <c r="BI24" s="29">
        <v>1</v>
      </c>
      <c r="BJ24" s="1">
        <v>1.2164594125584303</v>
      </c>
      <c r="BK24" s="139" t="s">
        <v>1681</v>
      </c>
      <c r="BL24" s="155">
        <v>3.1107811468565599E-6</v>
      </c>
      <c r="BM24" s="29">
        <v>1</v>
      </c>
      <c r="BN24" s="1">
        <v>1.2164594125584303</v>
      </c>
      <c r="BO24" s="139" t="s">
        <v>1681</v>
      </c>
      <c r="BP24" s="165" t="s">
        <v>402</v>
      </c>
      <c r="BQ24" s="29">
        <v>1</v>
      </c>
      <c r="BR24" s="1">
        <v>1.2164594125584303</v>
      </c>
      <c r="BS24" s="139" t="s">
        <v>1681</v>
      </c>
      <c r="BT24" s="155">
        <v>0</v>
      </c>
      <c r="BU24" s="29">
        <v>1</v>
      </c>
      <c r="BV24" s="1">
        <v>1.2164594125584303</v>
      </c>
      <c r="BW24" s="139" t="s">
        <v>1681</v>
      </c>
      <c r="BX24" s="155">
        <v>3.1469530206572175E-6</v>
      </c>
      <c r="BY24" s="29">
        <v>1</v>
      </c>
      <c r="BZ24" s="1">
        <v>1.2164594125584303</v>
      </c>
      <c r="CA24" s="139" t="s">
        <v>1681</v>
      </c>
      <c r="CB24" s="155">
        <v>3.4344918753365569E-6</v>
      </c>
      <c r="CC24" s="29">
        <v>1</v>
      </c>
      <c r="CD24" s="1">
        <v>1.2164594125584303</v>
      </c>
      <c r="CE24" s="139" t="s">
        <v>1681</v>
      </c>
      <c r="CF24" s="155">
        <v>1.9331282841180047E-6</v>
      </c>
      <c r="CG24" s="29">
        <v>1</v>
      </c>
      <c r="CH24" s="1">
        <v>1.2164594125584303</v>
      </c>
      <c r="CI24" s="31" t="s">
        <v>1681</v>
      </c>
      <c r="CJ24" s="31"/>
    </row>
    <row r="25" spans="1:88" ht="24">
      <c r="A25" s="156" t="s">
        <v>1018</v>
      </c>
      <c r="B25" s="168" t="s">
        <v>525</v>
      </c>
      <c r="C25" s="151"/>
      <c r="D25" s="152" t="s">
        <v>526</v>
      </c>
      <c r="E25" s="153" t="s">
        <v>402</v>
      </c>
      <c r="F25" s="144" t="s">
        <v>129</v>
      </c>
      <c r="G25" s="125" t="s">
        <v>521</v>
      </c>
      <c r="H25" s="154" t="s">
        <v>402</v>
      </c>
      <c r="I25" s="123" t="s">
        <v>402</v>
      </c>
      <c r="J25" s="124">
        <v>1</v>
      </c>
      <c r="K25" s="125" t="s">
        <v>522</v>
      </c>
      <c r="L25" s="155">
        <v>1.5655557977778329E-7</v>
      </c>
      <c r="M25" s="29">
        <v>1</v>
      </c>
      <c r="N25" s="1">
        <v>1.2164594125584303</v>
      </c>
      <c r="O25" s="139" t="s">
        <v>1681</v>
      </c>
      <c r="P25" s="155">
        <v>2.0122781248434743E-7</v>
      </c>
      <c r="Q25" s="29">
        <v>1</v>
      </c>
      <c r="R25" s="1">
        <v>1.2164594125584303</v>
      </c>
      <c r="S25" s="139" t="s">
        <v>1681</v>
      </c>
      <c r="T25" s="155">
        <v>1.9384781936144964E-7</v>
      </c>
      <c r="U25" s="29">
        <v>1</v>
      </c>
      <c r="V25" s="1">
        <v>1.2164594125584303</v>
      </c>
      <c r="W25" s="139" t="s">
        <v>1681</v>
      </c>
      <c r="X25" s="155">
        <v>1.8655001910313622E-7</v>
      </c>
      <c r="Y25" s="29">
        <v>1</v>
      </c>
      <c r="Z25" s="1">
        <v>1.2164594125584303</v>
      </c>
      <c r="AA25" s="139" t="s">
        <v>1681</v>
      </c>
      <c r="AB25" s="155">
        <v>1.9220304998504941E-7</v>
      </c>
      <c r="AC25" s="29">
        <v>1</v>
      </c>
      <c r="AD25" s="1">
        <v>1.2164594125584303</v>
      </c>
      <c r="AE25" s="139" t="s">
        <v>1681</v>
      </c>
      <c r="AF25" s="155">
        <v>1.2060947501704198E-7</v>
      </c>
      <c r="AG25" s="29">
        <v>1</v>
      </c>
      <c r="AH25" s="1">
        <v>1.2164594125584303</v>
      </c>
      <c r="AI25" s="139" t="s">
        <v>1681</v>
      </c>
      <c r="AJ25" s="155">
        <v>1.0990958057189508E-7</v>
      </c>
      <c r="AK25" s="29">
        <v>1</v>
      </c>
      <c r="AL25" s="1">
        <v>1.2164594125584303</v>
      </c>
      <c r="AM25" s="139" t="s">
        <v>1681</v>
      </c>
      <c r="AN25" s="155">
        <v>1.2407473884011407E-7</v>
      </c>
      <c r="AO25" s="29">
        <v>1</v>
      </c>
      <c r="AP25" s="1">
        <v>1.2164594125584303</v>
      </c>
      <c r="AQ25" s="139" t="s">
        <v>1681</v>
      </c>
      <c r="AR25" s="155">
        <v>1.6049343748751596E-7</v>
      </c>
      <c r="AS25" s="29">
        <v>1</v>
      </c>
      <c r="AT25" s="1">
        <v>1.2164594125584303</v>
      </c>
      <c r="AU25" s="139" t="s">
        <v>1681</v>
      </c>
      <c r="AV25" s="155">
        <v>1.9552098179736845E-7</v>
      </c>
      <c r="AW25" s="29">
        <v>1</v>
      </c>
      <c r="AX25" s="1">
        <v>1.2164594125584303</v>
      </c>
      <c r="AY25" s="139" t="s">
        <v>1681</v>
      </c>
      <c r="AZ25" s="155">
        <v>9.8834511787278873E-8</v>
      </c>
      <c r="BA25" s="29">
        <v>1</v>
      </c>
      <c r="BB25" s="1">
        <v>1.2164594125584303</v>
      </c>
      <c r="BC25" s="139" t="s">
        <v>1681</v>
      </c>
      <c r="BD25" s="155">
        <v>1.8395303507849859E-7</v>
      </c>
      <c r="BE25" s="29">
        <v>1</v>
      </c>
      <c r="BF25" s="1">
        <v>1.2164594125584303</v>
      </c>
      <c r="BG25" s="139" t="s">
        <v>1681</v>
      </c>
      <c r="BH25" s="155">
        <v>1.6692404361709478E-7</v>
      </c>
      <c r="BI25" s="29">
        <v>1</v>
      </c>
      <c r="BJ25" s="1">
        <v>1.2164594125584303</v>
      </c>
      <c r="BK25" s="139" t="s">
        <v>1681</v>
      </c>
      <c r="BL25" s="155">
        <v>1.8226151291685726E-7</v>
      </c>
      <c r="BM25" s="29">
        <v>1</v>
      </c>
      <c r="BN25" s="1">
        <v>1.2164594125584303</v>
      </c>
      <c r="BO25" s="139" t="s">
        <v>1681</v>
      </c>
      <c r="BP25" s="165" t="s">
        <v>402</v>
      </c>
      <c r="BQ25" s="29">
        <v>1</v>
      </c>
      <c r="BR25" s="1">
        <v>1.2164594125584303</v>
      </c>
      <c r="BS25" s="139" t="s">
        <v>1681</v>
      </c>
      <c r="BT25" s="155">
        <v>0</v>
      </c>
      <c r="BU25" s="29">
        <v>1</v>
      </c>
      <c r="BV25" s="1">
        <v>1.2164594125584303</v>
      </c>
      <c r="BW25" s="139" t="s">
        <v>1681</v>
      </c>
      <c r="BX25" s="155">
        <v>1.8438083283449513E-7</v>
      </c>
      <c r="BY25" s="29">
        <v>1</v>
      </c>
      <c r="BZ25" s="1">
        <v>1.2164594125584303</v>
      </c>
      <c r="CA25" s="139" t="s">
        <v>1681</v>
      </c>
      <c r="CB25" s="155">
        <v>2.0122781248434743E-7</v>
      </c>
      <c r="CC25" s="29">
        <v>1</v>
      </c>
      <c r="CD25" s="1">
        <v>1.2164594125584303</v>
      </c>
      <c r="CE25" s="139" t="s">
        <v>1681</v>
      </c>
      <c r="CF25" s="155">
        <v>1.1326251159833269E-7</v>
      </c>
      <c r="CG25" s="29">
        <v>1</v>
      </c>
      <c r="CH25" s="1">
        <v>1.2164594125584303</v>
      </c>
      <c r="CI25" s="31" t="s">
        <v>1681</v>
      </c>
      <c r="CJ25" s="31"/>
    </row>
    <row r="26" spans="1:88" ht="24">
      <c r="A26" s="156" t="s">
        <v>1019</v>
      </c>
      <c r="B26" s="168" t="s">
        <v>525</v>
      </c>
      <c r="C26" s="151"/>
      <c r="D26" s="152" t="s">
        <v>526</v>
      </c>
      <c r="E26" s="153" t="s">
        <v>402</v>
      </c>
      <c r="F26" s="144" t="s">
        <v>130</v>
      </c>
      <c r="G26" s="125" t="s">
        <v>521</v>
      </c>
      <c r="H26" s="154" t="s">
        <v>402</v>
      </c>
      <c r="I26" s="123" t="s">
        <v>402</v>
      </c>
      <c r="J26" s="124">
        <v>1</v>
      </c>
      <c r="K26" s="125" t="s">
        <v>522</v>
      </c>
      <c r="L26" s="155">
        <v>4.0704450742223663E-6</v>
      </c>
      <c r="M26" s="29">
        <v>1</v>
      </c>
      <c r="N26" s="1">
        <v>1.2164594125584303</v>
      </c>
      <c r="O26" s="139" t="s">
        <v>1681</v>
      </c>
      <c r="P26" s="155">
        <v>5.2319231245930343E-6</v>
      </c>
      <c r="Q26" s="29">
        <v>1</v>
      </c>
      <c r="R26" s="1">
        <v>1.2164594125584303</v>
      </c>
      <c r="S26" s="139" t="s">
        <v>1681</v>
      </c>
      <c r="T26" s="155">
        <v>5.0400433033976914E-6</v>
      </c>
      <c r="U26" s="29">
        <v>1</v>
      </c>
      <c r="V26" s="1">
        <v>1.2164594125584303</v>
      </c>
      <c r="W26" s="139" t="s">
        <v>1681</v>
      </c>
      <c r="X26" s="155">
        <v>4.8503004966815423E-6</v>
      </c>
      <c r="Y26" s="29">
        <v>1</v>
      </c>
      <c r="Z26" s="1">
        <v>1.2164594125584303</v>
      </c>
      <c r="AA26" s="139" t="s">
        <v>1681</v>
      </c>
      <c r="AB26" s="155">
        <v>4.9972792996112859E-6</v>
      </c>
      <c r="AC26" s="29">
        <v>1</v>
      </c>
      <c r="AD26" s="1">
        <v>1.2164594125584303</v>
      </c>
      <c r="AE26" s="139" t="s">
        <v>1681</v>
      </c>
      <c r="AF26" s="155">
        <v>3.097285679613967E-6</v>
      </c>
      <c r="AG26" s="29">
        <v>1</v>
      </c>
      <c r="AH26" s="1">
        <v>1.2164594125584303</v>
      </c>
      <c r="AI26" s="139" t="s">
        <v>1681</v>
      </c>
      <c r="AJ26" s="155">
        <v>4.981406754866624E-6</v>
      </c>
      <c r="AK26" s="29">
        <v>1</v>
      </c>
      <c r="AL26" s="1">
        <v>1.2164594125584303</v>
      </c>
      <c r="AM26" s="139" t="s">
        <v>1681</v>
      </c>
      <c r="AN26" s="155">
        <v>3.2259432098429662E-6</v>
      </c>
      <c r="AO26" s="29">
        <v>1</v>
      </c>
      <c r="AP26" s="1">
        <v>1.2164594125584303</v>
      </c>
      <c r="AQ26" s="139" t="s">
        <v>1681</v>
      </c>
      <c r="AR26" s="155">
        <v>4.1728293746754157E-6</v>
      </c>
      <c r="AS26" s="29">
        <v>1</v>
      </c>
      <c r="AT26" s="1">
        <v>1.2164594125584303</v>
      </c>
      <c r="AU26" s="139" t="s">
        <v>1681</v>
      </c>
      <c r="AV26" s="155">
        <v>5.0835455267315805E-6</v>
      </c>
      <c r="AW26" s="29">
        <v>1</v>
      </c>
      <c r="AX26" s="1">
        <v>1.2164594125584303</v>
      </c>
      <c r="AY26" s="139" t="s">
        <v>1681</v>
      </c>
      <c r="AZ26" s="155">
        <v>9.0995093713845439E-7</v>
      </c>
      <c r="BA26" s="29">
        <v>1</v>
      </c>
      <c r="BB26" s="1">
        <v>1.2164594125584303</v>
      </c>
      <c r="BC26" s="139" t="s">
        <v>1681</v>
      </c>
      <c r="BD26" s="155">
        <v>4.7827789120409641E-6</v>
      </c>
      <c r="BE26" s="29">
        <v>1</v>
      </c>
      <c r="BF26" s="1">
        <v>1.2164594125584303</v>
      </c>
      <c r="BG26" s="139" t="s">
        <v>1681</v>
      </c>
      <c r="BH26" s="155">
        <v>4.3400251340444649E-6</v>
      </c>
      <c r="BI26" s="29">
        <v>1</v>
      </c>
      <c r="BJ26" s="1">
        <v>1.2164594125584303</v>
      </c>
      <c r="BK26" s="139" t="s">
        <v>1681</v>
      </c>
      <c r="BL26" s="155">
        <v>4.73879933583829E-6</v>
      </c>
      <c r="BM26" s="29">
        <v>1</v>
      </c>
      <c r="BN26" s="1">
        <v>1.2164594125584303</v>
      </c>
      <c r="BO26" s="139" t="s">
        <v>1681</v>
      </c>
      <c r="BP26" s="155">
        <v>2.6559905646071643E-7</v>
      </c>
      <c r="BQ26" s="29">
        <v>1</v>
      </c>
      <c r="BR26" s="1">
        <v>1.2164594125584303</v>
      </c>
      <c r="BS26" s="139" t="s">
        <v>1681</v>
      </c>
      <c r="BT26" s="155">
        <v>0</v>
      </c>
      <c r="BU26" s="29">
        <v>1</v>
      </c>
      <c r="BV26" s="1">
        <v>1.2164594125584303</v>
      </c>
      <c r="BW26" s="139" t="s">
        <v>1681</v>
      </c>
      <c r="BX26" s="155">
        <v>4.7939016536968743E-6</v>
      </c>
      <c r="BY26" s="29">
        <v>1</v>
      </c>
      <c r="BZ26" s="1">
        <v>1.2164594125584303</v>
      </c>
      <c r="CA26" s="139" t="s">
        <v>1681</v>
      </c>
      <c r="CB26" s="155">
        <v>5.2319231245930343E-6</v>
      </c>
      <c r="CC26" s="29">
        <v>1</v>
      </c>
      <c r="CD26" s="1">
        <v>1.2164594125584303</v>
      </c>
      <c r="CE26" s="139" t="s">
        <v>1681</v>
      </c>
      <c r="CF26" s="155">
        <v>2.9448253015566505E-6</v>
      </c>
      <c r="CG26" s="29">
        <v>1</v>
      </c>
      <c r="CH26" s="1">
        <v>1.2164594125584303</v>
      </c>
      <c r="CI26" s="31" t="s">
        <v>1681</v>
      </c>
      <c r="CJ26" s="31"/>
    </row>
    <row r="27" spans="1:88" ht="24">
      <c r="A27" s="120">
        <v>32066</v>
      </c>
      <c r="B27" s="168" t="s">
        <v>525</v>
      </c>
      <c r="C27" s="151"/>
      <c r="D27" s="152" t="s">
        <v>526</v>
      </c>
      <c r="E27" s="153" t="s">
        <v>402</v>
      </c>
      <c r="F27" s="144" t="s">
        <v>65</v>
      </c>
      <c r="G27" s="125" t="s">
        <v>393</v>
      </c>
      <c r="H27" s="154" t="s">
        <v>402</v>
      </c>
      <c r="I27" s="123" t="s">
        <v>402</v>
      </c>
      <c r="J27" s="124">
        <v>1</v>
      </c>
      <c r="K27" s="125" t="s">
        <v>522</v>
      </c>
      <c r="L27" s="155">
        <v>0</v>
      </c>
      <c r="M27" s="29">
        <v>1</v>
      </c>
      <c r="N27" s="1">
        <v>1.2164594125584303</v>
      </c>
      <c r="O27" s="139" t="s">
        <v>1681</v>
      </c>
      <c r="P27" s="155">
        <v>4.4183030076485361E-7</v>
      </c>
      <c r="Q27" s="29">
        <v>1</v>
      </c>
      <c r="R27" s="1">
        <v>1.2164594125584303</v>
      </c>
      <c r="S27" s="139" t="s">
        <v>1681</v>
      </c>
      <c r="T27" s="155">
        <v>4.2562625550452893E-7</v>
      </c>
      <c r="U27" s="29">
        <v>1</v>
      </c>
      <c r="V27" s="1">
        <v>1.2164594125584303</v>
      </c>
      <c r="W27" s="139" t="s">
        <v>1681</v>
      </c>
      <c r="X27" s="155">
        <v>4.0960267882671134E-7</v>
      </c>
      <c r="Y27" s="29">
        <v>1</v>
      </c>
      <c r="Z27" s="1">
        <v>1.2164594125584303</v>
      </c>
      <c r="AA27" s="139" t="s">
        <v>1681</v>
      </c>
      <c r="AB27" s="155">
        <v>4.220148812153995E-7</v>
      </c>
      <c r="AC27" s="29">
        <v>1</v>
      </c>
      <c r="AD27" s="1">
        <v>1.2164594125584303</v>
      </c>
      <c r="AE27" s="139" t="s">
        <v>1681</v>
      </c>
      <c r="AF27" s="155">
        <v>3.5382345223852099E-7</v>
      </c>
      <c r="AG27" s="29">
        <v>1</v>
      </c>
      <c r="AH27" s="1">
        <v>1.2164594125584303</v>
      </c>
      <c r="AI27" s="139" t="s">
        <v>1681</v>
      </c>
      <c r="AJ27" s="155">
        <v>4.3036128183276228E-7</v>
      </c>
      <c r="AK27" s="29">
        <v>1</v>
      </c>
      <c r="AL27" s="1">
        <v>1.2164594125584303</v>
      </c>
      <c r="AM27" s="139" t="s">
        <v>1681</v>
      </c>
      <c r="AN27" s="155">
        <v>2.7242744679397857E-7</v>
      </c>
      <c r="AO27" s="29">
        <v>1</v>
      </c>
      <c r="AP27" s="1">
        <v>1.2164594125584303</v>
      </c>
      <c r="AQ27" s="139" t="s">
        <v>1681</v>
      </c>
      <c r="AR27" s="155">
        <v>3.523909686262192E-7</v>
      </c>
      <c r="AS27" s="29">
        <v>1</v>
      </c>
      <c r="AT27" s="1">
        <v>1.2164594125584303</v>
      </c>
      <c r="AU27" s="139" t="s">
        <v>1681</v>
      </c>
      <c r="AV27" s="155">
        <v>4.2929997164328564E-7</v>
      </c>
      <c r="AW27" s="29">
        <v>1</v>
      </c>
      <c r="AX27" s="1">
        <v>1.2164594125584303</v>
      </c>
      <c r="AY27" s="139" t="s">
        <v>1681</v>
      </c>
      <c r="AZ27" s="155">
        <v>6.4028455589995815E-8</v>
      </c>
      <c r="BA27" s="29">
        <v>1</v>
      </c>
      <c r="BB27" s="1">
        <v>1.2164594125584303</v>
      </c>
      <c r="BC27" s="139" t="s">
        <v>1681</v>
      </c>
      <c r="BD27" s="155">
        <v>4.0390055336740679E-7</v>
      </c>
      <c r="BE27" s="29">
        <v>1</v>
      </c>
      <c r="BF27" s="1">
        <v>1.2164594125584303</v>
      </c>
      <c r="BG27" s="139" t="s">
        <v>1681</v>
      </c>
      <c r="BH27" s="155">
        <v>3.6651047131948201E-7</v>
      </c>
      <c r="BI27" s="29">
        <v>1</v>
      </c>
      <c r="BJ27" s="1">
        <v>1.2164594125584303</v>
      </c>
      <c r="BK27" s="139" t="s">
        <v>1681</v>
      </c>
      <c r="BL27" s="155">
        <v>4.0018652529046515E-7</v>
      </c>
      <c r="BM27" s="29">
        <v>1</v>
      </c>
      <c r="BN27" s="1">
        <v>1.2164594125584303</v>
      </c>
      <c r="BO27" s="139" t="s">
        <v>1681</v>
      </c>
      <c r="BP27" s="165" t="s">
        <v>402</v>
      </c>
      <c r="BQ27" s="29">
        <v>1</v>
      </c>
      <c r="BR27" s="1">
        <v>1.2164594125584303</v>
      </c>
      <c r="BS27" s="139" t="s">
        <v>1681</v>
      </c>
      <c r="BT27" s="155">
        <v>0</v>
      </c>
      <c r="BU27" s="29">
        <v>1</v>
      </c>
      <c r="BV27" s="1">
        <v>1.2164594125584303</v>
      </c>
      <c r="BW27" s="139" t="s">
        <v>1681</v>
      </c>
      <c r="BX27" s="155">
        <v>4.0483985697988914E-7</v>
      </c>
      <c r="BY27" s="29">
        <v>1</v>
      </c>
      <c r="BZ27" s="1">
        <v>1.2164594125584303</v>
      </c>
      <c r="CA27" s="139" t="s">
        <v>1681</v>
      </c>
      <c r="CB27" s="155">
        <v>4.4183030076485361E-7</v>
      </c>
      <c r="CC27" s="29">
        <v>1</v>
      </c>
      <c r="CD27" s="1">
        <v>1.2164594125584303</v>
      </c>
      <c r="CE27" s="139" t="s">
        <v>1681</v>
      </c>
      <c r="CF27" s="155">
        <v>2.4868734071621757E-7</v>
      </c>
      <c r="CG27" s="29">
        <v>1</v>
      </c>
      <c r="CH27" s="1">
        <v>1.2164594125584303</v>
      </c>
      <c r="CI27" s="31" t="s">
        <v>1681</v>
      </c>
      <c r="CJ27" s="31"/>
    </row>
    <row r="28" spans="1:88" ht="24">
      <c r="A28" s="120">
        <v>32068</v>
      </c>
      <c r="B28" s="168" t="s">
        <v>525</v>
      </c>
      <c r="C28" s="151"/>
      <c r="D28" s="152" t="s">
        <v>526</v>
      </c>
      <c r="E28" s="153" t="s">
        <v>402</v>
      </c>
      <c r="F28" s="144" t="s">
        <v>67</v>
      </c>
      <c r="G28" s="125" t="s">
        <v>393</v>
      </c>
      <c r="H28" s="154" t="s">
        <v>402</v>
      </c>
      <c r="I28" s="123" t="s">
        <v>402</v>
      </c>
      <c r="J28" s="124">
        <v>1</v>
      </c>
      <c r="K28" s="125" t="s">
        <v>522</v>
      </c>
      <c r="L28" s="155">
        <v>0</v>
      </c>
      <c r="M28" s="29">
        <v>1</v>
      </c>
      <c r="N28" s="1">
        <v>1.2164594125584303</v>
      </c>
      <c r="O28" s="139" t="s">
        <v>1681</v>
      </c>
      <c r="P28" s="155">
        <v>1.699347310634055E-8</v>
      </c>
      <c r="Q28" s="29">
        <v>1</v>
      </c>
      <c r="R28" s="1">
        <v>1.2164594125584303</v>
      </c>
      <c r="S28" s="139" t="s">
        <v>1681</v>
      </c>
      <c r="T28" s="155">
        <v>1.6370240596328063E-8</v>
      </c>
      <c r="U28" s="29">
        <v>1</v>
      </c>
      <c r="V28" s="1">
        <v>1.2164594125584303</v>
      </c>
      <c r="W28" s="139" t="s">
        <v>1681</v>
      </c>
      <c r="X28" s="155">
        <v>1.5753949185642769E-8</v>
      </c>
      <c r="Y28" s="29">
        <v>1</v>
      </c>
      <c r="Z28" s="1">
        <v>1.2164594125584303</v>
      </c>
      <c r="AA28" s="139" t="s">
        <v>1681</v>
      </c>
      <c r="AB28" s="155">
        <v>1.6231341585207699E-8</v>
      </c>
      <c r="AC28" s="29">
        <v>1</v>
      </c>
      <c r="AD28" s="1">
        <v>1.2164594125584303</v>
      </c>
      <c r="AE28" s="139" t="s">
        <v>1681</v>
      </c>
      <c r="AF28" s="155">
        <v>1.3608594316866192E-8</v>
      </c>
      <c r="AG28" s="29">
        <v>1</v>
      </c>
      <c r="AH28" s="1">
        <v>1.2164594125584303</v>
      </c>
      <c r="AI28" s="139" t="s">
        <v>1681</v>
      </c>
      <c r="AJ28" s="155">
        <v>1.6552356993567774E-8</v>
      </c>
      <c r="AK28" s="29">
        <v>1</v>
      </c>
      <c r="AL28" s="1">
        <v>1.2164594125584303</v>
      </c>
      <c r="AM28" s="139" t="s">
        <v>1681</v>
      </c>
      <c r="AN28" s="155">
        <v>1.0477978722845347E-8</v>
      </c>
      <c r="AO28" s="29">
        <v>1</v>
      </c>
      <c r="AP28" s="1">
        <v>1.2164594125584303</v>
      </c>
      <c r="AQ28" s="139" t="s">
        <v>1681</v>
      </c>
      <c r="AR28" s="155">
        <v>1.3553498793316145E-8</v>
      </c>
      <c r="AS28" s="29">
        <v>1</v>
      </c>
      <c r="AT28" s="1">
        <v>1.2164594125584303</v>
      </c>
      <c r="AU28" s="139" t="s">
        <v>1681</v>
      </c>
      <c r="AV28" s="155">
        <v>1.6511537370895628E-8</v>
      </c>
      <c r="AW28" s="29">
        <v>1</v>
      </c>
      <c r="AX28" s="1">
        <v>1.2164594125584303</v>
      </c>
      <c r="AY28" s="139" t="s">
        <v>1681</v>
      </c>
      <c r="AZ28" s="155">
        <v>1.5342370126237186E-8</v>
      </c>
      <c r="BA28" s="29">
        <v>1</v>
      </c>
      <c r="BB28" s="1">
        <v>1.2164594125584303</v>
      </c>
      <c r="BC28" s="139" t="s">
        <v>1681</v>
      </c>
      <c r="BD28" s="155">
        <v>1.553463666797721E-8</v>
      </c>
      <c r="BE28" s="29">
        <v>1</v>
      </c>
      <c r="BF28" s="1">
        <v>1.2164594125584303</v>
      </c>
      <c r="BG28" s="139" t="s">
        <v>1681</v>
      </c>
      <c r="BH28" s="155">
        <v>1.409655658921087E-8</v>
      </c>
      <c r="BI28" s="29">
        <v>1</v>
      </c>
      <c r="BJ28" s="1">
        <v>1.2164594125584303</v>
      </c>
      <c r="BK28" s="139" t="s">
        <v>1681</v>
      </c>
      <c r="BL28" s="155">
        <v>1.5391789434248684E-8</v>
      </c>
      <c r="BM28" s="29">
        <v>1</v>
      </c>
      <c r="BN28" s="1">
        <v>1.2164594125584303</v>
      </c>
      <c r="BO28" s="139" t="s">
        <v>1681</v>
      </c>
      <c r="BP28" s="165" t="s">
        <v>402</v>
      </c>
      <c r="BQ28" s="29">
        <v>1</v>
      </c>
      <c r="BR28" s="1">
        <v>1.2164594125584303</v>
      </c>
      <c r="BS28" s="139" t="s">
        <v>1681</v>
      </c>
      <c r="BT28" s="155">
        <v>0</v>
      </c>
      <c r="BU28" s="29">
        <v>1</v>
      </c>
      <c r="BV28" s="1">
        <v>1.2164594125584303</v>
      </c>
      <c r="BW28" s="139" t="s">
        <v>1681</v>
      </c>
      <c r="BX28" s="155">
        <v>1.5570763729995763E-8</v>
      </c>
      <c r="BY28" s="29">
        <v>1</v>
      </c>
      <c r="BZ28" s="1">
        <v>1.2164594125584303</v>
      </c>
      <c r="CA28" s="139" t="s">
        <v>1681</v>
      </c>
      <c r="CB28" s="155">
        <v>1.699347310634055E-8</v>
      </c>
      <c r="CC28" s="29">
        <v>1</v>
      </c>
      <c r="CD28" s="1">
        <v>1.2164594125584303</v>
      </c>
      <c r="CE28" s="139" t="s">
        <v>1681</v>
      </c>
      <c r="CF28" s="155">
        <v>9.5648977198545371E-9</v>
      </c>
      <c r="CG28" s="29">
        <v>1</v>
      </c>
      <c r="CH28" s="1">
        <v>1.2164594125584303</v>
      </c>
      <c r="CI28" s="31" t="s">
        <v>1681</v>
      </c>
      <c r="CJ28" s="31"/>
    </row>
    <row r="29" spans="1:88" ht="24">
      <c r="A29" s="120">
        <v>32076</v>
      </c>
      <c r="B29" s="168" t="s">
        <v>525</v>
      </c>
      <c r="C29" s="151"/>
      <c r="D29" s="152" t="s">
        <v>526</v>
      </c>
      <c r="E29" s="153" t="s">
        <v>402</v>
      </c>
      <c r="F29" s="144" t="s">
        <v>66</v>
      </c>
      <c r="G29" s="125" t="s">
        <v>393</v>
      </c>
      <c r="H29" s="154" t="s">
        <v>402</v>
      </c>
      <c r="I29" s="123" t="s">
        <v>402</v>
      </c>
      <c r="J29" s="124">
        <v>1</v>
      </c>
      <c r="K29" s="125" t="s">
        <v>522</v>
      </c>
      <c r="L29" s="155">
        <v>2.3850817204038459E-7</v>
      </c>
      <c r="M29" s="29">
        <v>1</v>
      </c>
      <c r="N29" s="1">
        <v>1.2164594125584303</v>
      </c>
      <c r="O29" s="139" t="s">
        <v>1681</v>
      </c>
      <c r="P29" s="155">
        <v>7.3789146462159048E-7</v>
      </c>
      <c r="Q29" s="29">
        <v>1</v>
      </c>
      <c r="R29" s="1">
        <v>1.2164594125584303</v>
      </c>
      <c r="S29" s="139" t="s">
        <v>1681</v>
      </c>
      <c r="T29" s="155">
        <v>7.1082943046676456E-7</v>
      </c>
      <c r="U29" s="29">
        <v>1</v>
      </c>
      <c r="V29" s="1">
        <v>1.2164594125584303</v>
      </c>
      <c r="W29" s="139" t="s">
        <v>1681</v>
      </c>
      <c r="X29" s="155">
        <v>6.8406879308448627E-7</v>
      </c>
      <c r="Y29" s="29">
        <v>1</v>
      </c>
      <c r="Z29" s="1">
        <v>1.2164594125584303</v>
      </c>
      <c r="AA29" s="139" t="s">
        <v>1681</v>
      </c>
      <c r="AB29" s="155">
        <v>7.047981504506827E-7</v>
      </c>
      <c r="AC29" s="29">
        <v>1</v>
      </c>
      <c r="AD29" s="1">
        <v>1.2164594125584303</v>
      </c>
      <c r="AE29" s="139" t="s">
        <v>1681</v>
      </c>
      <c r="AF29" s="155">
        <v>5.9091308345712754E-7</v>
      </c>
      <c r="AG29" s="29">
        <v>1</v>
      </c>
      <c r="AH29" s="1">
        <v>1.2164594125584303</v>
      </c>
      <c r="AI29" s="139" t="s">
        <v>1681</v>
      </c>
      <c r="AJ29" s="155">
        <v>1.4571211737216394E-7</v>
      </c>
      <c r="AK29" s="29">
        <v>1</v>
      </c>
      <c r="AL29" s="1">
        <v>1.2164594125584303</v>
      </c>
      <c r="AM29" s="139" t="s">
        <v>1681</v>
      </c>
      <c r="AN29" s="155">
        <v>4.5497533186370363E-7</v>
      </c>
      <c r="AO29" s="29">
        <v>1</v>
      </c>
      <c r="AP29" s="1">
        <v>1.2164594125584303</v>
      </c>
      <c r="AQ29" s="139" t="s">
        <v>1681</v>
      </c>
      <c r="AR29" s="155">
        <v>5.8852072279535754E-7</v>
      </c>
      <c r="AS29" s="29">
        <v>1</v>
      </c>
      <c r="AT29" s="1">
        <v>1.2164594125584303</v>
      </c>
      <c r="AU29" s="139" t="s">
        <v>1681</v>
      </c>
      <c r="AV29" s="155">
        <v>7.1696482629076869E-7</v>
      </c>
      <c r="AW29" s="29">
        <v>1</v>
      </c>
      <c r="AX29" s="1">
        <v>1.2164594125584303</v>
      </c>
      <c r="AY29" s="139" t="s">
        <v>1681</v>
      </c>
      <c r="AZ29" s="155">
        <v>3.7501301749808794E-7</v>
      </c>
      <c r="BA29" s="29">
        <v>1</v>
      </c>
      <c r="BB29" s="1">
        <v>1.2164594125584303</v>
      </c>
      <c r="BC29" s="139" t="s">
        <v>1681</v>
      </c>
      <c r="BD29" s="155">
        <v>6.745457936447951E-7</v>
      </c>
      <c r="BE29" s="29">
        <v>1</v>
      </c>
      <c r="BF29" s="1">
        <v>1.2164594125584303</v>
      </c>
      <c r="BG29" s="139" t="s">
        <v>1681</v>
      </c>
      <c r="BH29" s="155">
        <v>6.1210140638365918E-7</v>
      </c>
      <c r="BI29" s="29">
        <v>1</v>
      </c>
      <c r="BJ29" s="1">
        <v>1.2164594125584303</v>
      </c>
      <c r="BK29" s="139" t="s">
        <v>1681</v>
      </c>
      <c r="BL29" s="155">
        <v>6.6834307370323374E-7</v>
      </c>
      <c r="BM29" s="29">
        <v>1</v>
      </c>
      <c r="BN29" s="1">
        <v>1.2164594125584303</v>
      </c>
      <c r="BO29" s="139" t="s">
        <v>1681</v>
      </c>
      <c r="BP29" s="165" t="s">
        <v>402</v>
      </c>
      <c r="BQ29" s="29">
        <v>1</v>
      </c>
      <c r="BR29" s="1">
        <v>1.2164594125584303</v>
      </c>
      <c r="BS29" s="139" t="s">
        <v>1681</v>
      </c>
      <c r="BT29" s="155">
        <v>1.733717480646831E-7</v>
      </c>
      <c r="BU29" s="29">
        <v>1</v>
      </c>
      <c r="BV29" s="1">
        <v>1.2164594125584303</v>
      </c>
      <c r="BW29" s="139" t="s">
        <v>1681</v>
      </c>
      <c r="BX29" s="155">
        <v>6.7611450479280629E-7</v>
      </c>
      <c r="BY29" s="29">
        <v>1</v>
      </c>
      <c r="BZ29" s="1">
        <v>1.2164594125584303</v>
      </c>
      <c r="CA29" s="139" t="s">
        <v>1681</v>
      </c>
      <c r="CB29" s="155">
        <v>7.3789146462159048E-7</v>
      </c>
      <c r="CC29" s="29">
        <v>1</v>
      </c>
      <c r="CD29" s="1">
        <v>1.2164594125584303</v>
      </c>
      <c r="CE29" s="139" t="s">
        <v>1681</v>
      </c>
      <c r="CF29" s="155">
        <v>4.1532748151558088E-7</v>
      </c>
      <c r="CG29" s="29">
        <v>1</v>
      </c>
      <c r="CH29" s="1">
        <v>1.2164594125584303</v>
      </c>
      <c r="CI29" s="31" t="s">
        <v>1681</v>
      </c>
      <c r="CJ29" s="31"/>
    </row>
    <row r="30" spans="1:88" ht="24">
      <c r="A30" s="120">
        <v>32080</v>
      </c>
      <c r="B30" s="168" t="s">
        <v>525</v>
      </c>
      <c r="C30" s="151"/>
      <c r="D30" s="152" t="s">
        <v>526</v>
      </c>
      <c r="E30" s="153" t="s">
        <v>402</v>
      </c>
      <c r="F30" s="144" t="s">
        <v>64</v>
      </c>
      <c r="G30" s="125" t="s">
        <v>393</v>
      </c>
      <c r="H30" s="154" t="s">
        <v>402</v>
      </c>
      <c r="I30" s="123" t="s">
        <v>402</v>
      </c>
      <c r="J30" s="124">
        <v>1</v>
      </c>
      <c r="K30" s="125" t="s">
        <v>522</v>
      </c>
      <c r="L30" s="155">
        <v>2.8247034143023911E-8</v>
      </c>
      <c r="M30" s="29">
        <v>1</v>
      </c>
      <c r="N30" s="1">
        <v>1.2164594125584303</v>
      </c>
      <c r="O30" s="139" t="s">
        <v>1681</v>
      </c>
      <c r="P30" s="155">
        <v>8.7390068091598883E-8</v>
      </c>
      <c r="Q30" s="29">
        <v>1</v>
      </c>
      <c r="R30" s="1">
        <v>1.2164594125584303</v>
      </c>
      <c r="S30" s="139" t="s">
        <v>1681</v>
      </c>
      <c r="T30" s="155">
        <v>8.4185053369413107E-8</v>
      </c>
      <c r="U30" s="29">
        <v>1</v>
      </c>
      <c r="V30" s="1">
        <v>1.2164594125584303</v>
      </c>
      <c r="W30" s="139" t="s">
        <v>1681</v>
      </c>
      <c r="X30" s="155">
        <v>8.1015733713152839E-8</v>
      </c>
      <c r="Y30" s="29">
        <v>1</v>
      </c>
      <c r="Z30" s="1">
        <v>1.2164594125584303</v>
      </c>
      <c r="AA30" s="139" t="s">
        <v>1681</v>
      </c>
      <c r="AB30" s="155">
        <v>8.347075594688473E-8</v>
      </c>
      <c r="AC30" s="29">
        <v>1</v>
      </c>
      <c r="AD30" s="1">
        <v>1.2164594125584303</v>
      </c>
      <c r="AE30" s="139" t="s">
        <v>1681</v>
      </c>
      <c r="AF30" s="155">
        <v>6.9983103309125933E-8</v>
      </c>
      <c r="AG30" s="29">
        <v>1</v>
      </c>
      <c r="AH30" s="1">
        <v>1.2164594125584303</v>
      </c>
      <c r="AI30" s="139" t="s">
        <v>1681</v>
      </c>
      <c r="AJ30" s="155">
        <v>8.5121599080568504E-8</v>
      </c>
      <c r="AK30" s="29">
        <v>1</v>
      </c>
      <c r="AL30" s="1">
        <v>1.2164594125584303</v>
      </c>
      <c r="AM30" s="139" t="s">
        <v>1681</v>
      </c>
      <c r="AN30" s="155">
        <v>5.3883703956322309E-8</v>
      </c>
      <c r="AO30" s="29">
        <v>1</v>
      </c>
      <c r="AP30" s="1">
        <v>1.2164594125584303</v>
      </c>
      <c r="AQ30" s="139" t="s">
        <v>1681</v>
      </c>
      <c r="AR30" s="155">
        <v>6.9699770907064682E-8</v>
      </c>
      <c r="AS30" s="29">
        <v>1</v>
      </c>
      <c r="AT30" s="1">
        <v>1.2164594125584303</v>
      </c>
      <c r="AU30" s="139" t="s">
        <v>1681</v>
      </c>
      <c r="AV30" s="155">
        <v>8.4911681450283503E-8</v>
      </c>
      <c r="AW30" s="29">
        <v>1</v>
      </c>
      <c r="AX30" s="1">
        <v>1.2164594125584303</v>
      </c>
      <c r="AY30" s="139" t="s">
        <v>1681</v>
      </c>
      <c r="AZ30" s="155">
        <v>4.4413595637944383E-8</v>
      </c>
      <c r="BA30" s="29">
        <v>1</v>
      </c>
      <c r="BB30" s="1">
        <v>1.2164594125584303</v>
      </c>
      <c r="BC30" s="139" t="s">
        <v>1681</v>
      </c>
      <c r="BD30" s="155">
        <v>7.9887904473526586E-8</v>
      </c>
      <c r="BE30" s="29">
        <v>1</v>
      </c>
      <c r="BF30" s="1">
        <v>1.2164594125584303</v>
      </c>
      <c r="BG30" s="139" t="s">
        <v>1681</v>
      </c>
      <c r="BH30" s="155">
        <v>7.2492481818126541E-8</v>
      </c>
      <c r="BI30" s="29">
        <v>1</v>
      </c>
      <c r="BJ30" s="1">
        <v>1.2164594125584303</v>
      </c>
      <c r="BK30" s="139" t="s">
        <v>1681</v>
      </c>
      <c r="BL30" s="155">
        <v>7.9153303053080373E-8</v>
      </c>
      <c r="BM30" s="29">
        <v>1</v>
      </c>
      <c r="BN30" s="1">
        <v>1.2164594125584303</v>
      </c>
      <c r="BO30" s="139" t="s">
        <v>1681</v>
      </c>
      <c r="BP30" s="165" t="s">
        <v>402</v>
      </c>
      <c r="BQ30" s="29">
        <v>1</v>
      </c>
      <c r="BR30" s="1">
        <v>1.2164594125584303</v>
      </c>
      <c r="BS30" s="139" t="s">
        <v>1681</v>
      </c>
      <c r="BT30" s="155">
        <v>0</v>
      </c>
      <c r="BU30" s="29">
        <v>1</v>
      </c>
      <c r="BV30" s="1">
        <v>1.2164594125584303</v>
      </c>
      <c r="BW30" s="139" t="s">
        <v>1681</v>
      </c>
      <c r="BX30" s="155">
        <v>8.007369029788364E-8</v>
      </c>
      <c r="BY30" s="29">
        <v>1</v>
      </c>
      <c r="BZ30" s="1">
        <v>1.2164594125584303</v>
      </c>
      <c r="CA30" s="139" t="s">
        <v>1681</v>
      </c>
      <c r="CB30" s="155">
        <v>8.7390068091598883E-8</v>
      </c>
      <c r="CC30" s="29">
        <v>1</v>
      </c>
      <c r="CD30" s="1">
        <v>1.2164594125584303</v>
      </c>
      <c r="CE30" s="139" t="s">
        <v>1681</v>
      </c>
      <c r="CF30" s="155">
        <v>4.9188124040128507E-8</v>
      </c>
      <c r="CG30" s="29">
        <v>1</v>
      </c>
      <c r="CH30" s="1">
        <v>1.2164594125584303</v>
      </c>
      <c r="CI30" s="31" t="s">
        <v>1681</v>
      </c>
      <c r="CJ30" s="31"/>
    </row>
    <row r="31" spans="1:88" ht="24">
      <c r="A31" s="120">
        <v>32130</v>
      </c>
      <c r="B31" s="168" t="s">
        <v>525</v>
      </c>
      <c r="C31" s="151"/>
      <c r="D31" s="152" t="s">
        <v>526</v>
      </c>
      <c r="E31" s="153" t="s">
        <v>402</v>
      </c>
      <c r="F31" s="144" t="s">
        <v>68</v>
      </c>
      <c r="G31" s="125" t="s">
        <v>393</v>
      </c>
      <c r="H31" s="154" t="s">
        <v>402</v>
      </c>
      <c r="I31" s="123" t="s">
        <v>402</v>
      </c>
      <c r="J31" s="124">
        <v>1</v>
      </c>
      <c r="K31" s="125" t="s">
        <v>522</v>
      </c>
      <c r="L31" s="155">
        <v>1.2843769186608557E-7</v>
      </c>
      <c r="M31" s="29">
        <v>1</v>
      </c>
      <c r="N31" s="1">
        <v>1.2164594125584303</v>
      </c>
      <c r="O31" s="139" t="s">
        <v>1681</v>
      </c>
      <c r="P31" s="155">
        <v>2.6592136180414508E-8</v>
      </c>
      <c r="Q31" s="29">
        <v>1</v>
      </c>
      <c r="R31" s="1">
        <v>1.2164594125584303</v>
      </c>
      <c r="S31" s="139" t="s">
        <v>1681</v>
      </c>
      <c r="T31" s="155">
        <v>2.56168744623064E-8</v>
      </c>
      <c r="U31" s="29">
        <v>1</v>
      </c>
      <c r="V31" s="1">
        <v>1.2164594125584303</v>
      </c>
      <c r="W31" s="139" t="s">
        <v>1681</v>
      </c>
      <c r="X31" s="155">
        <v>2.4652474482548979E-8</v>
      </c>
      <c r="Y31" s="29">
        <v>1</v>
      </c>
      <c r="Z31" s="1">
        <v>1.2164594125584303</v>
      </c>
      <c r="AA31" s="139" t="s">
        <v>1681</v>
      </c>
      <c r="AB31" s="155">
        <v>2.5399519163838335E-8</v>
      </c>
      <c r="AC31" s="29">
        <v>1</v>
      </c>
      <c r="AD31" s="1">
        <v>1.2164594125584303</v>
      </c>
      <c r="AE31" s="139" t="s">
        <v>1681</v>
      </c>
      <c r="AF31" s="155">
        <v>2.1295328567242478E-8</v>
      </c>
      <c r="AG31" s="29">
        <v>1</v>
      </c>
      <c r="AH31" s="1">
        <v>1.2164594125584303</v>
      </c>
      <c r="AI31" s="139" t="s">
        <v>1681</v>
      </c>
      <c r="AJ31" s="155">
        <v>2.5901858232591592E-8</v>
      </c>
      <c r="AK31" s="29">
        <v>1</v>
      </c>
      <c r="AL31" s="1">
        <v>1.2164594125584303</v>
      </c>
      <c r="AM31" s="139" t="s">
        <v>1681</v>
      </c>
      <c r="AN31" s="155">
        <v>1.6396403216092825E-8</v>
      </c>
      <c r="AO31" s="29">
        <v>1</v>
      </c>
      <c r="AP31" s="1">
        <v>1.2164594125584303</v>
      </c>
      <c r="AQ31" s="139" t="s">
        <v>1681</v>
      </c>
      <c r="AR31" s="155">
        <v>2.1209112662111971E-8</v>
      </c>
      <c r="AS31" s="29">
        <v>1</v>
      </c>
      <c r="AT31" s="1">
        <v>1.2164594125584303</v>
      </c>
      <c r="AU31" s="139" t="s">
        <v>1681</v>
      </c>
      <c r="AV31" s="155">
        <v>2.5837981886765271E-8</v>
      </c>
      <c r="AW31" s="29">
        <v>1</v>
      </c>
      <c r="AX31" s="1">
        <v>1.2164594125584303</v>
      </c>
      <c r="AY31" s="139" t="s">
        <v>1681</v>
      </c>
      <c r="AZ31" s="155">
        <v>7.0534631872558604E-8</v>
      </c>
      <c r="BA31" s="29">
        <v>1</v>
      </c>
      <c r="BB31" s="1">
        <v>1.2164594125584303</v>
      </c>
      <c r="BC31" s="139" t="s">
        <v>1681</v>
      </c>
      <c r="BD31" s="155">
        <v>2.4309284582559897E-8</v>
      </c>
      <c r="BE31" s="29">
        <v>1</v>
      </c>
      <c r="BF31" s="1">
        <v>1.2164594125584303</v>
      </c>
      <c r="BG31" s="139" t="s">
        <v>1681</v>
      </c>
      <c r="BH31" s="155">
        <v>2.2058913451620978E-8</v>
      </c>
      <c r="BI31" s="29">
        <v>1</v>
      </c>
      <c r="BJ31" s="1">
        <v>1.2164594125584303</v>
      </c>
      <c r="BK31" s="139" t="s">
        <v>1681</v>
      </c>
      <c r="BL31" s="155">
        <v>2.4085750931226018E-8</v>
      </c>
      <c r="BM31" s="29">
        <v>1</v>
      </c>
      <c r="BN31" s="1">
        <v>1.2164594125584303</v>
      </c>
      <c r="BO31" s="139" t="s">
        <v>1681</v>
      </c>
      <c r="BP31" s="155">
        <v>1.1126566079315247E-8</v>
      </c>
      <c r="BQ31" s="29">
        <v>1</v>
      </c>
      <c r="BR31" s="1">
        <v>1.2164594125584303</v>
      </c>
      <c r="BS31" s="139" t="s">
        <v>1681</v>
      </c>
      <c r="BT31" s="155">
        <v>0</v>
      </c>
      <c r="BU31" s="29">
        <v>1</v>
      </c>
      <c r="BV31" s="1">
        <v>1.2164594125584303</v>
      </c>
      <c r="BW31" s="139" t="s">
        <v>1681</v>
      </c>
      <c r="BX31" s="155">
        <v>2.4365817802519343E-8</v>
      </c>
      <c r="BY31" s="29">
        <v>1</v>
      </c>
      <c r="BZ31" s="1">
        <v>1.2164594125584303</v>
      </c>
      <c r="CA31" s="139" t="s">
        <v>1681</v>
      </c>
      <c r="CB31" s="155">
        <v>2.6592136180414508E-8</v>
      </c>
      <c r="CC31" s="29">
        <v>1</v>
      </c>
      <c r="CD31" s="1">
        <v>1.2164594125584303</v>
      </c>
      <c r="CE31" s="139" t="s">
        <v>1681</v>
      </c>
      <c r="CF31" s="155">
        <v>1.4967573792976163E-8</v>
      </c>
      <c r="CG31" s="29">
        <v>1</v>
      </c>
      <c r="CH31" s="1">
        <v>1.2164594125584303</v>
      </c>
      <c r="CI31" s="31" t="s">
        <v>1681</v>
      </c>
      <c r="CJ31" s="31"/>
    </row>
    <row r="32" spans="1:88" ht="24">
      <c r="A32" s="120">
        <v>32131</v>
      </c>
      <c r="B32" s="168" t="s">
        <v>525</v>
      </c>
      <c r="C32" s="151"/>
      <c r="D32" s="152" t="s">
        <v>526</v>
      </c>
      <c r="E32" s="153" t="s">
        <v>402</v>
      </c>
      <c r="F32" s="144" t="s">
        <v>69</v>
      </c>
      <c r="G32" s="125" t="s">
        <v>393</v>
      </c>
      <c r="H32" s="154" t="s">
        <v>402</v>
      </c>
      <c r="I32" s="123" t="s">
        <v>402</v>
      </c>
      <c r="J32" s="124">
        <v>1</v>
      </c>
      <c r="K32" s="125" t="s">
        <v>522</v>
      </c>
      <c r="L32" s="155">
        <v>4.9399112256186742E-9</v>
      </c>
      <c r="M32" s="29">
        <v>1</v>
      </c>
      <c r="N32" s="1">
        <v>1.2164594125584303</v>
      </c>
      <c r="O32" s="139" t="s">
        <v>1681</v>
      </c>
      <c r="P32" s="155">
        <v>6.9139554069077621E-7</v>
      </c>
      <c r="Q32" s="29">
        <v>1</v>
      </c>
      <c r="R32" s="1">
        <v>1.2164594125584303</v>
      </c>
      <c r="S32" s="139" t="s">
        <v>1681</v>
      </c>
      <c r="T32" s="155">
        <v>6.6603873601996538E-7</v>
      </c>
      <c r="U32" s="29">
        <v>1</v>
      </c>
      <c r="V32" s="1">
        <v>1.2164594125584303</v>
      </c>
      <c r="W32" s="139" t="s">
        <v>1681</v>
      </c>
      <c r="X32" s="155">
        <v>6.4096433654627251E-7</v>
      </c>
      <c r="Y32" s="29">
        <v>1</v>
      </c>
      <c r="Z32" s="1">
        <v>1.2164594125584303</v>
      </c>
      <c r="AA32" s="139" t="s">
        <v>1681</v>
      </c>
      <c r="AB32" s="155">
        <v>6.6038749825979583E-7</v>
      </c>
      <c r="AC32" s="29">
        <v>1</v>
      </c>
      <c r="AD32" s="1">
        <v>1.2164594125584303</v>
      </c>
      <c r="AE32" s="139" t="s">
        <v>1681</v>
      </c>
      <c r="AF32" s="155">
        <v>5.5367854274830456E-7</v>
      </c>
      <c r="AG32" s="29">
        <v>1</v>
      </c>
      <c r="AH32" s="1">
        <v>1.2164594125584303</v>
      </c>
      <c r="AI32" s="139" t="s">
        <v>1681</v>
      </c>
      <c r="AJ32" s="155">
        <v>6.7344831404738155E-7</v>
      </c>
      <c r="AK32" s="29">
        <v>1</v>
      </c>
      <c r="AL32" s="1">
        <v>1.2164594125584303</v>
      </c>
      <c r="AM32" s="139" t="s">
        <v>1681</v>
      </c>
      <c r="AN32" s="155">
        <v>4.2630648361841284E-7</v>
      </c>
      <c r="AO32" s="29">
        <v>1</v>
      </c>
      <c r="AP32" s="1">
        <v>1.2164594125584303</v>
      </c>
      <c r="AQ32" s="139" t="s">
        <v>1681</v>
      </c>
      <c r="AR32" s="155">
        <v>5.5143692921491052E-7</v>
      </c>
      <c r="AS32" s="29">
        <v>1</v>
      </c>
      <c r="AT32" s="1">
        <v>1.2164594125584303</v>
      </c>
      <c r="AU32" s="139" t="s">
        <v>1681</v>
      </c>
      <c r="AV32" s="155">
        <v>6.7178752905589607E-7</v>
      </c>
      <c r="AW32" s="29">
        <v>1</v>
      </c>
      <c r="AX32" s="1">
        <v>1.2164594125584303</v>
      </c>
      <c r="AY32" s="139" t="s">
        <v>1681</v>
      </c>
      <c r="AZ32" s="155">
        <v>2.9436283359411135E-7</v>
      </c>
      <c r="BA32" s="29">
        <v>1</v>
      </c>
      <c r="BB32" s="1">
        <v>1.2164594125584303</v>
      </c>
      <c r="BC32" s="139" t="s">
        <v>1681</v>
      </c>
      <c r="BD32" s="155">
        <v>6.3204139914655648E-7</v>
      </c>
      <c r="BE32" s="29">
        <v>1</v>
      </c>
      <c r="BF32" s="1">
        <v>1.2164594125584303</v>
      </c>
      <c r="BG32" s="139" t="s">
        <v>1681</v>
      </c>
      <c r="BH32" s="155">
        <v>5.7353174974214461E-7</v>
      </c>
      <c r="BI32" s="29">
        <v>1</v>
      </c>
      <c r="BJ32" s="1">
        <v>1.2164594125584303</v>
      </c>
      <c r="BK32" s="139" t="s">
        <v>1681</v>
      </c>
      <c r="BL32" s="155">
        <v>6.2622952421187553E-7</v>
      </c>
      <c r="BM32" s="29">
        <v>1</v>
      </c>
      <c r="BN32" s="1">
        <v>1.2164594125584303</v>
      </c>
      <c r="BO32" s="139" t="s">
        <v>1681</v>
      </c>
      <c r="BP32" s="155">
        <v>2.3691661601480087E-8</v>
      </c>
      <c r="BQ32" s="29">
        <v>1</v>
      </c>
      <c r="BR32" s="1">
        <v>1.2164594125584303</v>
      </c>
      <c r="BS32" s="139" t="s">
        <v>1681</v>
      </c>
      <c r="BT32" s="155">
        <v>0</v>
      </c>
      <c r="BU32" s="29">
        <v>1</v>
      </c>
      <c r="BV32" s="1">
        <v>1.2164594125584303</v>
      </c>
      <c r="BW32" s="139" t="s">
        <v>1681</v>
      </c>
      <c r="BX32" s="155">
        <v>6.3351126286550201E-7</v>
      </c>
      <c r="BY32" s="29">
        <v>1</v>
      </c>
      <c r="BZ32" s="1">
        <v>1.2164594125584303</v>
      </c>
      <c r="CA32" s="139" t="s">
        <v>1681</v>
      </c>
      <c r="CB32" s="155">
        <v>6.9139554069077621E-7</v>
      </c>
      <c r="CC32" s="29">
        <v>1</v>
      </c>
      <c r="CD32" s="1">
        <v>1.2164594125584303</v>
      </c>
      <c r="CE32" s="139" t="s">
        <v>1681</v>
      </c>
      <c r="CF32" s="155">
        <v>3.8915691861737967E-7</v>
      </c>
      <c r="CG32" s="29">
        <v>1</v>
      </c>
      <c r="CH32" s="1">
        <v>1.2164594125584303</v>
      </c>
      <c r="CI32" s="31" t="s">
        <v>1681</v>
      </c>
      <c r="CJ32" s="31"/>
    </row>
    <row r="33" spans="1:88">
      <c r="A33" s="156"/>
      <c r="B33" s="163" t="s">
        <v>692</v>
      </c>
      <c r="C33" s="151"/>
      <c r="D33" s="153" t="s">
        <v>402</v>
      </c>
      <c r="E33" s="152">
        <v>4</v>
      </c>
      <c r="F33" s="126" t="s">
        <v>324</v>
      </c>
      <c r="G33" s="125" t="s">
        <v>402</v>
      </c>
      <c r="H33" s="126" t="s">
        <v>325</v>
      </c>
      <c r="I33" s="126" t="s">
        <v>685</v>
      </c>
      <c r="J33" s="124" t="s">
        <v>402</v>
      </c>
      <c r="K33" s="125" t="s">
        <v>677</v>
      </c>
      <c r="L33" s="155">
        <v>0.25026737967914414</v>
      </c>
      <c r="M33" s="29">
        <v>1</v>
      </c>
      <c r="N33" s="1">
        <v>1.05</v>
      </c>
      <c r="O33" s="139" t="s">
        <v>131</v>
      </c>
      <c r="P33" s="155">
        <v>0.25026737967914414</v>
      </c>
      <c r="Q33" s="29">
        <v>1</v>
      </c>
      <c r="R33" s="1">
        <v>1.05</v>
      </c>
      <c r="S33" s="139" t="s">
        <v>131</v>
      </c>
      <c r="T33" s="155">
        <v>0.25026737967914414</v>
      </c>
      <c r="U33" s="29">
        <v>1</v>
      </c>
      <c r="V33" s="1">
        <v>1.05</v>
      </c>
      <c r="W33" s="139" t="s">
        <v>131</v>
      </c>
      <c r="X33" s="155">
        <v>0.25026737967914414</v>
      </c>
      <c r="Y33" s="29">
        <v>1</v>
      </c>
      <c r="Z33" s="1">
        <v>1.05</v>
      </c>
      <c r="AA33" s="139" t="s">
        <v>131</v>
      </c>
      <c r="AB33" s="155">
        <v>0.25026737967914414</v>
      </c>
      <c r="AC33" s="29">
        <v>1</v>
      </c>
      <c r="AD33" s="1">
        <v>1.05</v>
      </c>
      <c r="AE33" s="139" t="s">
        <v>131</v>
      </c>
      <c r="AF33" s="155">
        <v>0.25026737967914414</v>
      </c>
      <c r="AG33" s="29">
        <v>1</v>
      </c>
      <c r="AH33" s="1">
        <v>1.05</v>
      </c>
      <c r="AI33" s="139" t="s">
        <v>131</v>
      </c>
      <c r="AJ33" s="155">
        <v>0.25026737967914414</v>
      </c>
      <c r="AK33" s="29">
        <v>1</v>
      </c>
      <c r="AL33" s="1">
        <v>1.05</v>
      </c>
      <c r="AM33" s="139" t="s">
        <v>131</v>
      </c>
      <c r="AN33" s="155">
        <v>0.25026737967914414</v>
      </c>
      <c r="AO33" s="29">
        <v>1</v>
      </c>
      <c r="AP33" s="1">
        <v>1.05</v>
      </c>
      <c r="AQ33" s="139" t="s">
        <v>131</v>
      </c>
      <c r="AR33" s="155">
        <v>0.25026737967914414</v>
      </c>
      <c r="AS33" s="29">
        <v>1</v>
      </c>
      <c r="AT33" s="1">
        <v>1.05</v>
      </c>
      <c r="AU33" s="139" t="s">
        <v>131</v>
      </c>
      <c r="AV33" s="155">
        <v>0.25026737967914414</v>
      </c>
      <c r="AW33" s="29">
        <v>1</v>
      </c>
      <c r="AX33" s="1">
        <v>1.05</v>
      </c>
      <c r="AY33" s="139" t="s">
        <v>131</v>
      </c>
      <c r="AZ33" s="155">
        <v>0.25026737967914414</v>
      </c>
      <c r="BA33" s="29">
        <v>1</v>
      </c>
      <c r="BB33" s="1">
        <v>1.05</v>
      </c>
      <c r="BC33" s="139" t="s">
        <v>131</v>
      </c>
      <c r="BD33" s="155">
        <v>0.25026737967914414</v>
      </c>
      <c r="BE33" s="29">
        <v>1</v>
      </c>
      <c r="BF33" s="1">
        <v>1.05</v>
      </c>
      <c r="BG33" s="139" t="s">
        <v>131</v>
      </c>
      <c r="BH33" s="155">
        <v>0.25026737967914414</v>
      </c>
      <c r="BI33" s="29">
        <v>1</v>
      </c>
      <c r="BJ33" s="1">
        <v>1.05</v>
      </c>
      <c r="BK33" s="139" t="s">
        <v>131</v>
      </c>
      <c r="BL33" s="155">
        <v>0.25026737967914414</v>
      </c>
      <c r="BM33" s="29">
        <v>1</v>
      </c>
      <c r="BN33" s="1">
        <v>1.05</v>
      </c>
      <c r="BO33" s="139" t="s">
        <v>131</v>
      </c>
      <c r="BP33" s="155">
        <v>0.25026737967914414</v>
      </c>
      <c r="BQ33" s="29">
        <v>1</v>
      </c>
      <c r="BR33" s="1">
        <v>1.05</v>
      </c>
      <c r="BS33" s="139" t="s">
        <v>131</v>
      </c>
      <c r="BT33" s="155">
        <v>0.25026737967914414</v>
      </c>
      <c r="BU33" s="29">
        <v>1</v>
      </c>
      <c r="BV33" s="1">
        <v>1.05</v>
      </c>
      <c r="BW33" s="139" t="s">
        <v>131</v>
      </c>
      <c r="BX33" s="155">
        <v>0.25026737967914414</v>
      </c>
      <c r="BY33" s="29">
        <v>1</v>
      </c>
      <c r="BZ33" s="1">
        <v>1.05</v>
      </c>
      <c r="CA33" s="139" t="s">
        <v>131</v>
      </c>
      <c r="CB33" s="155">
        <v>0.25026737967914414</v>
      </c>
      <c r="CC33" s="29">
        <v>1</v>
      </c>
      <c r="CD33" s="1">
        <v>1.05</v>
      </c>
      <c r="CE33" s="139" t="s">
        <v>131</v>
      </c>
      <c r="CF33" s="155">
        <v>0.25026737967914414</v>
      </c>
      <c r="CG33" s="29">
        <v>1</v>
      </c>
      <c r="CH33" s="1">
        <v>1.05</v>
      </c>
      <c r="CI33" s="31" t="s">
        <v>131</v>
      </c>
      <c r="CJ33" s="31"/>
    </row>
    <row r="34" spans="1:88" outlineLevel="1">
      <c r="A34" s="5">
        <v>32082</v>
      </c>
      <c r="B34" s="168" t="s">
        <v>523</v>
      </c>
      <c r="C34" s="169"/>
      <c r="D34" s="11" t="s">
        <v>402</v>
      </c>
      <c r="E34" s="170">
        <v>0</v>
      </c>
      <c r="F34" s="145" t="s">
        <v>106</v>
      </c>
      <c r="G34" s="16" t="s">
        <v>491</v>
      </c>
      <c r="H34" s="14" t="s">
        <v>402</v>
      </c>
      <c r="I34" s="14" t="s">
        <v>402</v>
      </c>
      <c r="J34" s="15">
        <v>0</v>
      </c>
      <c r="K34" s="16" t="s">
        <v>678</v>
      </c>
      <c r="L34" s="606">
        <v>1</v>
      </c>
      <c r="M34" s="29"/>
      <c r="N34" s="1"/>
      <c r="O34" s="139"/>
      <c r="P34" s="606">
        <v>0</v>
      </c>
      <c r="Q34" s="29"/>
      <c r="R34" s="1"/>
      <c r="S34" s="139"/>
      <c r="T34" s="606">
        <v>0</v>
      </c>
      <c r="U34" s="29"/>
      <c r="V34" s="1"/>
      <c r="W34" s="139"/>
      <c r="X34" s="606">
        <v>0</v>
      </c>
      <c r="Y34" s="29"/>
      <c r="Z34" s="1"/>
      <c r="AA34" s="139"/>
      <c r="AB34" s="606">
        <v>0</v>
      </c>
      <c r="AC34" s="29"/>
      <c r="AD34" s="1"/>
      <c r="AE34" s="139"/>
      <c r="AF34" s="606">
        <v>0</v>
      </c>
      <c r="AG34" s="29"/>
      <c r="AH34" s="1"/>
      <c r="AI34" s="139"/>
      <c r="AJ34" s="606">
        <v>0</v>
      </c>
      <c r="AK34" s="29"/>
      <c r="AL34" s="1"/>
      <c r="AM34" s="139"/>
      <c r="AN34" s="606">
        <v>0</v>
      </c>
      <c r="AO34" s="29"/>
      <c r="AP34" s="1"/>
      <c r="AQ34" s="139"/>
      <c r="AR34" s="606">
        <v>0</v>
      </c>
      <c r="AS34" s="29"/>
      <c r="AT34" s="1"/>
      <c r="AU34" s="139"/>
      <c r="AV34" s="606">
        <v>0</v>
      </c>
      <c r="AW34" s="29"/>
      <c r="AX34" s="1"/>
      <c r="AY34" s="139"/>
      <c r="AZ34" s="606">
        <v>0</v>
      </c>
      <c r="BA34" s="29"/>
      <c r="BB34" s="1"/>
      <c r="BC34" s="139"/>
      <c r="BD34" s="606">
        <v>0</v>
      </c>
      <c r="BE34" s="29"/>
      <c r="BF34" s="1"/>
      <c r="BG34" s="139"/>
      <c r="BH34" s="606">
        <v>0</v>
      </c>
      <c r="BI34" s="29"/>
      <c r="BJ34" s="1"/>
      <c r="BK34" s="139"/>
      <c r="BL34" s="606">
        <v>0</v>
      </c>
      <c r="BM34" s="29"/>
      <c r="BN34" s="1"/>
      <c r="BO34" s="139"/>
      <c r="BP34" s="606">
        <v>0</v>
      </c>
      <c r="BQ34" s="29"/>
      <c r="BR34" s="1"/>
      <c r="BS34" s="139"/>
      <c r="BT34" s="606">
        <v>0</v>
      </c>
      <c r="BU34" s="29"/>
      <c r="BV34" s="1"/>
      <c r="BW34" s="139"/>
      <c r="BX34" s="606">
        <v>0</v>
      </c>
      <c r="BY34" s="29"/>
      <c r="BZ34" s="1"/>
      <c r="CA34" s="139"/>
      <c r="CB34" s="606">
        <v>0</v>
      </c>
      <c r="CC34" s="29"/>
      <c r="CD34" s="1"/>
      <c r="CE34" s="139"/>
      <c r="CF34" s="606">
        <v>0</v>
      </c>
      <c r="CG34" s="29"/>
      <c r="CH34" s="1"/>
      <c r="CI34" s="31"/>
      <c r="CJ34" s="31"/>
    </row>
    <row r="35" spans="1:88" outlineLevel="1">
      <c r="A35" s="5">
        <v>32084</v>
      </c>
      <c r="B35" s="168"/>
      <c r="C35" s="169"/>
      <c r="D35" s="11" t="s">
        <v>402</v>
      </c>
      <c r="E35" s="170">
        <v>0</v>
      </c>
      <c r="F35" s="145" t="s">
        <v>106</v>
      </c>
      <c r="G35" s="16" t="s">
        <v>1435</v>
      </c>
      <c r="H35" s="14" t="s">
        <v>402</v>
      </c>
      <c r="I35" s="14" t="s">
        <v>402</v>
      </c>
      <c r="J35" s="15">
        <v>0</v>
      </c>
      <c r="K35" s="16" t="s">
        <v>678</v>
      </c>
      <c r="L35" s="606">
        <v>0</v>
      </c>
      <c r="M35" s="40"/>
      <c r="N35" s="89"/>
      <c r="O35" s="202"/>
      <c r="P35" s="606">
        <v>1</v>
      </c>
      <c r="Q35" s="40"/>
      <c r="R35" s="89"/>
      <c r="S35" s="202"/>
      <c r="T35" s="606">
        <v>0</v>
      </c>
      <c r="U35" s="40"/>
      <c r="V35" s="89"/>
      <c r="W35" s="202"/>
      <c r="X35" s="606">
        <v>0</v>
      </c>
      <c r="Y35" s="40"/>
      <c r="Z35" s="89"/>
      <c r="AA35" s="202"/>
      <c r="AB35" s="606">
        <v>0</v>
      </c>
      <c r="AC35" s="40"/>
      <c r="AD35" s="89"/>
      <c r="AE35" s="202"/>
      <c r="AF35" s="606">
        <v>0</v>
      </c>
      <c r="AG35" s="40"/>
      <c r="AH35" s="89"/>
      <c r="AI35" s="202"/>
      <c r="AJ35" s="606">
        <v>0</v>
      </c>
      <c r="AK35" s="40"/>
      <c r="AL35" s="89"/>
      <c r="AM35" s="202"/>
      <c r="AN35" s="606">
        <v>0</v>
      </c>
      <c r="AO35" s="40"/>
      <c r="AP35" s="89"/>
      <c r="AQ35" s="202"/>
      <c r="AR35" s="606">
        <v>0</v>
      </c>
      <c r="AS35" s="40"/>
      <c r="AT35" s="89"/>
      <c r="AU35" s="202"/>
      <c r="AV35" s="606">
        <v>0</v>
      </c>
      <c r="AW35" s="40"/>
      <c r="AX35" s="89"/>
      <c r="AY35" s="202"/>
      <c r="AZ35" s="606">
        <v>0</v>
      </c>
      <c r="BA35" s="40"/>
      <c r="BB35" s="89"/>
      <c r="BC35" s="202"/>
      <c r="BD35" s="606">
        <v>0</v>
      </c>
      <c r="BE35" s="40"/>
      <c r="BF35" s="89"/>
      <c r="BG35" s="202"/>
      <c r="BH35" s="606">
        <v>0</v>
      </c>
      <c r="BI35" s="40"/>
      <c r="BJ35" s="89"/>
      <c r="BK35" s="202"/>
      <c r="BL35" s="606">
        <v>0</v>
      </c>
      <c r="BM35" s="40"/>
      <c r="BN35" s="89"/>
      <c r="BO35" s="202"/>
      <c r="BP35" s="606">
        <v>0</v>
      </c>
      <c r="BQ35" s="40"/>
      <c r="BR35" s="89"/>
      <c r="BS35" s="202"/>
      <c r="BT35" s="606">
        <v>0</v>
      </c>
      <c r="BU35" s="40"/>
      <c r="BV35" s="89"/>
      <c r="BW35" s="202"/>
      <c r="BX35" s="606">
        <v>0</v>
      </c>
      <c r="BY35" s="40"/>
      <c r="BZ35" s="89"/>
      <c r="CA35" s="202"/>
      <c r="CB35" s="606">
        <v>0</v>
      </c>
      <c r="CC35" s="40"/>
      <c r="CD35" s="89"/>
      <c r="CE35" s="202"/>
      <c r="CF35" s="606">
        <v>0</v>
      </c>
      <c r="CG35" s="40"/>
      <c r="CH35" s="89"/>
      <c r="CI35" s="193"/>
      <c r="CJ35" s="193"/>
    </row>
    <row r="36" spans="1:88" outlineLevel="1">
      <c r="A36" s="5">
        <v>32090</v>
      </c>
      <c r="B36" s="168"/>
      <c r="C36" s="169"/>
      <c r="D36" s="11" t="s">
        <v>402</v>
      </c>
      <c r="E36" s="170">
        <v>0</v>
      </c>
      <c r="F36" s="145" t="s">
        <v>106</v>
      </c>
      <c r="G36" s="16" t="s">
        <v>1437</v>
      </c>
      <c r="H36" s="14" t="s">
        <v>402</v>
      </c>
      <c r="I36" s="14" t="s">
        <v>402</v>
      </c>
      <c r="J36" s="15">
        <v>0</v>
      </c>
      <c r="K36" s="16" t="s">
        <v>678</v>
      </c>
      <c r="L36" s="606">
        <v>0</v>
      </c>
      <c r="M36" s="40"/>
      <c r="N36" s="89"/>
      <c r="O36" s="202"/>
      <c r="P36" s="606">
        <v>0</v>
      </c>
      <c r="Q36" s="40"/>
      <c r="R36" s="89"/>
      <c r="S36" s="202"/>
      <c r="T36" s="606">
        <v>1</v>
      </c>
      <c r="U36" s="40"/>
      <c r="V36" s="89"/>
      <c r="W36" s="202"/>
      <c r="X36" s="606">
        <v>0</v>
      </c>
      <c r="Y36" s="40"/>
      <c r="Z36" s="89"/>
      <c r="AA36" s="202"/>
      <c r="AB36" s="606">
        <v>0</v>
      </c>
      <c r="AC36" s="40"/>
      <c r="AD36" s="89"/>
      <c r="AE36" s="202"/>
      <c r="AF36" s="606">
        <v>0</v>
      </c>
      <c r="AG36" s="40"/>
      <c r="AH36" s="89"/>
      <c r="AI36" s="202"/>
      <c r="AJ36" s="606">
        <v>0</v>
      </c>
      <c r="AK36" s="40"/>
      <c r="AL36" s="89"/>
      <c r="AM36" s="202"/>
      <c r="AN36" s="606">
        <v>0</v>
      </c>
      <c r="AO36" s="40"/>
      <c r="AP36" s="89"/>
      <c r="AQ36" s="202"/>
      <c r="AR36" s="606">
        <v>0</v>
      </c>
      <c r="AS36" s="40"/>
      <c r="AT36" s="89"/>
      <c r="AU36" s="202"/>
      <c r="AV36" s="606">
        <v>0</v>
      </c>
      <c r="AW36" s="40"/>
      <c r="AX36" s="89"/>
      <c r="AY36" s="202"/>
      <c r="AZ36" s="606">
        <v>0</v>
      </c>
      <c r="BA36" s="40"/>
      <c r="BB36" s="89"/>
      <c r="BC36" s="202"/>
      <c r="BD36" s="606">
        <v>0</v>
      </c>
      <c r="BE36" s="40"/>
      <c r="BF36" s="89"/>
      <c r="BG36" s="202"/>
      <c r="BH36" s="606">
        <v>0</v>
      </c>
      <c r="BI36" s="40"/>
      <c r="BJ36" s="89"/>
      <c r="BK36" s="202"/>
      <c r="BL36" s="606">
        <v>0</v>
      </c>
      <c r="BM36" s="40"/>
      <c r="BN36" s="89"/>
      <c r="BO36" s="202"/>
      <c r="BP36" s="606">
        <v>0</v>
      </c>
      <c r="BQ36" s="40"/>
      <c r="BR36" s="89"/>
      <c r="BS36" s="202"/>
      <c r="BT36" s="606">
        <v>0</v>
      </c>
      <c r="BU36" s="40"/>
      <c r="BV36" s="89"/>
      <c r="BW36" s="202"/>
      <c r="BX36" s="606">
        <v>0</v>
      </c>
      <c r="BY36" s="40"/>
      <c r="BZ36" s="89"/>
      <c r="CA36" s="202"/>
      <c r="CB36" s="606">
        <v>0</v>
      </c>
      <c r="CC36" s="40"/>
      <c r="CD36" s="89"/>
      <c r="CE36" s="202"/>
      <c r="CF36" s="606">
        <v>0</v>
      </c>
      <c r="CG36" s="40"/>
      <c r="CH36" s="89"/>
      <c r="CI36" s="193"/>
      <c r="CJ36" s="193"/>
    </row>
    <row r="37" spans="1:88" outlineLevel="1">
      <c r="A37" s="5">
        <v>32092</v>
      </c>
      <c r="B37" s="168"/>
      <c r="C37" s="169"/>
      <c r="D37" s="11" t="s">
        <v>402</v>
      </c>
      <c r="E37" s="170">
        <v>0</v>
      </c>
      <c r="F37" s="145" t="s">
        <v>106</v>
      </c>
      <c r="G37" s="16" t="s">
        <v>493</v>
      </c>
      <c r="H37" s="14" t="s">
        <v>402</v>
      </c>
      <c r="I37" s="14" t="s">
        <v>402</v>
      </c>
      <c r="J37" s="15">
        <v>0</v>
      </c>
      <c r="K37" s="16" t="s">
        <v>678</v>
      </c>
      <c r="L37" s="606">
        <v>0</v>
      </c>
      <c r="M37" s="40"/>
      <c r="N37" s="89"/>
      <c r="O37" s="202"/>
      <c r="P37" s="606">
        <v>0</v>
      </c>
      <c r="Q37" s="40"/>
      <c r="R37" s="89"/>
      <c r="S37" s="202"/>
      <c r="T37" s="606">
        <v>0</v>
      </c>
      <c r="U37" s="40"/>
      <c r="V37" s="89"/>
      <c r="W37" s="202"/>
      <c r="X37" s="606">
        <v>1</v>
      </c>
      <c r="Y37" s="40"/>
      <c r="Z37" s="89"/>
      <c r="AA37" s="202"/>
      <c r="AB37" s="606">
        <v>0</v>
      </c>
      <c r="AC37" s="40"/>
      <c r="AD37" s="89"/>
      <c r="AE37" s="202"/>
      <c r="AF37" s="606">
        <v>0</v>
      </c>
      <c r="AG37" s="40"/>
      <c r="AH37" s="89"/>
      <c r="AI37" s="202"/>
      <c r="AJ37" s="606">
        <v>0</v>
      </c>
      <c r="AK37" s="40"/>
      <c r="AL37" s="89"/>
      <c r="AM37" s="202"/>
      <c r="AN37" s="606">
        <v>0</v>
      </c>
      <c r="AO37" s="40"/>
      <c r="AP37" s="89"/>
      <c r="AQ37" s="202"/>
      <c r="AR37" s="606">
        <v>0</v>
      </c>
      <c r="AS37" s="40"/>
      <c r="AT37" s="89"/>
      <c r="AU37" s="202"/>
      <c r="AV37" s="606">
        <v>0</v>
      </c>
      <c r="AW37" s="40"/>
      <c r="AX37" s="89"/>
      <c r="AY37" s="202"/>
      <c r="AZ37" s="606">
        <v>0</v>
      </c>
      <c r="BA37" s="40"/>
      <c r="BB37" s="89"/>
      <c r="BC37" s="202"/>
      <c r="BD37" s="606">
        <v>0</v>
      </c>
      <c r="BE37" s="40"/>
      <c r="BF37" s="89"/>
      <c r="BG37" s="202"/>
      <c r="BH37" s="606">
        <v>0</v>
      </c>
      <c r="BI37" s="40"/>
      <c r="BJ37" s="89"/>
      <c r="BK37" s="202"/>
      <c r="BL37" s="606">
        <v>0</v>
      </c>
      <c r="BM37" s="40"/>
      <c r="BN37" s="89"/>
      <c r="BO37" s="202"/>
      <c r="BP37" s="606">
        <v>0</v>
      </c>
      <c r="BQ37" s="40"/>
      <c r="BR37" s="89"/>
      <c r="BS37" s="202"/>
      <c r="BT37" s="606">
        <v>0</v>
      </c>
      <c r="BU37" s="40"/>
      <c r="BV37" s="89"/>
      <c r="BW37" s="202"/>
      <c r="BX37" s="606">
        <v>0</v>
      </c>
      <c r="BY37" s="40"/>
      <c r="BZ37" s="89"/>
      <c r="CA37" s="202"/>
      <c r="CB37" s="606">
        <v>0</v>
      </c>
      <c r="CC37" s="40"/>
      <c r="CD37" s="89"/>
      <c r="CE37" s="202"/>
      <c r="CF37" s="606">
        <v>0</v>
      </c>
      <c r="CG37" s="40"/>
      <c r="CH37" s="89"/>
      <c r="CI37" s="193"/>
      <c r="CJ37" s="193"/>
    </row>
    <row r="38" spans="1:88" outlineLevel="1">
      <c r="A38" s="5">
        <v>32094</v>
      </c>
      <c r="B38" s="168"/>
      <c r="C38" s="169"/>
      <c r="D38" s="11" t="s">
        <v>402</v>
      </c>
      <c r="E38" s="170">
        <v>0</v>
      </c>
      <c r="F38" s="145" t="s">
        <v>106</v>
      </c>
      <c r="G38" s="16" t="s">
        <v>1438</v>
      </c>
      <c r="H38" s="14" t="s">
        <v>402</v>
      </c>
      <c r="I38" s="14" t="s">
        <v>402</v>
      </c>
      <c r="J38" s="15">
        <v>0</v>
      </c>
      <c r="K38" s="16" t="s">
        <v>678</v>
      </c>
      <c r="L38" s="606">
        <v>0</v>
      </c>
      <c r="M38" s="40"/>
      <c r="N38" s="89"/>
      <c r="O38" s="202"/>
      <c r="P38" s="606">
        <v>0</v>
      </c>
      <c r="Q38" s="40"/>
      <c r="R38" s="89"/>
      <c r="S38" s="202"/>
      <c r="T38" s="606">
        <v>0</v>
      </c>
      <c r="U38" s="40"/>
      <c r="V38" s="89"/>
      <c r="W38" s="202"/>
      <c r="X38" s="606">
        <v>0</v>
      </c>
      <c r="Y38" s="40"/>
      <c r="Z38" s="89"/>
      <c r="AA38" s="202"/>
      <c r="AB38" s="606">
        <v>1</v>
      </c>
      <c r="AC38" s="40"/>
      <c r="AD38" s="89"/>
      <c r="AE38" s="202"/>
      <c r="AF38" s="606">
        <v>0</v>
      </c>
      <c r="AG38" s="40"/>
      <c r="AH38" s="89"/>
      <c r="AI38" s="202"/>
      <c r="AJ38" s="606">
        <v>0</v>
      </c>
      <c r="AK38" s="40"/>
      <c r="AL38" s="89"/>
      <c r="AM38" s="202"/>
      <c r="AN38" s="606">
        <v>0</v>
      </c>
      <c r="AO38" s="40"/>
      <c r="AP38" s="89"/>
      <c r="AQ38" s="202"/>
      <c r="AR38" s="606">
        <v>0</v>
      </c>
      <c r="AS38" s="40"/>
      <c r="AT38" s="89"/>
      <c r="AU38" s="202"/>
      <c r="AV38" s="606">
        <v>0</v>
      </c>
      <c r="AW38" s="40"/>
      <c r="AX38" s="89"/>
      <c r="AY38" s="202"/>
      <c r="AZ38" s="606">
        <v>0</v>
      </c>
      <c r="BA38" s="40"/>
      <c r="BB38" s="89"/>
      <c r="BC38" s="202"/>
      <c r="BD38" s="606">
        <v>0</v>
      </c>
      <c r="BE38" s="40"/>
      <c r="BF38" s="89"/>
      <c r="BG38" s="202"/>
      <c r="BH38" s="606">
        <v>0</v>
      </c>
      <c r="BI38" s="40"/>
      <c r="BJ38" s="89"/>
      <c r="BK38" s="202"/>
      <c r="BL38" s="606">
        <v>0</v>
      </c>
      <c r="BM38" s="40"/>
      <c r="BN38" s="89"/>
      <c r="BO38" s="202"/>
      <c r="BP38" s="606">
        <v>0</v>
      </c>
      <c r="BQ38" s="40"/>
      <c r="BR38" s="89"/>
      <c r="BS38" s="202"/>
      <c r="BT38" s="606">
        <v>0</v>
      </c>
      <c r="BU38" s="40"/>
      <c r="BV38" s="89"/>
      <c r="BW38" s="202"/>
      <c r="BX38" s="606">
        <v>0</v>
      </c>
      <c r="BY38" s="40"/>
      <c r="BZ38" s="89"/>
      <c r="CA38" s="202"/>
      <c r="CB38" s="606">
        <v>0</v>
      </c>
      <c r="CC38" s="40"/>
      <c r="CD38" s="89"/>
      <c r="CE38" s="202"/>
      <c r="CF38" s="606">
        <v>0</v>
      </c>
      <c r="CG38" s="40"/>
      <c r="CH38" s="89"/>
      <c r="CI38" s="193"/>
      <c r="CJ38" s="193"/>
    </row>
    <row r="39" spans="1:88" outlineLevel="1">
      <c r="A39" s="5">
        <v>32095</v>
      </c>
      <c r="B39" s="168"/>
      <c r="C39" s="169"/>
      <c r="D39" s="11" t="s">
        <v>402</v>
      </c>
      <c r="E39" s="170">
        <v>0</v>
      </c>
      <c r="F39" s="145" t="s">
        <v>106</v>
      </c>
      <c r="G39" s="16" t="s">
        <v>495</v>
      </c>
      <c r="H39" s="14" t="s">
        <v>402</v>
      </c>
      <c r="I39" s="14" t="s">
        <v>402</v>
      </c>
      <c r="J39" s="15">
        <v>0</v>
      </c>
      <c r="K39" s="16" t="s">
        <v>678</v>
      </c>
      <c r="L39" s="606">
        <v>0</v>
      </c>
      <c r="M39" s="29"/>
      <c r="N39" s="1"/>
      <c r="O39" s="139"/>
      <c r="P39" s="606">
        <v>0</v>
      </c>
      <c r="Q39" s="29"/>
      <c r="R39" s="1"/>
      <c r="S39" s="139"/>
      <c r="T39" s="606">
        <v>0</v>
      </c>
      <c r="U39" s="29"/>
      <c r="V39" s="1"/>
      <c r="W39" s="139"/>
      <c r="X39" s="606">
        <v>0</v>
      </c>
      <c r="Y39" s="29"/>
      <c r="Z39" s="1"/>
      <c r="AA39" s="139"/>
      <c r="AB39" s="606">
        <v>0</v>
      </c>
      <c r="AC39" s="29"/>
      <c r="AD39" s="1"/>
      <c r="AE39" s="139"/>
      <c r="AF39" s="606">
        <v>1</v>
      </c>
      <c r="AG39" s="29"/>
      <c r="AH39" s="1"/>
      <c r="AI39" s="139"/>
      <c r="AJ39" s="606">
        <v>0</v>
      </c>
      <c r="AK39" s="29"/>
      <c r="AL39" s="1"/>
      <c r="AM39" s="139"/>
      <c r="AN39" s="606">
        <v>0</v>
      </c>
      <c r="AO39" s="29"/>
      <c r="AP39" s="1"/>
      <c r="AQ39" s="139"/>
      <c r="AR39" s="606">
        <v>0</v>
      </c>
      <c r="AS39" s="29"/>
      <c r="AT39" s="1"/>
      <c r="AU39" s="139"/>
      <c r="AV39" s="606">
        <v>0</v>
      </c>
      <c r="AW39" s="29"/>
      <c r="AX39" s="1"/>
      <c r="AY39" s="139"/>
      <c r="AZ39" s="606">
        <v>0</v>
      </c>
      <c r="BA39" s="29"/>
      <c r="BB39" s="1"/>
      <c r="BC39" s="139"/>
      <c r="BD39" s="606">
        <v>0</v>
      </c>
      <c r="BE39" s="29"/>
      <c r="BF39" s="1"/>
      <c r="BG39" s="139"/>
      <c r="BH39" s="606">
        <v>0</v>
      </c>
      <c r="BI39" s="29"/>
      <c r="BJ39" s="1"/>
      <c r="BK39" s="139"/>
      <c r="BL39" s="606">
        <v>0</v>
      </c>
      <c r="BM39" s="29"/>
      <c r="BN39" s="1"/>
      <c r="BO39" s="139"/>
      <c r="BP39" s="606">
        <v>0</v>
      </c>
      <c r="BQ39" s="29"/>
      <c r="BR39" s="1"/>
      <c r="BS39" s="139"/>
      <c r="BT39" s="606">
        <v>0</v>
      </c>
      <c r="BU39" s="29"/>
      <c r="BV39" s="1"/>
      <c r="BW39" s="139"/>
      <c r="BX39" s="606">
        <v>0</v>
      </c>
      <c r="BY39" s="29"/>
      <c r="BZ39" s="1"/>
      <c r="CA39" s="139"/>
      <c r="CB39" s="606">
        <v>0</v>
      </c>
      <c r="CC39" s="29"/>
      <c r="CD39" s="1"/>
      <c r="CE39" s="139"/>
      <c r="CF39" s="606">
        <v>0</v>
      </c>
      <c r="CG39" s="29"/>
      <c r="CH39" s="1"/>
      <c r="CI39" s="31"/>
      <c r="CJ39" s="31"/>
    </row>
    <row r="40" spans="1:88" outlineLevel="1">
      <c r="A40" s="5">
        <v>32091</v>
      </c>
      <c r="B40" s="168"/>
      <c r="C40" s="169"/>
      <c r="D40" s="11" t="s">
        <v>402</v>
      </c>
      <c r="E40" s="170">
        <v>0</v>
      </c>
      <c r="F40" s="145" t="s">
        <v>106</v>
      </c>
      <c r="G40" s="16" t="s">
        <v>268</v>
      </c>
      <c r="H40" s="14" t="s">
        <v>402</v>
      </c>
      <c r="I40" s="14" t="s">
        <v>402</v>
      </c>
      <c r="J40" s="15">
        <v>0</v>
      </c>
      <c r="K40" s="16" t="s">
        <v>678</v>
      </c>
      <c r="L40" s="606">
        <v>0</v>
      </c>
      <c r="M40" s="40"/>
      <c r="N40" s="89"/>
      <c r="O40" s="202"/>
      <c r="P40" s="606">
        <v>0</v>
      </c>
      <c r="Q40" s="40"/>
      <c r="R40" s="89"/>
      <c r="S40" s="202"/>
      <c r="T40" s="606">
        <v>0</v>
      </c>
      <c r="U40" s="40"/>
      <c r="V40" s="89"/>
      <c r="W40" s="202"/>
      <c r="X40" s="606">
        <v>0</v>
      </c>
      <c r="Y40" s="40"/>
      <c r="Z40" s="89"/>
      <c r="AA40" s="202"/>
      <c r="AB40" s="606">
        <v>0</v>
      </c>
      <c r="AC40" s="40"/>
      <c r="AD40" s="89"/>
      <c r="AE40" s="202"/>
      <c r="AF40" s="606">
        <v>0</v>
      </c>
      <c r="AG40" s="40"/>
      <c r="AH40" s="89"/>
      <c r="AI40" s="202"/>
      <c r="AJ40" s="606">
        <v>1</v>
      </c>
      <c r="AK40" s="40"/>
      <c r="AL40" s="89"/>
      <c r="AM40" s="202"/>
      <c r="AN40" s="606">
        <v>0</v>
      </c>
      <c r="AO40" s="40"/>
      <c r="AP40" s="89"/>
      <c r="AQ40" s="202"/>
      <c r="AR40" s="606">
        <v>0</v>
      </c>
      <c r="AS40" s="40"/>
      <c r="AT40" s="89"/>
      <c r="AU40" s="202"/>
      <c r="AV40" s="606">
        <v>0</v>
      </c>
      <c r="AW40" s="40"/>
      <c r="AX40" s="89"/>
      <c r="AY40" s="202"/>
      <c r="AZ40" s="606">
        <v>0</v>
      </c>
      <c r="BA40" s="40"/>
      <c r="BB40" s="89"/>
      <c r="BC40" s="202"/>
      <c r="BD40" s="606">
        <v>0</v>
      </c>
      <c r="BE40" s="40"/>
      <c r="BF40" s="89"/>
      <c r="BG40" s="202"/>
      <c r="BH40" s="606">
        <v>0</v>
      </c>
      <c r="BI40" s="40"/>
      <c r="BJ40" s="89"/>
      <c r="BK40" s="202"/>
      <c r="BL40" s="606">
        <v>0</v>
      </c>
      <c r="BM40" s="40"/>
      <c r="BN40" s="89"/>
      <c r="BO40" s="202"/>
      <c r="BP40" s="606">
        <v>0</v>
      </c>
      <c r="BQ40" s="40"/>
      <c r="BR40" s="89"/>
      <c r="BS40" s="202"/>
      <c r="BT40" s="606">
        <v>0</v>
      </c>
      <c r="BU40" s="40"/>
      <c r="BV40" s="89"/>
      <c r="BW40" s="202"/>
      <c r="BX40" s="606">
        <v>0</v>
      </c>
      <c r="BY40" s="40"/>
      <c r="BZ40" s="89"/>
      <c r="CA40" s="202"/>
      <c r="CB40" s="606">
        <v>0</v>
      </c>
      <c r="CC40" s="40"/>
      <c r="CD40" s="89"/>
      <c r="CE40" s="202"/>
      <c r="CF40" s="606">
        <v>0</v>
      </c>
      <c r="CG40" s="40"/>
      <c r="CH40" s="89"/>
      <c r="CI40" s="193"/>
      <c r="CJ40" s="193"/>
    </row>
    <row r="41" spans="1:88" outlineLevel="1">
      <c r="A41" s="5">
        <v>32097</v>
      </c>
      <c r="B41" s="168"/>
      <c r="C41" s="169"/>
      <c r="D41" s="11" t="s">
        <v>402</v>
      </c>
      <c r="E41" s="170">
        <v>0</v>
      </c>
      <c r="F41" s="145" t="s">
        <v>106</v>
      </c>
      <c r="G41" s="16" t="s">
        <v>1440</v>
      </c>
      <c r="H41" s="14" t="s">
        <v>402</v>
      </c>
      <c r="I41" s="14" t="s">
        <v>402</v>
      </c>
      <c r="J41" s="15">
        <v>0</v>
      </c>
      <c r="K41" s="16" t="s">
        <v>678</v>
      </c>
      <c r="L41" s="606">
        <v>0</v>
      </c>
      <c r="M41" s="40"/>
      <c r="N41" s="89"/>
      <c r="O41" s="202"/>
      <c r="P41" s="606">
        <v>0</v>
      </c>
      <c r="Q41" s="40"/>
      <c r="R41" s="89"/>
      <c r="S41" s="202"/>
      <c r="T41" s="606">
        <v>0</v>
      </c>
      <c r="U41" s="40"/>
      <c r="V41" s="89"/>
      <c r="W41" s="202"/>
      <c r="X41" s="606">
        <v>0</v>
      </c>
      <c r="Y41" s="40"/>
      <c r="Z41" s="89"/>
      <c r="AA41" s="202"/>
      <c r="AB41" s="606">
        <v>0</v>
      </c>
      <c r="AC41" s="40"/>
      <c r="AD41" s="89"/>
      <c r="AE41" s="202"/>
      <c r="AF41" s="606">
        <v>0</v>
      </c>
      <c r="AG41" s="40"/>
      <c r="AH41" s="89"/>
      <c r="AI41" s="202"/>
      <c r="AJ41" s="606">
        <v>0</v>
      </c>
      <c r="AK41" s="40"/>
      <c r="AL41" s="89"/>
      <c r="AM41" s="202"/>
      <c r="AN41" s="606">
        <v>1</v>
      </c>
      <c r="AO41" s="40"/>
      <c r="AP41" s="89"/>
      <c r="AQ41" s="202"/>
      <c r="AR41" s="606">
        <v>0</v>
      </c>
      <c r="AS41" s="40"/>
      <c r="AT41" s="89"/>
      <c r="AU41" s="202"/>
      <c r="AV41" s="606">
        <v>0</v>
      </c>
      <c r="AW41" s="40"/>
      <c r="AX41" s="89"/>
      <c r="AY41" s="202"/>
      <c r="AZ41" s="606">
        <v>0</v>
      </c>
      <c r="BA41" s="40"/>
      <c r="BB41" s="89"/>
      <c r="BC41" s="202"/>
      <c r="BD41" s="606">
        <v>0</v>
      </c>
      <c r="BE41" s="40"/>
      <c r="BF41" s="89"/>
      <c r="BG41" s="202"/>
      <c r="BH41" s="606">
        <v>0</v>
      </c>
      <c r="BI41" s="40"/>
      <c r="BJ41" s="89"/>
      <c r="BK41" s="202"/>
      <c r="BL41" s="606">
        <v>0</v>
      </c>
      <c r="BM41" s="40"/>
      <c r="BN41" s="89"/>
      <c r="BO41" s="202"/>
      <c r="BP41" s="606">
        <v>0</v>
      </c>
      <c r="BQ41" s="40"/>
      <c r="BR41" s="89"/>
      <c r="BS41" s="202"/>
      <c r="BT41" s="606">
        <v>0</v>
      </c>
      <c r="BU41" s="40"/>
      <c r="BV41" s="89"/>
      <c r="BW41" s="202"/>
      <c r="BX41" s="606">
        <v>0</v>
      </c>
      <c r="BY41" s="40"/>
      <c r="BZ41" s="89"/>
      <c r="CA41" s="202"/>
      <c r="CB41" s="606">
        <v>0</v>
      </c>
      <c r="CC41" s="40"/>
      <c r="CD41" s="89"/>
      <c r="CE41" s="202"/>
      <c r="CF41" s="606">
        <v>0</v>
      </c>
      <c r="CG41" s="40"/>
      <c r="CH41" s="89"/>
      <c r="CI41" s="193"/>
      <c r="CJ41" s="193"/>
    </row>
    <row r="42" spans="1:88" outlineLevel="1">
      <c r="A42" s="5">
        <v>32099</v>
      </c>
      <c r="B42" s="168"/>
      <c r="C42" s="169"/>
      <c r="D42" s="11" t="s">
        <v>402</v>
      </c>
      <c r="E42" s="170">
        <v>0</v>
      </c>
      <c r="F42" s="145" t="s">
        <v>106</v>
      </c>
      <c r="G42" s="16" t="s">
        <v>1441</v>
      </c>
      <c r="H42" s="14" t="s">
        <v>402</v>
      </c>
      <c r="I42" s="14" t="s">
        <v>402</v>
      </c>
      <c r="J42" s="15">
        <v>0</v>
      </c>
      <c r="K42" s="16" t="s">
        <v>678</v>
      </c>
      <c r="L42" s="606">
        <v>0</v>
      </c>
      <c r="M42" s="40"/>
      <c r="N42" s="89"/>
      <c r="O42" s="202"/>
      <c r="P42" s="606">
        <v>0</v>
      </c>
      <c r="Q42" s="40"/>
      <c r="R42" s="89"/>
      <c r="S42" s="202"/>
      <c r="T42" s="606">
        <v>0</v>
      </c>
      <c r="U42" s="40"/>
      <c r="V42" s="89"/>
      <c r="W42" s="202"/>
      <c r="X42" s="606">
        <v>0</v>
      </c>
      <c r="Y42" s="40"/>
      <c r="Z42" s="89"/>
      <c r="AA42" s="202"/>
      <c r="AB42" s="606">
        <v>0</v>
      </c>
      <c r="AC42" s="40"/>
      <c r="AD42" s="89"/>
      <c r="AE42" s="202"/>
      <c r="AF42" s="606">
        <v>0</v>
      </c>
      <c r="AG42" s="40"/>
      <c r="AH42" s="89"/>
      <c r="AI42" s="202"/>
      <c r="AJ42" s="606">
        <v>0</v>
      </c>
      <c r="AK42" s="40"/>
      <c r="AL42" s="89"/>
      <c r="AM42" s="202"/>
      <c r="AN42" s="606">
        <v>0</v>
      </c>
      <c r="AO42" s="40"/>
      <c r="AP42" s="89"/>
      <c r="AQ42" s="202"/>
      <c r="AR42" s="606">
        <v>1</v>
      </c>
      <c r="AS42" s="40"/>
      <c r="AT42" s="89"/>
      <c r="AU42" s="202"/>
      <c r="AV42" s="606">
        <v>0</v>
      </c>
      <c r="AW42" s="40"/>
      <c r="AX42" s="89"/>
      <c r="AY42" s="202"/>
      <c r="AZ42" s="606">
        <v>0</v>
      </c>
      <c r="BA42" s="40"/>
      <c r="BB42" s="89"/>
      <c r="BC42" s="202"/>
      <c r="BD42" s="606">
        <v>0</v>
      </c>
      <c r="BE42" s="40"/>
      <c r="BF42" s="89"/>
      <c r="BG42" s="202"/>
      <c r="BH42" s="606">
        <v>0</v>
      </c>
      <c r="BI42" s="40"/>
      <c r="BJ42" s="89"/>
      <c r="BK42" s="202"/>
      <c r="BL42" s="606">
        <v>0</v>
      </c>
      <c r="BM42" s="40"/>
      <c r="BN42" s="89"/>
      <c r="BO42" s="202"/>
      <c r="BP42" s="606">
        <v>0</v>
      </c>
      <c r="BQ42" s="40"/>
      <c r="BR42" s="89"/>
      <c r="BS42" s="202"/>
      <c r="BT42" s="606">
        <v>0</v>
      </c>
      <c r="BU42" s="40"/>
      <c r="BV42" s="89"/>
      <c r="BW42" s="202"/>
      <c r="BX42" s="606">
        <v>0</v>
      </c>
      <c r="BY42" s="40"/>
      <c r="BZ42" s="89"/>
      <c r="CA42" s="202"/>
      <c r="CB42" s="606">
        <v>0</v>
      </c>
      <c r="CC42" s="40"/>
      <c r="CD42" s="89"/>
      <c r="CE42" s="202"/>
      <c r="CF42" s="606">
        <v>0</v>
      </c>
      <c r="CG42" s="40"/>
      <c r="CH42" s="89"/>
      <c r="CI42" s="193"/>
      <c r="CJ42" s="193"/>
    </row>
    <row r="43" spans="1:88" outlineLevel="1">
      <c r="A43" s="5">
        <v>32100</v>
      </c>
      <c r="B43" s="168"/>
      <c r="C43" s="169"/>
      <c r="D43" s="11" t="s">
        <v>402</v>
      </c>
      <c r="E43" s="170">
        <v>0</v>
      </c>
      <c r="F43" s="145" t="s">
        <v>106</v>
      </c>
      <c r="G43" s="16" t="s">
        <v>1442</v>
      </c>
      <c r="H43" s="14" t="s">
        <v>402</v>
      </c>
      <c r="I43" s="14" t="s">
        <v>402</v>
      </c>
      <c r="J43" s="15">
        <v>0</v>
      </c>
      <c r="K43" s="16" t="s">
        <v>678</v>
      </c>
      <c r="L43" s="606">
        <v>0</v>
      </c>
      <c r="M43" s="40"/>
      <c r="N43" s="89"/>
      <c r="O43" s="202"/>
      <c r="P43" s="606">
        <v>0</v>
      </c>
      <c r="Q43" s="40"/>
      <c r="R43" s="89"/>
      <c r="S43" s="202"/>
      <c r="T43" s="606">
        <v>0</v>
      </c>
      <c r="U43" s="40"/>
      <c r="V43" s="89"/>
      <c r="W43" s="202"/>
      <c r="X43" s="606">
        <v>0</v>
      </c>
      <c r="Y43" s="40"/>
      <c r="Z43" s="89"/>
      <c r="AA43" s="202"/>
      <c r="AB43" s="606">
        <v>0</v>
      </c>
      <c r="AC43" s="40"/>
      <c r="AD43" s="89"/>
      <c r="AE43" s="202"/>
      <c r="AF43" s="606">
        <v>0</v>
      </c>
      <c r="AG43" s="40"/>
      <c r="AH43" s="89"/>
      <c r="AI43" s="202"/>
      <c r="AJ43" s="606">
        <v>0</v>
      </c>
      <c r="AK43" s="40"/>
      <c r="AL43" s="89"/>
      <c r="AM43" s="202"/>
      <c r="AN43" s="606">
        <v>0</v>
      </c>
      <c r="AO43" s="40"/>
      <c r="AP43" s="89"/>
      <c r="AQ43" s="202"/>
      <c r="AR43" s="606">
        <v>0</v>
      </c>
      <c r="AS43" s="40"/>
      <c r="AT43" s="89"/>
      <c r="AU43" s="202"/>
      <c r="AV43" s="606">
        <v>1</v>
      </c>
      <c r="AW43" s="40"/>
      <c r="AX43" s="89"/>
      <c r="AY43" s="202"/>
      <c r="AZ43" s="606">
        <v>0</v>
      </c>
      <c r="BA43" s="40"/>
      <c r="BB43" s="89"/>
      <c r="BC43" s="202"/>
      <c r="BD43" s="606">
        <v>0</v>
      </c>
      <c r="BE43" s="40"/>
      <c r="BF43" s="89"/>
      <c r="BG43" s="202"/>
      <c r="BH43" s="606">
        <v>0</v>
      </c>
      <c r="BI43" s="40"/>
      <c r="BJ43" s="89"/>
      <c r="BK43" s="202"/>
      <c r="BL43" s="606">
        <v>0</v>
      </c>
      <c r="BM43" s="40"/>
      <c r="BN43" s="89"/>
      <c r="BO43" s="202"/>
      <c r="BP43" s="606">
        <v>0</v>
      </c>
      <c r="BQ43" s="40"/>
      <c r="BR43" s="89"/>
      <c r="BS43" s="202"/>
      <c r="BT43" s="606">
        <v>0</v>
      </c>
      <c r="BU43" s="40"/>
      <c r="BV43" s="89"/>
      <c r="BW43" s="202"/>
      <c r="BX43" s="606">
        <v>0</v>
      </c>
      <c r="BY43" s="40"/>
      <c r="BZ43" s="89"/>
      <c r="CA43" s="202"/>
      <c r="CB43" s="606">
        <v>0</v>
      </c>
      <c r="CC43" s="40"/>
      <c r="CD43" s="89"/>
      <c r="CE43" s="202"/>
      <c r="CF43" s="606">
        <v>0</v>
      </c>
      <c r="CG43" s="40"/>
      <c r="CH43" s="89"/>
      <c r="CI43" s="193"/>
      <c r="CJ43" s="193"/>
    </row>
    <row r="44" spans="1:88" outlineLevel="1">
      <c r="A44" s="5">
        <v>32101</v>
      </c>
      <c r="B44" s="168"/>
      <c r="C44" s="169"/>
      <c r="D44" s="11" t="s">
        <v>402</v>
      </c>
      <c r="E44" s="170">
        <v>0</v>
      </c>
      <c r="F44" s="145" t="s">
        <v>106</v>
      </c>
      <c r="G44" s="16" t="s">
        <v>210</v>
      </c>
      <c r="H44" s="14" t="s">
        <v>402</v>
      </c>
      <c r="I44" s="14" t="s">
        <v>402</v>
      </c>
      <c r="J44" s="15">
        <v>0</v>
      </c>
      <c r="K44" s="16" t="s">
        <v>678</v>
      </c>
      <c r="L44" s="606">
        <v>0</v>
      </c>
      <c r="M44" s="40"/>
      <c r="N44" s="89"/>
      <c r="O44" s="202"/>
      <c r="P44" s="606">
        <v>0</v>
      </c>
      <c r="Q44" s="40"/>
      <c r="R44" s="89"/>
      <c r="S44" s="202"/>
      <c r="T44" s="606">
        <v>0</v>
      </c>
      <c r="U44" s="40"/>
      <c r="V44" s="89"/>
      <c r="W44" s="202"/>
      <c r="X44" s="606">
        <v>0</v>
      </c>
      <c r="Y44" s="40"/>
      <c r="Z44" s="89"/>
      <c r="AA44" s="202"/>
      <c r="AB44" s="606">
        <v>0</v>
      </c>
      <c r="AC44" s="40"/>
      <c r="AD44" s="89"/>
      <c r="AE44" s="202"/>
      <c r="AF44" s="606">
        <v>0</v>
      </c>
      <c r="AG44" s="40"/>
      <c r="AH44" s="89"/>
      <c r="AI44" s="202"/>
      <c r="AJ44" s="606">
        <v>0</v>
      </c>
      <c r="AK44" s="40"/>
      <c r="AL44" s="89"/>
      <c r="AM44" s="202"/>
      <c r="AN44" s="606">
        <v>0</v>
      </c>
      <c r="AO44" s="40"/>
      <c r="AP44" s="89"/>
      <c r="AQ44" s="202"/>
      <c r="AR44" s="606">
        <v>0</v>
      </c>
      <c r="AS44" s="40"/>
      <c r="AT44" s="89"/>
      <c r="AU44" s="202"/>
      <c r="AV44" s="606">
        <v>0</v>
      </c>
      <c r="AW44" s="40"/>
      <c r="AX44" s="89"/>
      <c r="AY44" s="202"/>
      <c r="AZ44" s="606">
        <v>1</v>
      </c>
      <c r="BA44" s="40"/>
      <c r="BB44" s="89"/>
      <c r="BC44" s="202"/>
      <c r="BD44" s="606">
        <v>0</v>
      </c>
      <c r="BE44" s="40"/>
      <c r="BF44" s="89"/>
      <c r="BG44" s="202"/>
      <c r="BH44" s="606">
        <v>0</v>
      </c>
      <c r="BI44" s="40"/>
      <c r="BJ44" s="89"/>
      <c r="BK44" s="202"/>
      <c r="BL44" s="606">
        <v>0</v>
      </c>
      <c r="BM44" s="40"/>
      <c r="BN44" s="89"/>
      <c r="BO44" s="202"/>
      <c r="BP44" s="606">
        <v>0</v>
      </c>
      <c r="BQ44" s="40"/>
      <c r="BR44" s="89"/>
      <c r="BS44" s="202"/>
      <c r="BT44" s="606">
        <v>0</v>
      </c>
      <c r="BU44" s="40"/>
      <c r="BV44" s="89"/>
      <c r="BW44" s="202"/>
      <c r="BX44" s="606">
        <v>0</v>
      </c>
      <c r="BY44" s="40"/>
      <c r="BZ44" s="89"/>
      <c r="CA44" s="202"/>
      <c r="CB44" s="606">
        <v>0</v>
      </c>
      <c r="CC44" s="40"/>
      <c r="CD44" s="89"/>
      <c r="CE44" s="202"/>
      <c r="CF44" s="606">
        <v>0</v>
      </c>
      <c r="CG44" s="40"/>
      <c r="CH44" s="89"/>
      <c r="CI44" s="193"/>
      <c r="CJ44" s="193"/>
    </row>
    <row r="45" spans="1:88" outlineLevel="1">
      <c r="A45" s="5">
        <v>32103</v>
      </c>
      <c r="B45" s="168"/>
      <c r="C45" s="169"/>
      <c r="D45" s="11" t="s">
        <v>402</v>
      </c>
      <c r="E45" s="170">
        <v>0</v>
      </c>
      <c r="F45" s="145" t="s">
        <v>106</v>
      </c>
      <c r="G45" s="16" t="s">
        <v>1443</v>
      </c>
      <c r="H45" s="14" t="s">
        <v>402</v>
      </c>
      <c r="I45" s="14" t="s">
        <v>402</v>
      </c>
      <c r="J45" s="15">
        <v>0</v>
      </c>
      <c r="K45" s="16" t="s">
        <v>678</v>
      </c>
      <c r="L45" s="606">
        <v>0</v>
      </c>
      <c r="M45" s="40"/>
      <c r="N45" s="89"/>
      <c r="O45" s="202"/>
      <c r="P45" s="606">
        <v>0</v>
      </c>
      <c r="Q45" s="40"/>
      <c r="R45" s="89"/>
      <c r="S45" s="202"/>
      <c r="T45" s="606">
        <v>0</v>
      </c>
      <c r="U45" s="40"/>
      <c r="V45" s="89"/>
      <c r="W45" s="202"/>
      <c r="X45" s="606">
        <v>0</v>
      </c>
      <c r="Y45" s="40"/>
      <c r="Z45" s="89"/>
      <c r="AA45" s="202"/>
      <c r="AB45" s="606">
        <v>0</v>
      </c>
      <c r="AC45" s="40"/>
      <c r="AD45" s="89"/>
      <c r="AE45" s="202"/>
      <c r="AF45" s="606">
        <v>0</v>
      </c>
      <c r="AG45" s="40"/>
      <c r="AH45" s="89"/>
      <c r="AI45" s="202"/>
      <c r="AJ45" s="606">
        <v>0</v>
      </c>
      <c r="AK45" s="40"/>
      <c r="AL45" s="89"/>
      <c r="AM45" s="202"/>
      <c r="AN45" s="606">
        <v>0</v>
      </c>
      <c r="AO45" s="40"/>
      <c r="AP45" s="89"/>
      <c r="AQ45" s="202"/>
      <c r="AR45" s="606">
        <v>0</v>
      </c>
      <c r="AS45" s="40"/>
      <c r="AT45" s="89"/>
      <c r="AU45" s="202"/>
      <c r="AV45" s="606">
        <v>0</v>
      </c>
      <c r="AW45" s="40"/>
      <c r="AX45" s="89"/>
      <c r="AY45" s="202"/>
      <c r="AZ45" s="606">
        <v>0</v>
      </c>
      <c r="BA45" s="40"/>
      <c r="BB45" s="89"/>
      <c r="BC45" s="202"/>
      <c r="BD45" s="606">
        <v>1</v>
      </c>
      <c r="BE45" s="40"/>
      <c r="BF45" s="89"/>
      <c r="BG45" s="202"/>
      <c r="BH45" s="606">
        <v>0</v>
      </c>
      <c r="BI45" s="40"/>
      <c r="BJ45" s="89"/>
      <c r="BK45" s="202"/>
      <c r="BL45" s="606">
        <v>0</v>
      </c>
      <c r="BM45" s="40"/>
      <c r="BN45" s="89"/>
      <c r="BO45" s="202"/>
      <c r="BP45" s="606">
        <v>0</v>
      </c>
      <c r="BQ45" s="40"/>
      <c r="BR45" s="89"/>
      <c r="BS45" s="202"/>
      <c r="BT45" s="606">
        <v>0</v>
      </c>
      <c r="BU45" s="40"/>
      <c r="BV45" s="89"/>
      <c r="BW45" s="202"/>
      <c r="BX45" s="606">
        <v>0</v>
      </c>
      <c r="BY45" s="40"/>
      <c r="BZ45" s="89"/>
      <c r="CA45" s="202"/>
      <c r="CB45" s="606">
        <v>0</v>
      </c>
      <c r="CC45" s="40"/>
      <c r="CD45" s="89"/>
      <c r="CE45" s="202"/>
      <c r="CF45" s="606">
        <v>0</v>
      </c>
      <c r="CG45" s="40"/>
      <c r="CH45" s="89"/>
      <c r="CI45" s="193"/>
      <c r="CJ45" s="193"/>
    </row>
    <row r="46" spans="1:88" outlineLevel="1">
      <c r="A46" s="5">
        <v>32105</v>
      </c>
      <c r="B46" s="168"/>
      <c r="C46" s="169"/>
      <c r="D46" s="11" t="s">
        <v>402</v>
      </c>
      <c r="E46" s="170">
        <v>0</v>
      </c>
      <c r="F46" s="145" t="s">
        <v>106</v>
      </c>
      <c r="G46" s="16" t="s">
        <v>447</v>
      </c>
      <c r="H46" s="14" t="s">
        <v>402</v>
      </c>
      <c r="I46" s="14" t="s">
        <v>402</v>
      </c>
      <c r="J46" s="15">
        <v>0</v>
      </c>
      <c r="K46" s="16" t="s">
        <v>678</v>
      </c>
      <c r="L46" s="606">
        <v>0</v>
      </c>
      <c r="M46" s="40"/>
      <c r="N46" s="89"/>
      <c r="O46" s="202"/>
      <c r="P46" s="606">
        <v>0</v>
      </c>
      <c r="Q46" s="40"/>
      <c r="R46" s="89"/>
      <c r="S46" s="202"/>
      <c r="T46" s="606">
        <v>0</v>
      </c>
      <c r="U46" s="40"/>
      <c r="V46" s="89"/>
      <c r="W46" s="202"/>
      <c r="X46" s="606">
        <v>0</v>
      </c>
      <c r="Y46" s="40"/>
      <c r="Z46" s="89"/>
      <c r="AA46" s="202"/>
      <c r="AB46" s="606">
        <v>0</v>
      </c>
      <c r="AC46" s="40"/>
      <c r="AD46" s="89"/>
      <c r="AE46" s="202"/>
      <c r="AF46" s="606">
        <v>0</v>
      </c>
      <c r="AG46" s="40"/>
      <c r="AH46" s="89"/>
      <c r="AI46" s="202"/>
      <c r="AJ46" s="606">
        <v>0</v>
      </c>
      <c r="AK46" s="40"/>
      <c r="AL46" s="89"/>
      <c r="AM46" s="202"/>
      <c r="AN46" s="606">
        <v>0</v>
      </c>
      <c r="AO46" s="40"/>
      <c r="AP46" s="89"/>
      <c r="AQ46" s="202"/>
      <c r="AR46" s="606">
        <v>0</v>
      </c>
      <c r="AS46" s="40"/>
      <c r="AT46" s="89"/>
      <c r="AU46" s="202"/>
      <c r="AV46" s="606">
        <v>0</v>
      </c>
      <c r="AW46" s="40"/>
      <c r="AX46" s="89"/>
      <c r="AY46" s="202"/>
      <c r="AZ46" s="606">
        <v>0</v>
      </c>
      <c r="BA46" s="40"/>
      <c r="BB46" s="89"/>
      <c r="BC46" s="202"/>
      <c r="BD46" s="606">
        <v>0</v>
      </c>
      <c r="BE46" s="40"/>
      <c r="BF46" s="89"/>
      <c r="BG46" s="202"/>
      <c r="BH46" s="606">
        <v>1</v>
      </c>
      <c r="BI46" s="40"/>
      <c r="BJ46" s="89"/>
      <c r="BK46" s="202"/>
      <c r="BL46" s="606">
        <v>0</v>
      </c>
      <c r="BM46" s="40"/>
      <c r="BN46" s="89"/>
      <c r="BO46" s="202"/>
      <c r="BP46" s="606">
        <v>0</v>
      </c>
      <c r="BQ46" s="40"/>
      <c r="BR46" s="89"/>
      <c r="BS46" s="202"/>
      <c r="BT46" s="606">
        <v>0</v>
      </c>
      <c r="BU46" s="40"/>
      <c r="BV46" s="89"/>
      <c r="BW46" s="202"/>
      <c r="BX46" s="606">
        <v>0</v>
      </c>
      <c r="BY46" s="40"/>
      <c r="BZ46" s="89"/>
      <c r="CA46" s="202"/>
      <c r="CB46" s="606">
        <v>0</v>
      </c>
      <c r="CC46" s="40"/>
      <c r="CD46" s="89"/>
      <c r="CE46" s="202"/>
      <c r="CF46" s="606">
        <v>0</v>
      </c>
      <c r="CG46" s="40"/>
      <c r="CH46" s="89"/>
      <c r="CI46" s="193"/>
      <c r="CJ46" s="193"/>
    </row>
    <row r="47" spans="1:88" outlineLevel="1">
      <c r="A47" s="5">
        <v>32106</v>
      </c>
      <c r="B47" s="168"/>
      <c r="C47" s="169"/>
      <c r="D47" s="11" t="s">
        <v>402</v>
      </c>
      <c r="E47" s="170">
        <v>0</v>
      </c>
      <c r="F47" s="145" t="s">
        <v>106</v>
      </c>
      <c r="G47" s="16" t="s">
        <v>578</v>
      </c>
      <c r="H47" s="14" t="s">
        <v>402</v>
      </c>
      <c r="I47" s="14" t="s">
        <v>402</v>
      </c>
      <c r="J47" s="15">
        <v>0</v>
      </c>
      <c r="K47" s="16" t="s">
        <v>678</v>
      </c>
      <c r="L47" s="606">
        <v>0</v>
      </c>
      <c r="M47" s="40"/>
      <c r="N47" s="89"/>
      <c r="O47" s="202"/>
      <c r="P47" s="606">
        <v>0</v>
      </c>
      <c r="Q47" s="40"/>
      <c r="R47" s="89"/>
      <c r="S47" s="202"/>
      <c r="T47" s="606">
        <v>0</v>
      </c>
      <c r="U47" s="40"/>
      <c r="V47" s="89"/>
      <c r="W47" s="202"/>
      <c r="X47" s="606">
        <v>0</v>
      </c>
      <c r="Y47" s="40"/>
      <c r="Z47" s="89"/>
      <c r="AA47" s="202"/>
      <c r="AB47" s="606">
        <v>0</v>
      </c>
      <c r="AC47" s="40"/>
      <c r="AD47" s="89"/>
      <c r="AE47" s="202"/>
      <c r="AF47" s="606">
        <v>0</v>
      </c>
      <c r="AG47" s="40"/>
      <c r="AH47" s="89"/>
      <c r="AI47" s="202"/>
      <c r="AJ47" s="606">
        <v>0</v>
      </c>
      <c r="AK47" s="40"/>
      <c r="AL47" s="89"/>
      <c r="AM47" s="202"/>
      <c r="AN47" s="606">
        <v>0</v>
      </c>
      <c r="AO47" s="40"/>
      <c r="AP47" s="89"/>
      <c r="AQ47" s="202"/>
      <c r="AR47" s="606">
        <v>0</v>
      </c>
      <c r="AS47" s="40"/>
      <c r="AT47" s="89"/>
      <c r="AU47" s="202"/>
      <c r="AV47" s="606">
        <v>0</v>
      </c>
      <c r="AW47" s="40"/>
      <c r="AX47" s="89"/>
      <c r="AY47" s="202"/>
      <c r="AZ47" s="606">
        <v>0</v>
      </c>
      <c r="BA47" s="40"/>
      <c r="BB47" s="89"/>
      <c r="BC47" s="202"/>
      <c r="BD47" s="606">
        <v>0</v>
      </c>
      <c r="BE47" s="40"/>
      <c r="BF47" s="89"/>
      <c r="BG47" s="202"/>
      <c r="BH47" s="606">
        <v>0</v>
      </c>
      <c r="BI47" s="40"/>
      <c r="BJ47" s="89"/>
      <c r="BK47" s="202"/>
      <c r="BL47" s="606">
        <v>1</v>
      </c>
      <c r="BM47" s="40"/>
      <c r="BN47" s="89"/>
      <c r="BO47" s="202"/>
      <c r="BP47" s="606">
        <v>0</v>
      </c>
      <c r="BQ47" s="40"/>
      <c r="BR47" s="89"/>
      <c r="BS47" s="202"/>
      <c r="BT47" s="606">
        <v>0</v>
      </c>
      <c r="BU47" s="40"/>
      <c r="BV47" s="89"/>
      <c r="BW47" s="202"/>
      <c r="BX47" s="606">
        <v>0</v>
      </c>
      <c r="BY47" s="40"/>
      <c r="BZ47" s="89"/>
      <c r="CA47" s="202"/>
      <c r="CB47" s="606">
        <v>0</v>
      </c>
      <c r="CC47" s="40"/>
      <c r="CD47" s="89"/>
      <c r="CE47" s="202"/>
      <c r="CF47" s="606">
        <v>0</v>
      </c>
      <c r="CG47" s="40"/>
      <c r="CH47" s="89"/>
      <c r="CI47" s="193"/>
      <c r="CJ47" s="193"/>
    </row>
    <row r="48" spans="1:88" outlineLevel="1">
      <c r="A48" s="5">
        <v>32109</v>
      </c>
      <c r="B48" s="168"/>
      <c r="C48" s="169"/>
      <c r="D48" s="11" t="s">
        <v>402</v>
      </c>
      <c r="E48" s="170">
        <v>0</v>
      </c>
      <c r="F48" s="145" t="s">
        <v>106</v>
      </c>
      <c r="G48" s="16" t="s">
        <v>563</v>
      </c>
      <c r="H48" s="14" t="s">
        <v>402</v>
      </c>
      <c r="I48" s="14" t="s">
        <v>402</v>
      </c>
      <c r="J48" s="15">
        <v>0</v>
      </c>
      <c r="K48" s="16" t="s">
        <v>678</v>
      </c>
      <c r="L48" s="606">
        <v>0</v>
      </c>
      <c r="M48" s="40"/>
      <c r="N48" s="89"/>
      <c r="O48" s="202"/>
      <c r="P48" s="606">
        <v>0</v>
      </c>
      <c r="Q48" s="40"/>
      <c r="R48" s="89"/>
      <c r="S48" s="202"/>
      <c r="T48" s="606">
        <v>0</v>
      </c>
      <c r="U48" s="40"/>
      <c r="V48" s="89"/>
      <c r="W48" s="202"/>
      <c r="X48" s="606">
        <v>0</v>
      </c>
      <c r="Y48" s="40"/>
      <c r="Z48" s="89"/>
      <c r="AA48" s="202"/>
      <c r="AB48" s="606">
        <v>0</v>
      </c>
      <c r="AC48" s="40"/>
      <c r="AD48" s="89"/>
      <c r="AE48" s="202"/>
      <c r="AF48" s="606">
        <v>0</v>
      </c>
      <c r="AG48" s="40"/>
      <c r="AH48" s="89"/>
      <c r="AI48" s="202"/>
      <c r="AJ48" s="606">
        <v>0</v>
      </c>
      <c r="AK48" s="40"/>
      <c r="AL48" s="89"/>
      <c r="AM48" s="202"/>
      <c r="AN48" s="606">
        <v>0</v>
      </c>
      <c r="AO48" s="40"/>
      <c r="AP48" s="89"/>
      <c r="AQ48" s="202"/>
      <c r="AR48" s="606">
        <v>0</v>
      </c>
      <c r="AS48" s="40"/>
      <c r="AT48" s="89"/>
      <c r="AU48" s="202"/>
      <c r="AV48" s="606">
        <v>0</v>
      </c>
      <c r="AW48" s="40"/>
      <c r="AX48" s="89"/>
      <c r="AY48" s="202"/>
      <c r="AZ48" s="606">
        <v>0</v>
      </c>
      <c r="BA48" s="40"/>
      <c r="BB48" s="89"/>
      <c r="BC48" s="202"/>
      <c r="BD48" s="606">
        <v>0</v>
      </c>
      <c r="BE48" s="40"/>
      <c r="BF48" s="89"/>
      <c r="BG48" s="202"/>
      <c r="BH48" s="606">
        <v>0</v>
      </c>
      <c r="BI48" s="40"/>
      <c r="BJ48" s="89"/>
      <c r="BK48" s="202"/>
      <c r="BL48" s="606">
        <v>0</v>
      </c>
      <c r="BM48" s="40"/>
      <c r="BN48" s="89"/>
      <c r="BO48" s="202"/>
      <c r="BP48" s="606">
        <v>1</v>
      </c>
      <c r="BQ48" s="40"/>
      <c r="BR48" s="89"/>
      <c r="BS48" s="202"/>
      <c r="BT48" s="606">
        <v>0</v>
      </c>
      <c r="BU48" s="40"/>
      <c r="BV48" s="89"/>
      <c r="BW48" s="202"/>
      <c r="BX48" s="606">
        <v>0</v>
      </c>
      <c r="BY48" s="40"/>
      <c r="BZ48" s="89"/>
      <c r="CA48" s="202"/>
      <c r="CB48" s="606">
        <v>0</v>
      </c>
      <c r="CC48" s="40"/>
      <c r="CD48" s="89"/>
      <c r="CE48" s="202"/>
      <c r="CF48" s="606">
        <v>0</v>
      </c>
      <c r="CG48" s="40"/>
      <c r="CH48" s="89"/>
      <c r="CI48" s="193"/>
      <c r="CJ48" s="193"/>
    </row>
    <row r="49" spans="1:88" outlineLevel="1">
      <c r="A49" s="5">
        <v>32093</v>
      </c>
      <c r="B49" s="168"/>
      <c r="C49" s="169"/>
      <c r="D49" s="11" t="s">
        <v>402</v>
      </c>
      <c r="E49" s="170">
        <v>0</v>
      </c>
      <c r="F49" s="145" t="s">
        <v>106</v>
      </c>
      <c r="G49" s="16" t="s">
        <v>494</v>
      </c>
      <c r="H49" s="14" t="s">
        <v>402</v>
      </c>
      <c r="I49" s="14" t="s">
        <v>402</v>
      </c>
      <c r="J49" s="15">
        <v>0</v>
      </c>
      <c r="K49" s="16" t="s">
        <v>678</v>
      </c>
      <c r="L49" s="606">
        <v>0</v>
      </c>
      <c r="M49" s="40"/>
      <c r="N49" s="89"/>
      <c r="O49" s="202"/>
      <c r="P49" s="606">
        <v>0</v>
      </c>
      <c r="Q49" s="40"/>
      <c r="R49" s="89"/>
      <c r="S49" s="202"/>
      <c r="T49" s="606">
        <v>0</v>
      </c>
      <c r="U49" s="40"/>
      <c r="V49" s="89"/>
      <c r="W49" s="202"/>
      <c r="X49" s="606">
        <v>0</v>
      </c>
      <c r="Y49" s="40"/>
      <c r="Z49" s="89"/>
      <c r="AA49" s="202"/>
      <c r="AB49" s="606">
        <v>0</v>
      </c>
      <c r="AC49" s="40"/>
      <c r="AD49" s="89"/>
      <c r="AE49" s="202"/>
      <c r="AF49" s="606">
        <v>0</v>
      </c>
      <c r="AG49" s="40"/>
      <c r="AH49" s="89"/>
      <c r="AI49" s="202"/>
      <c r="AJ49" s="606">
        <v>0</v>
      </c>
      <c r="AK49" s="40"/>
      <c r="AL49" s="89"/>
      <c r="AM49" s="202"/>
      <c r="AN49" s="606">
        <v>0</v>
      </c>
      <c r="AO49" s="40"/>
      <c r="AP49" s="89"/>
      <c r="AQ49" s="202"/>
      <c r="AR49" s="606">
        <v>0</v>
      </c>
      <c r="AS49" s="40"/>
      <c r="AT49" s="89"/>
      <c r="AU49" s="202"/>
      <c r="AV49" s="606">
        <v>0</v>
      </c>
      <c r="AW49" s="40"/>
      <c r="AX49" s="89"/>
      <c r="AY49" s="202"/>
      <c r="AZ49" s="606">
        <v>0</v>
      </c>
      <c r="BA49" s="40"/>
      <c r="BB49" s="89"/>
      <c r="BC49" s="202"/>
      <c r="BD49" s="606">
        <v>0</v>
      </c>
      <c r="BE49" s="40"/>
      <c r="BF49" s="89"/>
      <c r="BG49" s="202"/>
      <c r="BH49" s="606">
        <v>0</v>
      </c>
      <c r="BI49" s="40"/>
      <c r="BJ49" s="89"/>
      <c r="BK49" s="202"/>
      <c r="BL49" s="606">
        <v>0</v>
      </c>
      <c r="BM49" s="40"/>
      <c r="BN49" s="89"/>
      <c r="BO49" s="202"/>
      <c r="BP49" s="606">
        <v>0</v>
      </c>
      <c r="BQ49" s="40"/>
      <c r="BR49" s="89"/>
      <c r="BS49" s="202"/>
      <c r="BT49" s="606">
        <v>1</v>
      </c>
      <c r="BU49" s="40"/>
      <c r="BV49" s="89"/>
      <c r="BW49" s="202"/>
      <c r="BX49" s="606">
        <v>0</v>
      </c>
      <c r="BY49" s="40"/>
      <c r="BZ49" s="89"/>
      <c r="CA49" s="202"/>
      <c r="CB49" s="606">
        <v>0</v>
      </c>
      <c r="CC49" s="40"/>
      <c r="CD49" s="89"/>
      <c r="CE49" s="202"/>
      <c r="CF49" s="606">
        <v>0</v>
      </c>
      <c r="CG49" s="40"/>
      <c r="CH49" s="89"/>
      <c r="CI49" s="193"/>
      <c r="CJ49" s="193"/>
    </row>
    <row r="50" spans="1:88" outlineLevel="1">
      <c r="A50" s="5">
        <v>32110</v>
      </c>
      <c r="B50" s="168"/>
      <c r="C50" s="169"/>
      <c r="D50" s="11" t="s">
        <v>402</v>
      </c>
      <c r="E50" s="170">
        <v>0</v>
      </c>
      <c r="F50" s="145" t="s">
        <v>106</v>
      </c>
      <c r="G50" s="16" t="s">
        <v>498</v>
      </c>
      <c r="H50" s="14" t="s">
        <v>402</v>
      </c>
      <c r="I50" s="14" t="s">
        <v>402</v>
      </c>
      <c r="J50" s="15">
        <v>0</v>
      </c>
      <c r="K50" s="16" t="s">
        <v>678</v>
      </c>
      <c r="L50" s="606">
        <v>0</v>
      </c>
      <c r="M50" s="40"/>
      <c r="N50" s="89"/>
      <c r="O50" s="202"/>
      <c r="P50" s="606">
        <v>0</v>
      </c>
      <c r="Q50" s="40"/>
      <c r="R50" s="89"/>
      <c r="S50" s="202"/>
      <c r="T50" s="606">
        <v>0</v>
      </c>
      <c r="U50" s="40"/>
      <c r="V50" s="89"/>
      <c r="W50" s="202"/>
      <c r="X50" s="606">
        <v>0</v>
      </c>
      <c r="Y50" s="40"/>
      <c r="Z50" s="89"/>
      <c r="AA50" s="202"/>
      <c r="AB50" s="606">
        <v>0</v>
      </c>
      <c r="AC50" s="40"/>
      <c r="AD50" s="89"/>
      <c r="AE50" s="202"/>
      <c r="AF50" s="606">
        <v>0</v>
      </c>
      <c r="AG50" s="40"/>
      <c r="AH50" s="89"/>
      <c r="AI50" s="202"/>
      <c r="AJ50" s="606">
        <v>0</v>
      </c>
      <c r="AK50" s="40"/>
      <c r="AL50" s="89"/>
      <c r="AM50" s="202"/>
      <c r="AN50" s="606">
        <v>0</v>
      </c>
      <c r="AO50" s="40"/>
      <c r="AP50" s="89"/>
      <c r="AQ50" s="202"/>
      <c r="AR50" s="606">
        <v>0</v>
      </c>
      <c r="AS50" s="40"/>
      <c r="AT50" s="89"/>
      <c r="AU50" s="202"/>
      <c r="AV50" s="606">
        <v>0</v>
      </c>
      <c r="AW50" s="40"/>
      <c r="AX50" s="89"/>
      <c r="AY50" s="202"/>
      <c r="AZ50" s="606">
        <v>0</v>
      </c>
      <c r="BA50" s="40"/>
      <c r="BB50" s="89"/>
      <c r="BC50" s="202"/>
      <c r="BD50" s="606">
        <v>0</v>
      </c>
      <c r="BE50" s="40"/>
      <c r="BF50" s="89"/>
      <c r="BG50" s="202"/>
      <c r="BH50" s="606">
        <v>0</v>
      </c>
      <c r="BI50" s="40"/>
      <c r="BJ50" s="89"/>
      <c r="BK50" s="202"/>
      <c r="BL50" s="606">
        <v>0</v>
      </c>
      <c r="BM50" s="40"/>
      <c r="BN50" s="89"/>
      <c r="BO50" s="202"/>
      <c r="BP50" s="606">
        <v>0</v>
      </c>
      <c r="BQ50" s="40"/>
      <c r="BR50" s="89"/>
      <c r="BS50" s="202"/>
      <c r="BT50" s="606">
        <v>0</v>
      </c>
      <c r="BU50" s="40"/>
      <c r="BV50" s="89"/>
      <c r="BW50" s="202"/>
      <c r="BX50" s="606">
        <v>1</v>
      </c>
      <c r="BY50" s="40"/>
      <c r="BZ50" s="89"/>
      <c r="CA50" s="202"/>
      <c r="CB50" s="606">
        <v>0</v>
      </c>
      <c r="CC50" s="40"/>
      <c r="CD50" s="89"/>
      <c r="CE50" s="202"/>
      <c r="CF50" s="606">
        <v>0</v>
      </c>
      <c r="CG50" s="40"/>
      <c r="CH50" s="89"/>
      <c r="CI50" s="193"/>
      <c r="CJ50" s="193"/>
    </row>
    <row r="51" spans="1:88" outlineLevel="1">
      <c r="A51" s="5">
        <v>32096</v>
      </c>
      <c r="B51" s="168"/>
      <c r="C51" s="169"/>
      <c r="D51" s="11" t="s">
        <v>402</v>
      </c>
      <c r="E51" s="170">
        <v>0</v>
      </c>
      <c r="F51" s="145" t="s">
        <v>106</v>
      </c>
      <c r="G51" s="16" t="s">
        <v>1439</v>
      </c>
      <c r="H51" s="14" t="s">
        <v>402</v>
      </c>
      <c r="I51" s="14" t="s">
        <v>402</v>
      </c>
      <c r="J51" s="15">
        <v>0</v>
      </c>
      <c r="K51" s="16" t="s">
        <v>678</v>
      </c>
      <c r="L51" s="606">
        <v>0</v>
      </c>
      <c r="M51" s="40"/>
      <c r="N51" s="89"/>
      <c r="O51" s="202"/>
      <c r="P51" s="606">
        <v>0</v>
      </c>
      <c r="Q51" s="40"/>
      <c r="R51" s="89"/>
      <c r="S51" s="202"/>
      <c r="T51" s="606">
        <v>0</v>
      </c>
      <c r="U51" s="40"/>
      <c r="V51" s="89"/>
      <c r="W51" s="202"/>
      <c r="X51" s="606">
        <v>0</v>
      </c>
      <c r="Y51" s="40"/>
      <c r="Z51" s="89"/>
      <c r="AA51" s="202"/>
      <c r="AB51" s="606">
        <v>0</v>
      </c>
      <c r="AC51" s="40"/>
      <c r="AD51" s="89"/>
      <c r="AE51" s="202"/>
      <c r="AF51" s="606">
        <v>0</v>
      </c>
      <c r="AG51" s="40"/>
      <c r="AH51" s="89"/>
      <c r="AI51" s="202"/>
      <c r="AJ51" s="606">
        <v>0</v>
      </c>
      <c r="AK51" s="40"/>
      <c r="AL51" s="89"/>
      <c r="AM51" s="202"/>
      <c r="AN51" s="606">
        <v>0</v>
      </c>
      <c r="AO51" s="40"/>
      <c r="AP51" s="89"/>
      <c r="AQ51" s="202"/>
      <c r="AR51" s="606">
        <v>0</v>
      </c>
      <c r="AS51" s="40"/>
      <c r="AT51" s="89"/>
      <c r="AU51" s="202"/>
      <c r="AV51" s="606">
        <v>0</v>
      </c>
      <c r="AW51" s="40"/>
      <c r="AX51" s="89"/>
      <c r="AY51" s="202"/>
      <c r="AZ51" s="606">
        <v>0</v>
      </c>
      <c r="BA51" s="40"/>
      <c r="BB51" s="89"/>
      <c r="BC51" s="202"/>
      <c r="BD51" s="606">
        <v>0</v>
      </c>
      <c r="BE51" s="40"/>
      <c r="BF51" s="89"/>
      <c r="BG51" s="202"/>
      <c r="BH51" s="606">
        <v>0</v>
      </c>
      <c r="BI51" s="40"/>
      <c r="BJ51" s="89"/>
      <c r="BK51" s="202"/>
      <c r="BL51" s="606">
        <v>0</v>
      </c>
      <c r="BM51" s="40"/>
      <c r="BN51" s="89"/>
      <c r="BO51" s="202"/>
      <c r="BP51" s="606">
        <v>0</v>
      </c>
      <c r="BQ51" s="40"/>
      <c r="BR51" s="89"/>
      <c r="BS51" s="202"/>
      <c r="BT51" s="606">
        <v>0</v>
      </c>
      <c r="BU51" s="40"/>
      <c r="BV51" s="89"/>
      <c r="BW51" s="202"/>
      <c r="BX51" s="606">
        <v>0</v>
      </c>
      <c r="BY51" s="40"/>
      <c r="BZ51" s="89"/>
      <c r="CA51" s="202"/>
      <c r="CB51" s="606">
        <v>1</v>
      </c>
      <c r="CC51" s="40"/>
      <c r="CD51" s="89"/>
      <c r="CE51" s="202"/>
      <c r="CF51" s="606">
        <v>0</v>
      </c>
      <c r="CG51" s="40"/>
      <c r="CH51" s="89"/>
      <c r="CI51" s="193"/>
      <c r="CJ51" s="193"/>
    </row>
    <row r="52" spans="1:88" outlineLevel="1">
      <c r="A52" s="5">
        <v>32086</v>
      </c>
      <c r="B52" s="168"/>
      <c r="C52" s="169"/>
      <c r="D52" s="11" t="s">
        <v>402</v>
      </c>
      <c r="E52" s="170">
        <v>0</v>
      </c>
      <c r="F52" s="145" t="s">
        <v>106</v>
      </c>
      <c r="G52" s="16" t="s">
        <v>1436</v>
      </c>
      <c r="H52" s="14" t="s">
        <v>402</v>
      </c>
      <c r="I52" s="14" t="s">
        <v>402</v>
      </c>
      <c r="J52" s="15">
        <v>0</v>
      </c>
      <c r="K52" s="16" t="s">
        <v>678</v>
      </c>
      <c r="L52" s="606">
        <v>0</v>
      </c>
      <c r="M52" s="40"/>
      <c r="N52" s="89"/>
      <c r="O52" s="202"/>
      <c r="P52" s="606">
        <v>0</v>
      </c>
      <c r="Q52" s="40"/>
      <c r="R52" s="89"/>
      <c r="S52" s="202"/>
      <c r="T52" s="606">
        <v>0</v>
      </c>
      <c r="U52" s="40"/>
      <c r="V52" s="89"/>
      <c r="W52" s="202"/>
      <c r="X52" s="606">
        <v>0</v>
      </c>
      <c r="Y52" s="40"/>
      <c r="Z52" s="89"/>
      <c r="AA52" s="202"/>
      <c r="AB52" s="606">
        <v>0</v>
      </c>
      <c r="AC52" s="40"/>
      <c r="AD52" s="89"/>
      <c r="AE52" s="202"/>
      <c r="AF52" s="606">
        <v>0</v>
      </c>
      <c r="AG52" s="40"/>
      <c r="AH52" s="89"/>
      <c r="AI52" s="202"/>
      <c r="AJ52" s="606">
        <v>0</v>
      </c>
      <c r="AK52" s="40"/>
      <c r="AL52" s="89"/>
      <c r="AM52" s="202"/>
      <c r="AN52" s="606">
        <v>0</v>
      </c>
      <c r="AO52" s="40"/>
      <c r="AP52" s="89"/>
      <c r="AQ52" s="202"/>
      <c r="AR52" s="606">
        <v>0</v>
      </c>
      <c r="AS52" s="40"/>
      <c r="AT52" s="89"/>
      <c r="AU52" s="202"/>
      <c r="AV52" s="606">
        <v>0</v>
      </c>
      <c r="AW52" s="40"/>
      <c r="AX52" s="89"/>
      <c r="AY52" s="202"/>
      <c r="AZ52" s="606">
        <v>0</v>
      </c>
      <c r="BA52" s="40"/>
      <c r="BB52" s="89"/>
      <c r="BC52" s="202"/>
      <c r="BD52" s="606">
        <v>0</v>
      </c>
      <c r="BE52" s="40"/>
      <c r="BF52" s="89"/>
      <c r="BG52" s="202"/>
      <c r="BH52" s="606">
        <v>0</v>
      </c>
      <c r="BI52" s="40"/>
      <c r="BJ52" s="89"/>
      <c r="BK52" s="202"/>
      <c r="BL52" s="606">
        <v>0</v>
      </c>
      <c r="BM52" s="40"/>
      <c r="BN52" s="89"/>
      <c r="BO52" s="202"/>
      <c r="BP52" s="606">
        <v>0</v>
      </c>
      <c r="BQ52" s="40"/>
      <c r="BR52" s="89"/>
      <c r="BS52" s="202"/>
      <c r="BT52" s="606">
        <v>0</v>
      </c>
      <c r="BU52" s="40"/>
      <c r="BV52" s="89"/>
      <c r="BW52" s="202"/>
      <c r="BX52" s="606">
        <v>0</v>
      </c>
      <c r="BY52" s="40"/>
      <c r="BZ52" s="89"/>
      <c r="CA52" s="202"/>
      <c r="CB52" s="606">
        <v>0</v>
      </c>
      <c r="CC52" s="40"/>
      <c r="CD52" s="89"/>
      <c r="CE52" s="202"/>
      <c r="CF52" s="606">
        <v>1</v>
      </c>
      <c r="CG52" s="40"/>
      <c r="CH52" s="89"/>
      <c r="CI52" s="193"/>
      <c r="CJ52" s="193"/>
    </row>
    <row r="53" spans="1:88" outlineLevel="1">
      <c r="A53" s="5">
        <v>4853</v>
      </c>
      <c r="B53" s="168"/>
      <c r="C53" s="169"/>
      <c r="D53" s="11" t="s">
        <v>402</v>
      </c>
      <c r="E53" s="170">
        <v>0</v>
      </c>
      <c r="F53" s="145" t="s">
        <v>106</v>
      </c>
      <c r="G53" s="16" t="s">
        <v>393</v>
      </c>
      <c r="H53" s="14" t="s">
        <v>402</v>
      </c>
      <c r="I53" s="14" t="s">
        <v>402</v>
      </c>
      <c r="J53" s="15">
        <v>0</v>
      </c>
      <c r="K53" s="16" t="s">
        <v>678</v>
      </c>
      <c r="L53" s="606">
        <v>0</v>
      </c>
      <c r="M53" s="40"/>
      <c r="N53" s="89"/>
      <c r="O53" s="202"/>
      <c r="P53" s="606">
        <v>0</v>
      </c>
      <c r="Q53" s="40"/>
      <c r="R53" s="89"/>
      <c r="S53" s="202"/>
      <c r="T53" s="606">
        <v>0</v>
      </c>
      <c r="U53" s="40"/>
      <c r="V53" s="89"/>
      <c r="W53" s="202"/>
      <c r="X53" s="606">
        <v>0</v>
      </c>
      <c r="Y53" s="40"/>
      <c r="Z53" s="89"/>
      <c r="AA53" s="202"/>
      <c r="AB53" s="606">
        <v>0</v>
      </c>
      <c r="AC53" s="40"/>
      <c r="AD53" s="89"/>
      <c r="AE53" s="202"/>
      <c r="AF53" s="606">
        <v>0</v>
      </c>
      <c r="AG53" s="40"/>
      <c r="AH53" s="89"/>
      <c r="AI53" s="202"/>
      <c r="AJ53" s="606">
        <v>0</v>
      </c>
      <c r="AK53" s="40"/>
      <c r="AL53" s="89"/>
      <c r="AM53" s="202"/>
      <c r="AN53" s="606">
        <v>0</v>
      </c>
      <c r="AO53" s="40"/>
      <c r="AP53" s="89"/>
      <c r="AQ53" s="202"/>
      <c r="AR53" s="606">
        <v>0</v>
      </c>
      <c r="AS53" s="40"/>
      <c r="AT53" s="89"/>
      <c r="AU53" s="202"/>
      <c r="AV53" s="606">
        <v>0</v>
      </c>
      <c r="AW53" s="40"/>
      <c r="AX53" s="89"/>
      <c r="AY53" s="202"/>
      <c r="AZ53" s="606">
        <v>0</v>
      </c>
      <c r="BA53" s="40"/>
      <c r="BB53" s="89"/>
      <c r="BC53" s="202"/>
      <c r="BD53" s="606">
        <v>0</v>
      </c>
      <c r="BE53" s="40"/>
      <c r="BF53" s="89"/>
      <c r="BG53" s="202"/>
      <c r="BH53" s="606">
        <v>0</v>
      </c>
      <c r="BI53" s="40"/>
      <c r="BJ53" s="89"/>
      <c r="BK53" s="202"/>
      <c r="BL53" s="606">
        <v>0</v>
      </c>
      <c r="BM53" s="40"/>
      <c r="BN53" s="89"/>
      <c r="BO53" s="202"/>
      <c r="BP53" s="606">
        <v>0</v>
      </c>
      <c r="BQ53" s="40"/>
      <c r="BR53" s="89"/>
      <c r="BS53" s="202"/>
      <c r="BT53" s="606">
        <v>0</v>
      </c>
      <c r="BU53" s="40"/>
      <c r="BV53" s="89"/>
      <c r="BW53" s="202"/>
      <c r="BX53" s="606">
        <v>0</v>
      </c>
      <c r="BY53" s="40"/>
      <c r="BZ53" s="89"/>
      <c r="CA53" s="202"/>
      <c r="CB53" s="606">
        <v>0</v>
      </c>
      <c r="CC53" s="40"/>
      <c r="CD53" s="89"/>
      <c r="CE53" s="202"/>
      <c r="CF53" s="606">
        <v>0</v>
      </c>
      <c r="CG53" s="40"/>
      <c r="CH53" s="89"/>
      <c r="CI53" s="193"/>
      <c r="CJ53" s="193"/>
    </row>
  </sheetData>
  <conditionalFormatting sqref="B33">
    <cfRule type="cellIs" dxfId="132" priority="3" stopIfTrue="1" operator="notEqual">
      <formula>""</formula>
    </cfRule>
  </conditionalFormatting>
  <dataValidations count="4">
    <dataValidation allowBlank="1" showInputMessage="1" showErrorMessage="1" prompt="always 1" sqref="L34:L53 P34:P53 T34:T53 X34:X53 AB34:AB53 AF34:AF53 AJ34:AJ53 AN34:AN53 AR34:AR53 AV34:AV53 AZ34:AZ53 BD34:BD53 BH34:BH53 BL34:BL53 BP34:BP53 BT34:BT53 BX34:BX53 CB34:CB53 CF34:CF53"/>
    <dataValidation allowBlank="1" showInputMessage="1" showErrorMessage="1" promptTitle="Uncertainty Type" prompt="Defines the kind of uncertainty distribution applied on one particular exchange. _x000a__x000a_0 = undefined_x000a_1 = LOGNORMAL (default)_x000a_2 = normal_x000a_3 = triang_x000a_4 = uniform_x000a_" sqref="M2:M6 Q2:Q6 U2:U6 Y2:Y6 AC2:AC6 AG2:AG6 AK2:AK6 AO2:AO6 AS2:AS6 AW2:AW6 BA2:BA6 BE2:BE6 BI2:BI6 BM2:BM6 BQ2:BQ6 BU2:BU6 BY2:BY6 CC2:CC6 CG2:CG6"/>
    <dataValidation allowBlank="1" showInputMessage="1" showErrorMessage="1" promptTitle="StandardDeviation" prompt="Do only change when you calculated the Standard Deviation (SD) of the data (square SD for lognormal Distribution, 2*SD for normal Distribution - see column M). _x000a__x000a_Otherwise leave the formula to have it calculated from the Pedigree-Matrix (column Q  to V)." sqref="N2:N6 R2:R6 V2:V6 Z2:Z6 AD2:AD6 AH2:AH6 AL2:AL6 AP2:AP6 AT2:AT6 AX2:AX6 BB2:BB6 BF2:BF6 BJ2:BJ6 BN2:BN6 BR2:BR6 BV2:BV6 BZ2:BZ6 CD2:CD6 CH2:CH6"/>
    <dataValidation allowBlank="1" showInputMessage="1" showErrorMessage="1" promptTitle="GeneralComment" prompt="Do not change, if you use Pedigree Matrix. The comment is generated from the remarks field (enter remarks there) and the Pedigree numbers._x000a__x000a_If you calculated the SD from the data (i.e. without Pedigree Matrix), set a direct reference to the remarks. _x000a__x000a_" sqref="O1:O6 S1:S6 W1:W6 AA1:AA6 AE1:AE6 AI1:AI6 AM1:AM6 AQ1:AQ6 AU1:AU6 AY1:AY6 BC1:BC6 BG1:BG6 BK1:BK6 BO1:BO6 BS1:BS6 BW1:BW6 CA1:CA6 CE1:CE6 CI1:CI6"/>
  </dataValidations>
  <pageMargins left="0.78740157499999996" right="0.78740157499999996" top="0.984251969" bottom="0.984251969" header="0.4921259845" footer="0.4921259845"/>
  <pageSetup paperSize="9" scale="56" fitToWidth="0"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7">
    <pageSetUpPr fitToPage="1"/>
  </sheetPr>
  <dimension ref="A1:W35"/>
  <sheetViews>
    <sheetView zoomScale="75" workbookViewId="0">
      <pane xSplit="11" ySplit="6" topLeftCell="L7" activePane="bottomRight" state="frozen"/>
      <selection activeCell="J46" sqref="J46"/>
      <selection pane="topRight" activeCell="J46" sqref="J46"/>
      <selection pane="bottomLeft" activeCell="J46" sqref="J46"/>
      <selection pane="bottomRight" activeCell="J46" sqref="J46"/>
    </sheetView>
  </sheetViews>
  <sheetFormatPr defaultColWidth="11.42578125" defaultRowHeight="12" outlineLevelRow="1" outlineLevelCol="1"/>
  <cols>
    <col min="1" max="1" width="9.85546875" style="7" customWidth="1"/>
    <col min="2" max="2" width="14.140625" style="158" customWidth="1"/>
    <col min="3" max="3" width="4.7109375" style="159" hidden="1" customWidth="1" outlineLevel="1"/>
    <col min="4" max="4" width="3.140625" style="7" hidden="1" customWidth="1" outlineLevel="1"/>
    <col min="5" max="5" width="2.7109375" style="7" hidden="1" customWidth="1" outlineLevel="1"/>
    <col min="6" max="6" width="45.140625" style="8" customWidth="1" collapsed="1"/>
    <col min="7" max="7" width="7.28515625" style="7" customWidth="1"/>
    <col min="8" max="8" width="5.7109375" style="7" hidden="1" customWidth="1" outlineLevel="1"/>
    <col min="9" max="9" width="3.42578125" style="7" hidden="1" customWidth="1" outlineLevel="1"/>
    <col min="10" max="10" width="2.42578125" style="7" customWidth="1" collapsed="1"/>
    <col min="11" max="11" width="4.5703125" style="7" customWidth="1"/>
    <col min="12" max="12" width="2.140625" style="140" hidden="1" customWidth="1" outlineLevel="1"/>
    <col min="13" max="13" width="4.28515625" style="140" hidden="1" customWidth="1" outlineLevel="1"/>
    <col min="14" max="14" width="45.85546875" style="140" hidden="1" customWidth="1" outlineLevel="1"/>
    <col min="15" max="15" width="9.140625" style="7" customWidth="1" collapsed="1"/>
    <col min="16" max="16" width="2.140625" style="140" hidden="1" customWidth="1" outlineLevel="1"/>
    <col min="17" max="17" width="4.28515625" style="140" hidden="1" customWidth="1" outlineLevel="1"/>
    <col min="18" max="18" width="45.85546875" style="140" hidden="1" customWidth="1" outlineLevel="1"/>
    <col min="19" max="19" width="9.140625" style="7" customWidth="1" collapsed="1"/>
    <col min="20" max="20" width="2.140625" style="140" customWidth="1" outlineLevel="1"/>
    <col min="21" max="21" width="4.28515625" style="140" customWidth="1" outlineLevel="1"/>
    <col min="22" max="22" width="45.85546875" style="140" customWidth="1" outlineLevel="1"/>
    <col min="23" max="23" width="3.28515625" style="33" customWidth="1"/>
    <col min="24" max="16384" width="11.42578125" style="7"/>
  </cols>
  <sheetData>
    <row r="1" spans="1:23">
      <c r="A1" s="36"/>
      <c r="B1" s="34"/>
      <c r="C1" s="35"/>
      <c r="D1" s="36"/>
      <c r="E1" s="36"/>
      <c r="F1" s="37" t="s">
        <v>510</v>
      </c>
      <c r="G1" s="36"/>
      <c r="H1" s="36"/>
      <c r="I1" s="36"/>
      <c r="J1" s="36"/>
      <c r="K1" s="36"/>
      <c r="L1" s="184"/>
      <c r="M1" s="184"/>
      <c r="N1" s="184"/>
      <c r="O1" s="469">
        <v>32114</v>
      </c>
      <c r="P1" s="184"/>
      <c r="Q1" s="184"/>
      <c r="R1" s="184"/>
      <c r="S1" s="295">
        <v>32087</v>
      </c>
      <c r="T1" s="184"/>
      <c r="U1" s="184"/>
      <c r="V1" s="184"/>
      <c r="W1" s="22"/>
    </row>
    <row r="2" spans="1:23">
      <c r="A2" s="36"/>
      <c r="B2" s="147"/>
      <c r="C2" s="35" t="s">
        <v>511</v>
      </c>
      <c r="D2" s="147">
        <v>3503</v>
      </c>
      <c r="E2" s="147">
        <v>3504</v>
      </c>
      <c r="F2" s="147">
        <v>3702</v>
      </c>
      <c r="G2" s="147">
        <v>3703</v>
      </c>
      <c r="H2" s="147">
        <v>3506</v>
      </c>
      <c r="I2" s="147">
        <v>3507</v>
      </c>
      <c r="J2" s="147">
        <v>3508</v>
      </c>
      <c r="K2" s="147">
        <v>3706</v>
      </c>
      <c r="L2" s="641">
        <v>3708</v>
      </c>
      <c r="M2" s="641">
        <v>3709</v>
      </c>
      <c r="N2" s="642">
        <v>3792</v>
      </c>
      <c r="O2" s="147">
        <v>3707</v>
      </c>
      <c r="P2" s="641">
        <v>3708</v>
      </c>
      <c r="Q2" s="641">
        <v>3709</v>
      </c>
      <c r="R2" s="642">
        <v>3792</v>
      </c>
      <c r="S2" s="147">
        <v>3707</v>
      </c>
      <c r="T2" s="641">
        <v>3708</v>
      </c>
      <c r="U2" s="641">
        <v>3709</v>
      </c>
      <c r="V2" s="642">
        <v>3792</v>
      </c>
      <c r="W2" s="24"/>
    </row>
    <row r="3" spans="1:23" ht="66.75" customHeight="1">
      <c r="A3" s="36" t="s">
        <v>398</v>
      </c>
      <c r="B3" s="166"/>
      <c r="C3" s="35">
        <v>401</v>
      </c>
      <c r="D3" s="167" t="s">
        <v>514</v>
      </c>
      <c r="E3" s="167" t="s">
        <v>515</v>
      </c>
      <c r="F3" s="43" t="s">
        <v>516</v>
      </c>
      <c r="G3" s="41" t="s">
        <v>517</v>
      </c>
      <c r="H3" s="41" t="s">
        <v>518</v>
      </c>
      <c r="I3" s="41" t="s">
        <v>519</v>
      </c>
      <c r="J3" s="41" t="s">
        <v>520</v>
      </c>
      <c r="K3" s="41" t="s">
        <v>394</v>
      </c>
      <c r="L3" s="643" t="s">
        <v>265</v>
      </c>
      <c r="M3" s="643" t="s">
        <v>266</v>
      </c>
      <c r="N3" s="644" t="s">
        <v>548</v>
      </c>
      <c r="O3" s="177" t="s">
        <v>106</v>
      </c>
      <c r="P3" s="643" t="s">
        <v>265</v>
      </c>
      <c r="Q3" s="643" t="s">
        <v>266</v>
      </c>
      <c r="R3" s="644" t="s">
        <v>548</v>
      </c>
      <c r="S3" s="177" t="s">
        <v>106</v>
      </c>
      <c r="T3" s="643" t="s">
        <v>265</v>
      </c>
      <c r="U3" s="643" t="s">
        <v>266</v>
      </c>
      <c r="V3" s="644" t="s">
        <v>548</v>
      </c>
      <c r="W3" s="26"/>
    </row>
    <row r="4" spans="1:23" ht="12.75" customHeight="1">
      <c r="A4" s="36"/>
      <c r="B4" s="166"/>
      <c r="C4" s="35">
        <v>662</v>
      </c>
      <c r="D4" s="13"/>
      <c r="E4" s="13"/>
      <c r="F4" s="43" t="s">
        <v>517</v>
      </c>
      <c r="G4" s="43"/>
      <c r="H4" s="43"/>
      <c r="I4" s="43"/>
      <c r="J4" s="43"/>
      <c r="K4" s="43"/>
      <c r="L4" s="645"/>
      <c r="M4" s="645"/>
      <c r="N4" s="646"/>
      <c r="O4" s="177" t="s">
        <v>465</v>
      </c>
      <c r="P4" s="645"/>
      <c r="Q4" s="645"/>
      <c r="R4" s="646"/>
      <c r="S4" s="177" t="s">
        <v>492</v>
      </c>
      <c r="T4" s="645"/>
      <c r="U4" s="645"/>
      <c r="V4" s="646"/>
      <c r="W4" s="28"/>
    </row>
    <row r="5" spans="1:23">
      <c r="A5" s="36"/>
      <c r="B5" s="166"/>
      <c r="C5" s="35">
        <v>493</v>
      </c>
      <c r="D5" s="13"/>
      <c r="E5" s="13"/>
      <c r="F5" s="43" t="s">
        <v>520</v>
      </c>
      <c r="G5" s="43"/>
      <c r="H5" s="43"/>
      <c r="I5" s="43"/>
      <c r="J5" s="43"/>
      <c r="K5" s="43"/>
      <c r="L5" s="645"/>
      <c r="M5" s="645"/>
      <c r="N5" s="646"/>
      <c r="O5" s="177">
        <v>0</v>
      </c>
      <c r="P5" s="645"/>
      <c r="Q5" s="645"/>
      <c r="R5" s="646"/>
      <c r="S5" s="177">
        <v>0</v>
      </c>
      <c r="T5" s="645"/>
      <c r="U5" s="645"/>
      <c r="V5" s="646"/>
      <c r="W5" s="28"/>
    </row>
    <row r="6" spans="1:23">
      <c r="A6" s="36"/>
      <c r="B6" s="166"/>
      <c r="C6" s="35">
        <v>403</v>
      </c>
      <c r="D6" s="13"/>
      <c r="E6" s="13"/>
      <c r="F6" s="43" t="s">
        <v>394</v>
      </c>
      <c r="G6" s="351"/>
      <c r="H6" s="43"/>
      <c r="I6" s="43"/>
      <c r="J6" s="43"/>
      <c r="K6" s="43"/>
      <c r="L6" s="645"/>
      <c r="M6" s="645"/>
      <c r="N6" s="646"/>
      <c r="O6" s="177" t="s">
        <v>678</v>
      </c>
      <c r="P6" s="645"/>
      <c r="Q6" s="645"/>
      <c r="R6" s="646"/>
      <c r="S6" s="177" t="s">
        <v>678</v>
      </c>
      <c r="T6" s="645"/>
      <c r="U6" s="645"/>
      <c r="V6" s="646"/>
      <c r="W6" s="28"/>
    </row>
    <row r="7" spans="1:23" ht="30" customHeight="1">
      <c r="A7" s="156">
        <v>1289</v>
      </c>
      <c r="B7" s="168" t="s">
        <v>406</v>
      </c>
      <c r="C7" s="151" t="s">
        <v>525</v>
      </c>
      <c r="D7" s="152" t="s">
        <v>527</v>
      </c>
      <c r="E7" s="153" t="s">
        <v>402</v>
      </c>
      <c r="F7" s="144" t="s">
        <v>107</v>
      </c>
      <c r="G7" s="125" t="s">
        <v>402</v>
      </c>
      <c r="H7" s="154" t="s">
        <v>273</v>
      </c>
      <c r="I7" s="123" t="s">
        <v>108</v>
      </c>
      <c r="J7" s="124" t="s">
        <v>402</v>
      </c>
      <c r="K7" s="125" t="s">
        <v>677</v>
      </c>
      <c r="L7" s="514">
        <v>1</v>
      </c>
      <c r="M7" s="515">
        <v>1.0906744032152329</v>
      </c>
      <c r="N7" s="517" t="s">
        <v>1680</v>
      </c>
      <c r="O7" s="155">
        <v>3.8502673796791442</v>
      </c>
      <c r="P7" s="514">
        <v>1</v>
      </c>
      <c r="Q7" s="515">
        <v>1.0906744032152329</v>
      </c>
      <c r="R7" s="517" t="s">
        <v>1680</v>
      </c>
      <c r="S7" s="155">
        <v>3.8502673796791442</v>
      </c>
      <c r="T7" s="514">
        <v>1</v>
      </c>
      <c r="U7" s="515">
        <v>1.0906744032152329</v>
      </c>
      <c r="V7" s="517" t="s">
        <v>1680</v>
      </c>
      <c r="W7" s="31"/>
    </row>
    <row r="8" spans="1:23" ht="12.75">
      <c r="A8" s="226">
        <v>678</v>
      </c>
      <c r="B8" s="168" t="s">
        <v>524</v>
      </c>
      <c r="C8" s="151"/>
      <c r="D8" s="152" t="s">
        <v>526</v>
      </c>
      <c r="E8" s="153" t="s">
        <v>402</v>
      </c>
      <c r="F8" s="144" t="s">
        <v>111</v>
      </c>
      <c r="G8" s="125" t="s">
        <v>393</v>
      </c>
      <c r="H8" s="154" t="s">
        <v>402</v>
      </c>
      <c r="I8" s="123" t="s">
        <v>402</v>
      </c>
      <c r="J8" s="124">
        <v>0</v>
      </c>
      <c r="K8" s="125" t="s">
        <v>395</v>
      </c>
      <c r="L8" s="514">
        <v>1</v>
      </c>
      <c r="M8" s="515">
        <v>1.0906744032152329</v>
      </c>
      <c r="N8" s="517" t="s">
        <v>112</v>
      </c>
      <c r="O8" s="155">
        <v>3.3985917384131504E-3</v>
      </c>
      <c r="P8" s="514">
        <v>1</v>
      </c>
      <c r="Q8" s="515">
        <v>1.0906744032152329</v>
      </c>
      <c r="R8" s="517" t="s">
        <v>112</v>
      </c>
      <c r="S8" s="155">
        <v>4.7216584721552482E-3</v>
      </c>
      <c r="T8" s="514">
        <v>1</v>
      </c>
      <c r="U8" s="515">
        <v>1.0906744032152329</v>
      </c>
      <c r="V8" s="517" t="s">
        <v>112</v>
      </c>
      <c r="W8" s="31"/>
    </row>
    <row r="9" spans="1:23" ht="24">
      <c r="A9" s="2">
        <v>1750</v>
      </c>
      <c r="B9" s="168"/>
      <c r="C9" s="151"/>
      <c r="D9" s="152" t="s">
        <v>526</v>
      </c>
      <c r="E9" s="153" t="s">
        <v>402</v>
      </c>
      <c r="F9" s="144" t="s">
        <v>113</v>
      </c>
      <c r="G9" s="125" t="s">
        <v>393</v>
      </c>
      <c r="H9" s="154" t="s">
        <v>402</v>
      </c>
      <c r="I9" s="123" t="s">
        <v>402</v>
      </c>
      <c r="J9" s="124">
        <v>0</v>
      </c>
      <c r="K9" s="125" t="s">
        <v>409</v>
      </c>
      <c r="L9" s="514">
        <v>1</v>
      </c>
      <c r="M9" s="515">
        <v>1.0906744032152329</v>
      </c>
      <c r="N9" s="517" t="s">
        <v>112</v>
      </c>
      <c r="O9" s="155">
        <v>3.3985917384131503E-6</v>
      </c>
      <c r="P9" s="514">
        <v>1</v>
      </c>
      <c r="Q9" s="515">
        <v>1.0906744032152329</v>
      </c>
      <c r="R9" s="517" t="s">
        <v>112</v>
      </c>
      <c r="S9" s="155">
        <v>4.7216584721552478E-6</v>
      </c>
      <c r="T9" s="514">
        <v>1</v>
      </c>
      <c r="U9" s="515">
        <v>1.0906744032152329</v>
      </c>
      <c r="V9" s="517" t="s">
        <v>112</v>
      </c>
      <c r="W9" s="31"/>
    </row>
    <row r="10" spans="1:23" ht="27.95" customHeight="1" outlineLevel="1">
      <c r="A10" s="464" t="s">
        <v>499</v>
      </c>
      <c r="B10" s="168"/>
      <c r="C10" s="151"/>
      <c r="D10" s="152" t="s">
        <v>526</v>
      </c>
      <c r="E10" s="153" t="s">
        <v>402</v>
      </c>
      <c r="F10" s="144" t="s">
        <v>1673</v>
      </c>
      <c r="G10" s="125" t="s">
        <v>268</v>
      </c>
      <c r="H10" s="154" t="s">
        <v>402</v>
      </c>
      <c r="I10" s="123" t="s">
        <v>402</v>
      </c>
      <c r="J10" s="124">
        <v>1</v>
      </c>
      <c r="K10" s="125" t="s">
        <v>522</v>
      </c>
      <c r="L10" s="514">
        <v>1</v>
      </c>
      <c r="M10" s="515">
        <v>1.2164594125584303</v>
      </c>
      <c r="N10" s="517" t="s">
        <v>1681</v>
      </c>
      <c r="O10" s="155">
        <v>0</v>
      </c>
      <c r="P10" s="514">
        <v>1</v>
      </c>
      <c r="Q10" s="515">
        <v>1.2164594125584303</v>
      </c>
      <c r="R10" s="517" t="s">
        <v>1681</v>
      </c>
      <c r="S10" s="155">
        <v>0</v>
      </c>
      <c r="T10" s="514">
        <v>1</v>
      </c>
      <c r="U10" s="515">
        <v>1.2164594125584303</v>
      </c>
      <c r="V10" s="517" t="s">
        <v>1681</v>
      </c>
      <c r="W10" s="31"/>
    </row>
    <row r="11" spans="1:23" ht="27.95" customHeight="1" outlineLevel="1">
      <c r="A11" s="464" t="s">
        <v>500</v>
      </c>
      <c r="B11" s="168"/>
      <c r="C11" s="151"/>
      <c r="D11" s="152" t="s">
        <v>526</v>
      </c>
      <c r="E11" s="153" t="s">
        <v>402</v>
      </c>
      <c r="F11" s="144" t="s">
        <v>1674</v>
      </c>
      <c r="G11" s="125" t="s">
        <v>268</v>
      </c>
      <c r="H11" s="154" t="s">
        <v>402</v>
      </c>
      <c r="I11" s="123" t="s">
        <v>402</v>
      </c>
      <c r="J11" s="124">
        <v>1</v>
      </c>
      <c r="K11" s="125" t="s">
        <v>522</v>
      </c>
      <c r="L11" s="514">
        <v>1</v>
      </c>
      <c r="M11" s="515">
        <v>1.2164594125584303</v>
      </c>
      <c r="N11" s="517" t="s">
        <v>1681</v>
      </c>
      <c r="O11" s="155">
        <v>0</v>
      </c>
      <c r="P11" s="514">
        <v>1</v>
      </c>
      <c r="Q11" s="515">
        <v>1.2164594125584303</v>
      </c>
      <c r="R11" s="517" t="s">
        <v>1681</v>
      </c>
      <c r="S11" s="155">
        <v>0</v>
      </c>
      <c r="T11" s="514">
        <v>1</v>
      </c>
      <c r="U11" s="515">
        <v>1.2164594125584303</v>
      </c>
      <c r="V11" s="517" t="s">
        <v>1681</v>
      </c>
      <c r="W11" s="31"/>
    </row>
    <row r="12" spans="1:23" ht="27.95" customHeight="1">
      <c r="A12" s="464" t="s">
        <v>501</v>
      </c>
      <c r="B12" s="168"/>
      <c r="C12" s="151"/>
      <c r="D12" s="152" t="s">
        <v>526</v>
      </c>
      <c r="E12" s="153" t="s">
        <v>402</v>
      </c>
      <c r="F12" s="144" t="s">
        <v>1675</v>
      </c>
      <c r="G12" s="125" t="s">
        <v>494</v>
      </c>
      <c r="H12" s="154" t="s">
        <v>402</v>
      </c>
      <c r="I12" s="123" t="s">
        <v>402</v>
      </c>
      <c r="J12" s="124">
        <v>1</v>
      </c>
      <c r="K12" s="125" t="s">
        <v>522</v>
      </c>
      <c r="L12" s="514">
        <v>1</v>
      </c>
      <c r="M12" s="515">
        <v>1.2164594125584303</v>
      </c>
      <c r="N12" s="517" t="s">
        <v>1681</v>
      </c>
      <c r="O12" s="155">
        <v>0</v>
      </c>
      <c r="P12" s="514">
        <v>1</v>
      </c>
      <c r="Q12" s="515">
        <v>1.2164594125584303</v>
      </c>
      <c r="R12" s="517" t="s">
        <v>1681</v>
      </c>
      <c r="S12" s="165">
        <v>0</v>
      </c>
      <c r="T12" s="514">
        <v>1</v>
      </c>
      <c r="U12" s="515">
        <v>1.2164594125584303</v>
      </c>
      <c r="V12" s="517" t="s">
        <v>1681</v>
      </c>
      <c r="W12" s="31"/>
    </row>
    <row r="13" spans="1:23" ht="27.95" customHeight="1">
      <c r="A13" s="464" t="s">
        <v>502</v>
      </c>
      <c r="B13" s="168"/>
      <c r="C13" s="151"/>
      <c r="D13" s="152" t="s">
        <v>526</v>
      </c>
      <c r="E13" s="153" t="s">
        <v>402</v>
      </c>
      <c r="F13" s="144" t="s">
        <v>1676</v>
      </c>
      <c r="G13" s="125" t="s">
        <v>494</v>
      </c>
      <c r="H13" s="154" t="s">
        <v>402</v>
      </c>
      <c r="I13" s="123" t="s">
        <v>402</v>
      </c>
      <c r="J13" s="124">
        <v>1</v>
      </c>
      <c r="K13" s="125" t="s">
        <v>522</v>
      </c>
      <c r="L13" s="514">
        <v>1</v>
      </c>
      <c r="M13" s="515">
        <v>1.2164594125584303</v>
      </c>
      <c r="N13" s="517" t="s">
        <v>1681</v>
      </c>
      <c r="O13" s="155">
        <v>0</v>
      </c>
      <c r="P13" s="514">
        <v>1</v>
      </c>
      <c r="Q13" s="515">
        <v>1.2164594125584303</v>
      </c>
      <c r="R13" s="517" t="s">
        <v>1681</v>
      </c>
      <c r="S13" s="155">
        <v>7.2553671213490434E-10</v>
      </c>
      <c r="T13" s="514">
        <v>1</v>
      </c>
      <c r="U13" s="515">
        <v>1.2164594125584303</v>
      </c>
      <c r="V13" s="517" t="s">
        <v>1681</v>
      </c>
      <c r="W13" s="31"/>
    </row>
    <row r="14" spans="1:23" ht="27.95" customHeight="1">
      <c r="A14" s="464" t="s">
        <v>503</v>
      </c>
      <c r="B14" s="168"/>
      <c r="C14" s="151"/>
      <c r="D14" s="152" t="s">
        <v>526</v>
      </c>
      <c r="E14" s="153" t="s">
        <v>402</v>
      </c>
      <c r="F14" s="144" t="s">
        <v>1677</v>
      </c>
      <c r="G14" s="125" t="s">
        <v>465</v>
      </c>
      <c r="H14" s="154" t="s">
        <v>402</v>
      </c>
      <c r="I14" s="123" t="s">
        <v>402</v>
      </c>
      <c r="J14" s="124">
        <v>1</v>
      </c>
      <c r="K14" s="125" t="s">
        <v>522</v>
      </c>
      <c r="L14" s="514">
        <v>1</v>
      </c>
      <c r="M14" s="515">
        <v>1.2164594125584303</v>
      </c>
      <c r="N14" s="517" t="s">
        <v>1681</v>
      </c>
      <c r="O14" s="155">
        <v>1.0934372769387954E-9</v>
      </c>
      <c r="P14" s="514">
        <v>1</v>
      </c>
      <c r="Q14" s="515">
        <v>1.2164594125584303</v>
      </c>
      <c r="R14" s="517" t="s">
        <v>1681</v>
      </c>
      <c r="S14" s="155">
        <v>0</v>
      </c>
      <c r="T14" s="514">
        <v>1</v>
      </c>
      <c r="U14" s="515">
        <v>1.2164594125584303</v>
      </c>
      <c r="V14" s="517" t="s">
        <v>1681</v>
      </c>
      <c r="W14" s="31"/>
    </row>
    <row r="15" spans="1:23" ht="27.95" customHeight="1" outlineLevel="1">
      <c r="A15" s="467" t="s">
        <v>724</v>
      </c>
      <c r="B15" s="168"/>
      <c r="C15" s="151"/>
      <c r="D15" s="152" t="s">
        <v>526</v>
      </c>
      <c r="E15" s="153" t="s">
        <v>402</v>
      </c>
      <c r="F15" s="144" t="s">
        <v>118</v>
      </c>
      <c r="G15" s="125" t="s">
        <v>393</v>
      </c>
      <c r="H15" s="154" t="s">
        <v>402</v>
      </c>
      <c r="I15" s="123" t="s">
        <v>402</v>
      </c>
      <c r="J15" s="124">
        <v>1</v>
      </c>
      <c r="K15" s="125" t="s">
        <v>522</v>
      </c>
      <c r="L15" s="514">
        <v>1</v>
      </c>
      <c r="M15" s="515">
        <v>1.2164594125584303</v>
      </c>
      <c r="N15" s="517" t="s">
        <v>1681</v>
      </c>
      <c r="O15" s="155">
        <v>0</v>
      </c>
      <c r="P15" s="514">
        <v>1</v>
      </c>
      <c r="Q15" s="515">
        <v>1.2164594125584303</v>
      </c>
      <c r="R15" s="517" t="s">
        <v>1681</v>
      </c>
      <c r="S15" s="155">
        <v>0</v>
      </c>
      <c r="T15" s="514">
        <v>1</v>
      </c>
      <c r="U15" s="515">
        <v>1.2164594125584303</v>
      </c>
      <c r="V15" s="517" t="s">
        <v>1681</v>
      </c>
      <c r="W15" s="31"/>
    </row>
    <row r="16" spans="1:23" ht="27.95" customHeight="1" outlineLevel="1">
      <c r="A16" s="467" t="s">
        <v>721</v>
      </c>
      <c r="B16" s="168"/>
      <c r="C16" s="151"/>
      <c r="D16" s="152" t="s">
        <v>526</v>
      </c>
      <c r="E16" s="153" t="s">
        <v>402</v>
      </c>
      <c r="F16" s="144" t="s">
        <v>119</v>
      </c>
      <c r="G16" s="125" t="s">
        <v>393</v>
      </c>
      <c r="H16" s="154" t="s">
        <v>402</v>
      </c>
      <c r="I16" s="123" t="s">
        <v>402</v>
      </c>
      <c r="J16" s="124">
        <v>1</v>
      </c>
      <c r="K16" s="125" t="s">
        <v>522</v>
      </c>
      <c r="L16" s="514">
        <v>1</v>
      </c>
      <c r="M16" s="515">
        <v>1.2164594125584303</v>
      </c>
      <c r="N16" s="517" t="s">
        <v>1681</v>
      </c>
      <c r="O16" s="155">
        <v>0</v>
      </c>
      <c r="P16" s="514">
        <v>1</v>
      </c>
      <c r="Q16" s="515">
        <v>1.2164594125584303</v>
      </c>
      <c r="R16" s="517" t="s">
        <v>1681</v>
      </c>
      <c r="S16" s="155">
        <v>0</v>
      </c>
      <c r="T16" s="514">
        <v>1</v>
      </c>
      <c r="U16" s="515">
        <v>1.2164594125584303</v>
      </c>
      <c r="V16" s="517" t="s">
        <v>1681</v>
      </c>
      <c r="W16" s="31"/>
    </row>
    <row r="17" spans="1:23" ht="27.95" customHeight="1">
      <c r="A17" s="156" t="s">
        <v>1020</v>
      </c>
      <c r="B17" s="168"/>
      <c r="C17" s="151"/>
      <c r="D17" s="152" t="s">
        <v>526</v>
      </c>
      <c r="E17" s="153" t="s">
        <v>402</v>
      </c>
      <c r="F17" s="144" t="s">
        <v>121</v>
      </c>
      <c r="G17" s="125" t="s">
        <v>465</v>
      </c>
      <c r="H17" s="154" t="s">
        <v>402</v>
      </c>
      <c r="I17" s="123" t="s">
        <v>402</v>
      </c>
      <c r="J17" s="124">
        <v>1</v>
      </c>
      <c r="K17" s="125" t="s">
        <v>522</v>
      </c>
      <c r="L17" s="514">
        <v>1</v>
      </c>
      <c r="M17" s="515">
        <v>1.2164594125584303</v>
      </c>
      <c r="N17" s="517" t="s">
        <v>1681</v>
      </c>
      <c r="O17" s="155">
        <v>9.136535024071837E-8</v>
      </c>
      <c r="P17" s="514">
        <v>1</v>
      </c>
      <c r="Q17" s="515">
        <v>1.2164594125584303</v>
      </c>
      <c r="R17" s="517" t="s">
        <v>1681</v>
      </c>
      <c r="S17" s="155">
        <v>1.3986336283542254E-7</v>
      </c>
      <c r="T17" s="514">
        <v>1</v>
      </c>
      <c r="U17" s="515">
        <v>1.2164594125584303</v>
      </c>
      <c r="V17" s="517" t="s">
        <v>1681</v>
      </c>
      <c r="W17" s="31"/>
    </row>
    <row r="18" spans="1:23" ht="27.95" customHeight="1">
      <c r="A18" s="156" t="s">
        <v>1021</v>
      </c>
      <c r="B18" s="168" t="s">
        <v>525</v>
      </c>
      <c r="C18" s="151"/>
      <c r="D18" s="152" t="s">
        <v>526</v>
      </c>
      <c r="E18" s="153" t="s">
        <v>402</v>
      </c>
      <c r="F18" s="144" t="s">
        <v>122</v>
      </c>
      <c r="G18" s="125" t="s">
        <v>465</v>
      </c>
      <c r="H18" s="154" t="s">
        <v>402</v>
      </c>
      <c r="I18" s="123" t="s">
        <v>402</v>
      </c>
      <c r="J18" s="124">
        <v>1</v>
      </c>
      <c r="K18" s="125" t="s">
        <v>522</v>
      </c>
      <c r="L18" s="514">
        <v>1</v>
      </c>
      <c r="M18" s="515">
        <v>1.2164594125584303</v>
      </c>
      <c r="N18" s="517" t="s">
        <v>1681</v>
      </c>
      <c r="O18" s="155">
        <v>3.6546140096287348E-7</v>
      </c>
      <c r="P18" s="514">
        <v>1</v>
      </c>
      <c r="Q18" s="515">
        <v>1.2164594125584303</v>
      </c>
      <c r="R18" s="517" t="s">
        <v>1681</v>
      </c>
      <c r="S18" s="155">
        <v>5.5945345134169015E-7</v>
      </c>
      <c r="T18" s="514">
        <v>1</v>
      </c>
      <c r="U18" s="515">
        <v>1.2164594125584303</v>
      </c>
      <c r="V18" s="517" t="s">
        <v>1681</v>
      </c>
      <c r="W18" s="31"/>
    </row>
    <row r="19" spans="1:23" ht="27.95" customHeight="1">
      <c r="A19" s="156" t="s">
        <v>1035</v>
      </c>
      <c r="B19" s="168" t="s">
        <v>525</v>
      </c>
      <c r="C19" s="151"/>
      <c r="D19" s="152" t="s">
        <v>526</v>
      </c>
      <c r="E19" s="153" t="s">
        <v>402</v>
      </c>
      <c r="F19" s="144" t="s">
        <v>123</v>
      </c>
      <c r="G19" s="125" t="s">
        <v>465</v>
      </c>
      <c r="H19" s="154" t="s">
        <v>402</v>
      </c>
      <c r="I19" s="123" t="s">
        <v>402</v>
      </c>
      <c r="J19" s="124">
        <v>1</v>
      </c>
      <c r="K19" s="125" t="s">
        <v>522</v>
      </c>
      <c r="L19" s="514">
        <v>1</v>
      </c>
      <c r="M19" s="515">
        <v>1.2164594125584303</v>
      </c>
      <c r="N19" s="517" t="s">
        <v>1681</v>
      </c>
      <c r="O19" s="155">
        <v>1.3918113830568133E-7</v>
      </c>
      <c r="P19" s="514">
        <v>1</v>
      </c>
      <c r="Q19" s="515">
        <v>1.2164594125584303</v>
      </c>
      <c r="R19" s="517" t="s">
        <v>1681</v>
      </c>
      <c r="S19" s="155">
        <v>2.1306044354240495E-7</v>
      </c>
      <c r="T19" s="514">
        <v>1</v>
      </c>
      <c r="U19" s="515">
        <v>1.2164594125584303</v>
      </c>
      <c r="V19" s="517" t="s">
        <v>1681</v>
      </c>
      <c r="W19" s="31"/>
    </row>
    <row r="20" spans="1:23" ht="27.95" customHeight="1">
      <c r="A20" s="156" t="s">
        <v>1036</v>
      </c>
      <c r="B20" s="168" t="s">
        <v>525</v>
      </c>
      <c r="C20" s="151"/>
      <c r="D20" s="152" t="s">
        <v>526</v>
      </c>
      <c r="E20" s="153" t="s">
        <v>402</v>
      </c>
      <c r="F20" s="144" t="s">
        <v>124</v>
      </c>
      <c r="G20" s="125" t="s">
        <v>465</v>
      </c>
      <c r="H20" s="154" t="s">
        <v>402</v>
      </c>
      <c r="I20" s="123" t="s">
        <v>402</v>
      </c>
      <c r="J20" s="124">
        <v>1</v>
      </c>
      <c r="K20" s="125" t="s">
        <v>522</v>
      </c>
      <c r="L20" s="514">
        <v>1</v>
      </c>
      <c r="M20" s="515">
        <v>1.2164594125584303</v>
      </c>
      <c r="N20" s="517" t="s">
        <v>1681</v>
      </c>
      <c r="O20" s="155">
        <v>5.5672455322272533E-7</v>
      </c>
      <c r="P20" s="514">
        <v>1</v>
      </c>
      <c r="Q20" s="515">
        <v>1.2164594125584303</v>
      </c>
      <c r="R20" s="517" t="s">
        <v>1681</v>
      </c>
      <c r="S20" s="155">
        <v>8.5224177416961982E-7</v>
      </c>
      <c r="T20" s="514">
        <v>1</v>
      </c>
      <c r="U20" s="515">
        <v>1.2164594125584303</v>
      </c>
      <c r="V20" s="517" t="s">
        <v>1681</v>
      </c>
      <c r="W20" s="31"/>
    </row>
    <row r="21" spans="1:23" ht="27.95" customHeight="1">
      <c r="A21" s="156" t="s">
        <v>1022</v>
      </c>
      <c r="B21" s="168" t="s">
        <v>525</v>
      </c>
      <c r="C21" s="151"/>
      <c r="D21" s="152" t="s">
        <v>526</v>
      </c>
      <c r="E21" s="153" t="s">
        <v>402</v>
      </c>
      <c r="F21" s="144" t="s">
        <v>125</v>
      </c>
      <c r="G21" s="125" t="s">
        <v>465</v>
      </c>
      <c r="H21" s="154" t="s">
        <v>402</v>
      </c>
      <c r="I21" s="123" t="s">
        <v>402</v>
      </c>
      <c r="J21" s="124">
        <v>1</v>
      </c>
      <c r="K21" s="125" t="s">
        <v>522</v>
      </c>
      <c r="L21" s="514">
        <v>1</v>
      </c>
      <c r="M21" s="515">
        <v>1.2164594125584303</v>
      </c>
      <c r="N21" s="517" t="s">
        <v>1681</v>
      </c>
      <c r="O21" s="155">
        <v>4.4135748555436958E-7</v>
      </c>
      <c r="P21" s="514">
        <v>1</v>
      </c>
      <c r="Q21" s="515">
        <v>1.2164594125584303</v>
      </c>
      <c r="R21" s="517" t="s">
        <v>1681</v>
      </c>
      <c r="S21" s="155">
        <v>7.5587920355908482E-7</v>
      </c>
      <c r="T21" s="514">
        <v>1</v>
      </c>
      <c r="U21" s="515">
        <v>1.2164594125584303</v>
      </c>
      <c r="V21" s="517" t="s">
        <v>1681</v>
      </c>
      <c r="W21" s="31"/>
    </row>
    <row r="22" spans="1:23" ht="27.95" customHeight="1">
      <c r="A22" s="156" t="s">
        <v>1037</v>
      </c>
      <c r="B22" s="168" t="s">
        <v>525</v>
      </c>
      <c r="C22" s="151"/>
      <c r="D22" s="152" t="s">
        <v>526</v>
      </c>
      <c r="E22" s="153" t="s">
        <v>402</v>
      </c>
      <c r="F22" s="144" t="s">
        <v>126</v>
      </c>
      <c r="G22" s="125" t="s">
        <v>465</v>
      </c>
      <c r="H22" s="154" t="s">
        <v>402</v>
      </c>
      <c r="I22" s="123" t="s">
        <v>402</v>
      </c>
      <c r="J22" s="124">
        <v>1</v>
      </c>
      <c r="K22" s="125" t="s">
        <v>522</v>
      </c>
      <c r="L22" s="514">
        <v>1</v>
      </c>
      <c r="M22" s="515">
        <v>1.2164594125584303</v>
      </c>
      <c r="N22" s="517" t="s">
        <v>1681</v>
      </c>
      <c r="O22" s="155">
        <v>6.7234063107453457E-7</v>
      </c>
      <c r="P22" s="514">
        <v>1</v>
      </c>
      <c r="Q22" s="515">
        <v>1.2164594125584303</v>
      </c>
      <c r="R22" s="517" t="s">
        <v>1681</v>
      </c>
      <c r="S22" s="155">
        <v>1.1514663676740267E-6</v>
      </c>
      <c r="T22" s="514">
        <v>1</v>
      </c>
      <c r="U22" s="515">
        <v>1.2164594125584303</v>
      </c>
      <c r="V22" s="517" t="s">
        <v>1681</v>
      </c>
      <c r="W22" s="31"/>
    </row>
    <row r="23" spans="1:23" ht="27.95" customHeight="1">
      <c r="A23" s="156" t="s">
        <v>1023</v>
      </c>
      <c r="B23" s="168" t="s">
        <v>525</v>
      </c>
      <c r="C23" s="151"/>
      <c r="D23" s="152" t="s">
        <v>526</v>
      </c>
      <c r="E23" s="153" t="s">
        <v>402</v>
      </c>
      <c r="F23" s="144" t="s">
        <v>127</v>
      </c>
      <c r="G23" s="125" t="s">
        <v>465</v>
      </c>
      <c r="H23" s="154" t="s">
        <v>402</v>
      </c>
      <c r="I23" s="123" t="s">
        <v>402</v>
      </c>
      <c r="J23" s="124">
        <v>1</v>
      </c>
      <c r="K23" s="125" t="s">
        <v>522</v>
      </c>
      <c r="L23" s="514">
        <v>1</v>
      </c>
      <c r="M23" s="515">
        <v>1.2164594125584303</v>
      </c>
      <c r="N23" s="517" t="s">
        <v>1681</v>
      </c>
      <c r="O23" s="155">
        <v>5.5169685694296197E-8</v>
      </c>
      <c r="P23" s="514">
        <v>1</v>
      </c>
      <c r="Q23" s="515">
        <v>1.2164594125584303</v>
      </c>
      <c r="R23" s="517" t="s">
        <v>1681</v>
      </c>
      <c r="S23" s="155">
        <v>9.4484900444885603E-8</v>
      </c>
      <c r="T23" s="514">
        <v>1</v>
      </c>
      <c r="U23" s="515">
        <v>1.2164594125584303</v>
      </c>
      <c r="V23" s="517" t="s">
        <v>1681</v>
      </c>
      <c r="W23" s="31"/>
    </row>
    <row r="24" spans="1:23" ht="27.95" customHeight="1">
      <c r="A24" s="156" t="s">
        <v>1024</v>
      </c>
      <c r="B24" s="168" t="s">
        <v>525</v>
      </c>
      <c r="C24" s="151"/>
      <c r="D24" s="152" t="s">
        <v>526</v>
      </c>
      <c r="E24" s="153" t="s">
        <v>402</v>
      </c>
      <c r="F24" s="144" t="s">
        <v>128</v>
      </c>
      <c r="G24" s="125" t="s">
        <v>465</v>
      </c>
      <c r="H24" s="154" t="s">
        <v>402</v>
      </c>
      <c r="I24" s="123" t="s">
        <v>402</v>
      </c>
      <c r="J24" s="124">
        <v>1</v>
      </c>
      <c r="K24" s="125" t="s">
        <v>522</v>
      </c>
      <c r="L24" s="514">
        <v>1</v>
      </c>
      <c r="M24" s="515">
        <v>1.2164594125584303</v>
      </c>
      <c r="N24" s="517" t="s">
        <v>1681</v>
      </c>
      <c r="O24" s="155">
        <v>1.4344118280517015E-6</v>
      </c>
      <c r="P24" s="514">
        <v>1</v>
      </c>
      <c r="Q24" s="515">
        <v>1.2164594125584303</v>
      </c>
      <c r="R24" s="517" t="s">
        <v>1681</v>
      </c>
      <c r="S24" s="155">
        <v>2.4566074115670261E-6</v>
      </c>
      <c r="T24" s="514">
        <v>1</v>
      </c>
      <c r="U24" s="515">
        <v>1.2164594125584303</v>
      </c>
      <c r="V24" s="517" t="s">
        <v>1681</v>
      </c>
      <c r="W24" s="31"/>
    </row>
    <row r="25" spans="1:23" ht="27.95" customHeight="1">
      <c r="A25" s="156" t="s">
        <v>1038</v>
      </c>
      <c r="B25" s="168" t="s">
        <v>525</v>
      </c>
      <c r="C25" s="151"/>
      <c r="D25" s="152" t="s">
        <v>526</v>
      </c>
      <c r="E25" s="153" t="s">
        <v>402</v>
      </c>
      <c r="F25" s="144" t="s">
        <v>129</v>
      </c>
      <c r="G25" s="125" t="s">
        <v>465</v>
      </c>
      <c r="H25" s="154" t="s">
        <v>402</v>
      </c>
      <c r="I25" s="123" t="s">
        <v>402</v>
      </c>
      <c r="J25" s="124">
        <v>1</v>
      </c>
      <c r="K25" s="125" t="s">
        <v>522</v>
      </c>
      <c r="L25" s="514">
        <v>1</v>
      </c>
      <c r="M25" s="515">
        <v>1.2164594125584303</v>
      </c>
      <c r="N25" s="517" t="s">
        <v>1681</v>
      </c>
      <c r="O25" s="155">
        <v>8.4042578884316821E-8</v>
      </c>
      <c r="P25" s="514">
        <v>1</v>
      </c>
      <c r="Q25" s="515">
        <v>1.2164594125584303</v>
      </c>
      <c r="R25" s="517" t="s">
        <v>1681</v>
      </c>
      <c r="S25" s="155">
        <v>1.4393329595925333E-7</v>
      </c>
      <c r="T25" s="514">
        <v>1</v>
      </c>
      <c r="U25" s="515">
        <v>1.2164594125584303</v>
      </c>
      <c r="V25" s="517" t="s">
        <v>1681</v>
      </c>
      <c r="W25" s="31"/>
    </row>
    <row r="26" spans="1:23" ht="27.95" customHeight="1">
      <c r="A26" s="156" t="s">
        <v>1039</v>
      </c>
      <c r="B26" s="168" t="s">
        <v>525</v>
      </c>
      <c r="C26" s="151"/>
      <c r="D26" s="152" t="s">
        <v>526</v>
      </c>
      <c r="E26" s="153" t="s">
        <v>402</v>
      </c>
      <c r="F26" s="144" t="s">
        <v>130</v>
      </c>
      <c r="G26" s="125" t="s">
        <v>465</v>
      </c>
      <c r="H26" s="154" t="s">
        <v>402</v>
      </c>
      <c r="I26" s="123" t="s">
        <v>402</v>
      </c>
      <c r="J26" s="124">
        <v>1</v>
      </c>
      <c r="K26" s="125" t="s">
        <v>522</v>
      </c>
      <c r="L26" s="514">
        <v>1</v>
      </c>
      <c r="M26" s="515">
        <v>1.2164594125584303</v>
      </c>
      <c r="N26" s="517" t="s">
        <v>1681</v>
      </c>
      <c r="O26" s="155">
        <v>2.1851070509922377E-6</v>
      </c>
      <c r="P26" s="514">
        <v>1</v>
      </c>
      <c r="Q26" s="515">
        <v>1.2164594125584303</v>
      </c>
      <c r="R26" s="517" t="s">
        <v>1681</v>
      </c>
      <c r="S26" s="155">
        <v>3.7422656949405873E-6</v>
      </c>
      <c r="T26" s="514">
        <v>1</v>
      </c>
      <c r="U26" s="515">
        <v>1.2164594125584303</v>
      </c>
      <c r="V26" s="517" t="s">
        <v>1681</v>
      </c>
      <c r="W26" s="31"/>
    </row>
    <row r="27" spans="1:23" ht="27.95" customHeight="1">
      <c r="A27" s="120">
        <v>32066</v>
      </c>
      <c r="B27" s="168" t="s">
        <v>525</v>
      </c>
      <c r="C27" s="151"/>
      <c r="D27" s="152" t="s">
        <v>526</v>
      </c>
      <c r="E27" s="153" t="s">
        <v>402</v>
      </c>
      <c r="F27" s="144" t="s">
        <v>65</v>
      </c>
      <c r="G27" s="125" t="s">
        <v>393</v>
      </c>
      <c r="H27" s="154" t="s">
        <v>402</v>
      </c>
      <c r="I27" s="123" t="s">
        <v>402</v>
      </c>
      <c r="J27" s="124">
        <v>1</v>
      </c>
      <c r="K27" s="125" t="s">
        <v>522</v>
      </c>
      <c r="L27" s="514">
        <v>1</v>
      </c>
      <c r="M27" s="515">
        <v>1.2164594125584303</v>
      </c>
      <c r="N27" s="517" t="s">
        <v>1681</v>
      </c>
      <c r="O27" s="155">
        <v>1.8452994865409075E-7</v>
      </c>
      <c r="P27" s="514">
        <v>1</v>
      </c>
      <c r="Q27" s="515">
        <v>1.2164594125584303</v>
      </c>
      <c r="R27" s="517" t="s">
        <v>1681</v>
      </c>
      <c r="S27" s="155">
        <v>3.1603032731223606E-7</v>
      </c>
      <c r="T27" s="514">
        <v>1</v>
      </c>
      <c r="U27" s="515">
        <v>1.2164594125584303</v>
      </c>
      <c r="V27" s="517" t="s">
        <v>1681</v>
      </c>
      <c r="W27" s="31"/>
    </row>
    <row r="28" spans="1:23" ht="27.95" customHeight="1">
      <c r="A28" s="120">
        <v>32068</v>
      </c>
      <c r="B28" s="168" t="s">
        <v>525</v>
      </c>
      <c r="C28" s="151"/>
      <c r="D28" s="152" t="s">
        <v>526</v>
      </c>
      <c r="E28" s="153" t="s">
        <v>402</v>
      </c>
      <c r="F28" s="144" t="s">
        <v>67</v>
      </c>
      <c r="G28" s="125" t="s">
        <v>393</v>
      </c>
      <c r="H28" s="154" t="s">
        <v>402</v>
      </c>
      <c r="I28" s="123" t="s">
        <v>402</v>
      </c>
      <c r="J28" s="124">
        <v>1</v>
      </c>
      <c r="K28" s="125" t="s">
        <v>522</v>
      </c>
      <c r="L28" s="514">
        <v>1</v>
      </c>
      <c r="M28" s="515">
        <v>1.2164594125584303</v>
      </c>
      <c r="N28" s="517" t="s">
        <v>1681</v>
      </c>
      <c r="O28" s="155">
        <v>7.0973057174650398E-9</v>
      </c>
      <c r="P28" s="514">
        <v>1</v>
      </c>
      <c r="Q28" s="515">
        <v>1.2164594125584303</v>
      </c>
      <c r="R28" s="517" t="s">
        <v>1681</v>
      </c>
      <c r="S28" s="155">
        <v>1.2155012588932176E-8</v>
      </c>
      <c r="T28" s="514">
        <v>1</v>
      </c>
      <c r="U28" s="515">
        <v>1.2164594125584303</v>
      </c>
      <c r="V28" s="517" t="s">
        <v>1681</v>
      </c>
      <c r="W28" s="31"/>
    </row>
    <row r="29" spans="1:23" ht="27.95" customHeight="1">
      <c r="A29" s="120">
        <v>32076</v>
      </c>
      <c r="B29" s="168" t="s">
        <v>525</v>
      </c>
      <c r="C29" s="151"/>
      <c r="D29" s="152" t="s">
        <v>526</v>
      </c>
      <c r="E29" s="153" t="s">
        <v>402</v>
      </c>
      <c r="F29" s="144" t="s">
        <v>66</v>
      </c>
      <c r="G29" s="125" t="s">
        <v>393</v>
      </c>
      <c r="H29" s="154" t="s">
        <v>402</v>
      </c>
      <c r="I29" s="123" t="s">
        <v>402</v>
      </c>
      <c r="J29" s="124">
        <v>1</v>
      </c>
      <c r="K29" s="125" t="s">
        <v>522</v>
      </c>
      <c r="L29" s="514">
        <v>1</v>
      </c>
      <c r="M29" s="515">
        <v>1.2164594125584303</v>
      </c>
      <c r="N29" s="517" t="s">
        <v>1681</v>
      </c>
      <c r="O29" s="155">
        <v>3.0817957447282733E-7</v>
      </c>
      <c r="P29" s="514">
        <v>1</v>
      </c>
      <c r="Q29" s="515">
        <v>1.2164594125584303</v>
      </c>
      <c r="R29" s="517" t="s">
        <v>1681</v>
      </c>
      <c r="S29" s="155">
        <v>5.2779558278728315E-7</v>
      </c>
      <c r="T29" s="514">
        <v>1</v>
      </c>
      <c r="U29" s="515">
        <v>1.2164594125584303</v>
      </c>
      <c r="V29" s="517" t="s">
        <v>1681</v>
      </c>
      <c r="W29" s="31"/>
    </row>
    <row r="30" spans="1:23" ht="27.95" customHeight="1">
      <c r="A30" s="120">
        <v>32080</v>
      </c>
      <c r="B30" s="168" t="s">
        <v>525</v>
      </c>
      <c r="C30" s="151"/>
      <c r="D30" s="152" t="s">
        <v>526</v>
      </c>
      <c r="E30" s="153" t="s">
        <v>402</v>
      </c>
      <c r="F30" s="144" t="s">
        <v>64</v>
      </c>
      <c r="G30" s="125" t="s">
        <v>393</v>
      </c>
      <c r="H30" s="154" t="s">
        <v>402</v>
      </c>
      <c r="I30" s="123" t="s">
        <v>402</v>
      </c>
      <c r="J30" s="124">
        <v>1</v>
      </c>
      <c r="K30" s="125" t="s">
        <v>522</v>
      </c>
      <c r="L30" s="514">
        <v>1</v>
      </c>
      <c r="M30" s="515">
        <v>1.2164594125584303</v>
      </c>
      <c r="N30" s="517" t="s">
        <v>1681</v>
      </c>
      <c r="O30" s="155">
        <v>3.6498367698875173E-8</v>
      </c>
      <c r="P30" s="514">
        <v>1</v>
      </c>
      <c r="Q30" s="515">
        <v>1.2164594125584303</v>
      </c>
      <c r="R30" s="517" t="s">
        <v>1681</v>
      </c>
      <c r="S30" s="155">
        <v>6.2507962389671222E-8</v>
      </c>
      <c r="T30" s="514">
        <v>1</v>
      </c>
      <c r="U30" s="515">
        <v>1.2164594125584303</v>
      </c>
      <c r="V30" s="517" t="s">
        <v>1681</v>
      </c>
      <c r="W30" s="31"/>
    </row>
    <row r="31" spans="1:23" ht="27.95" customHeight="1">
      <c r="A31" s="120">
        <v>32130</v>
      </c>
      <c r="B31" s="168" t="s">
        <v>525</v>
      </c>
      <c r="C31" s="151"/>
      <c r="D31" s="152" t="s">
        <v>526</v>
      </c>
      <c r="E31" s="153" t="s">
        <v>402</v>
      </c>
      <c r="F31" s="144" t="s">
        <v>68</v>
      </c>
      <c r="G31" s="125" t="s">
        <v>393</v>
      </c>
      <c r="H31" s="154" t="s">
        <v>402</v>
      </c>
      <c r="I31" s="123" t="s">
        <v>402</v>
      </c>
      <c r="J31" s="124">
        <v>1</v>
      </c>
      <c r="K31" s="125" t="s">
        <v>522</v>
      </c>
      <c r="L31" s="514">
        <v>1</v>
      </c>
      <c r="M31" s="515">
        <v>1.2164594125584303</v>
      </c>
      <c r="N31" s="517" t="s">
        <v>1681</v>
      </c>
      <c r="O31" s="155">
        <v>1.1106176999358982E-8</v>
      </c>
      <c r="P31" s="514">
        <v>1</v>
      </c>
      <c r="Q31" s="515">
        <v>1.2164594125584303</v>
      </c>
      <c r="R31" s="517" t="s">
        <v>1681</v>
      </c>
      <c r="S31" s="155">
        <v>1.9020699772016317E-8</v>
      </c>
      <c r="T31" s="514">
        <v>1</v>
      </c>
      <c r="U31" s="515">
        <v>1.2164594125584303</v>
      </c>
      <c r="V31" s="517" t="s">
        <v>1681</v>
      </c>
      <c r="W31" s="31"/>
    </row>
    <row r="32" spans="1:23" ht="27.95" customHeight="1">
      <c r="A32" s="120">
        <v>32131</v>
      </c>
      <c r="B32" s="168" t="s">
        <v>525</v>
      </c>
      <c r="C32" s="151"/>
      <c r="D32" s="152" t="s">
        <v>526</v>
      </c>
      <c r="E32" s="153" t="s">
        <v>402</v>
      </c>
      <c r="F32" s="144" t="s">
        <v>69</v>
      </c>
      <c r="G32" s="125" t="s">
        <v>393</v>
      </c>
      <c r="H32" s="154" t="s">
        <v>402</v>
      </c>
      <c r="I32" s="123" t="s">
        <v>402</v>
      </c>
      <c r="J32" s="124">
        <v>1</v>
      </c>
      <c r="K32" s="125" t="s">
        <v>522</v>
      </c>
      <c r="L32" s="514">
        <v>1</v>
      </c>
      <c r="M32" s="515">
        <v>1.2164594125584303</v>
      </c>
      <c r="N32" s="517" t="s">
        <v>1681</v>
      </c>
      <c r="O32" s="155">
        <v>2.8876060198333305E-7</v>
      </c>
      <c r="P32" s="514">
        <v>1</v>
      </c>
      <c r="Q32" s="515">
        <v>1.2164594125584303</v>
      </c>
      <c r="R32" s="517" t="s">
        <v>1681</v>
      </c>
      <c r="S32" s="155">
        <v>4.9453819407242348E-7</v>
      </c>
      <c r="T32" s="514">
        <v>1</v>
      </c>
      <c r="U32" s="515">
        <v>1.2164594125584303</v>
      </c>
      <c r="V32" s="517" t="s">
        <v>1681</v>
      </c>
      <c r="W32" s="31"/>
    </row>
    <row r="33" spans="1:23">
      <c r="A33" s="156"/>
      <c r="B33" s="163" t="s">
        <v>692</v>
      </c>
      <c r="C33" s="151"/>
      <c r="D33" s="153" t="s">
        <v>402</v>
      </c>
      <c r="E33" s="152">
        <v>4</v>
      </c>
      <c r="F33" s="126" t="s">
        <v>324</v>
      </c>
      <c r="G33" s="125" t="s">
        <v>402</v>
      </c>
      <c r="H33" s="126" t="s">
        <v>325</v>
      </c>
      <c r="I33" s="126" t="s">
        <v>685</v>
      </c>
      <c r="J33" s="124" t="s">
        <v>402</v>
      </c>
      <c r="K33" s="125" t="s">
        <v>677</v>
      </c>
      <c r="L33" s="514">
        <v>1</v>
      </c>
      <c r="M33" s="515">
        <v>1.05</v>
      </c>
      <c r="N33" s="517" t="s">
        <v>131</v>
      </c>
      <c r="O33" s="155">
        <v>0.25026737967914414</v>
      </c>
      <c r="P33" s="514">
        <v>1</v>
      </c>
      <c r="Q33" s="515">
        <v>1.05</v>
      </c>
      <c r="R33" s="517" t="s">
        <v>131</v>
      </c>
      <c r="S33" s="155">
        <v>0.25026737967914414</v>
      </c>
      <c r="T33" s="514">
        <v>1</v>
      </c>
      <c r="U33" s="515">
        <v>1.05</v>
      </c>
      <c r="V33" s="517" t="s">
        <v>131</v>
      </c>
      <c r="W33" s="31"/>
    </row>
    <row r="34" spans="1:23" outlineLevel="1">
      <c r="A34" s="5">
        <v>32114</v>
      </c>
      <c r="B34" s="168"/>
      <c r="C34" s="169"/>
      <c r="D34" s="11" t="s">
        <v>402</v>
      </c>
      <c r="E34" s="170">
        <v>0</v>
      </c>
      <c r="F34" s="145" t="s">
        <v>106</v>
      </c>
      <c r="G34" s="16" t="s">
        <v>465</v>
      </c>
      <c r="H34" s="14" t="s">
        <v>402</v>
      </c>
      <c r="I34" s="14" t="s">
        <v>402</v>
      </c>
      <c r="J34" s="15">
        <v>0</v>
      </c>
      <c r="K34" s="16" t="s">
        <v>678</v>
      </c>
      <c r="L34" s="40"/>
      <c r="M34" s="89"/>
      <c r="N34" s="202"/>
      <c r="O34" s="606">
        <v>1</v>
      </c>
      <c r="P34" s="40"/>
      <c r="Q34" s="89"/>
      <c r="R34" s="202"/>
      <c r="S34" s="606">
        <v>0</v>
      </c>
      <c r="T34" s="40"/>
      <c r="U34" s="89"/>
      <c r="V34" s="202"/>
      <c r="W34" s="193"/>
    </row>
    <row r="35" spans="1:23" outlineLevel="1">
      <c r="A35" s="5">
        <v>32087</v>
      </c>
      <c r="B35" s="168"/>
      <c r="C35" s="169"/>
      <c r="D35" s="11" t="s">
        <v>402</v>
      </c>
      <c r="E35" s="170">
        <v>0</v>
      </c>
      <c r="F35" s="145" t="s">
        <v>106</v>
      </c>
      <c r="G35" s="16" t="s">
        <v>492</v>
      </c>
      <c r="H35" s="14" t="s">
        <v>402</v>
      </c>
      <c r="I35" s="14" t="s">
        <v>402</v>
      </c>
      <c r="J35" s="15">
        <v>0</v>
      </c>
      <c r="K35" s="16" t="s">
        <v>678</v>
      </c>
      <c r="L35" s="40"/>
      <c r="M35" s="89"/>
      <c r="N35" s="202"/>
      <c r="O35" s="606">
        <v>0</v>
      </c>
      <c r="P35" s="40"/>
      <c r="Q35" s="89"/>
      <c r="R35" s="202"/>
      <c r="S35" s="606">
        <v>1</v>
      </c>
      <c r="T35" s="40"/>
      <c r="U35" s="89"/>
      <c r="V35" s="202"/>
      <c r="W35" s="193"/>
    </row>
  </sheetData>
  <conditionalFormatting sqref="B33">
    <cfRule type="cellIs" dxfId="131" priority="3" stopIfTrue="1" operator="notEqual">
      <formula>""</formula>
    </cfRule>
  </conditionalFormatting>
  <dataValidations count="3">
    <dataValidation allowBlank="1" showInputMessage="1" showErrorMessage="1" promptTitle="GeneralComment" prompt="Do not change, if you use Pedigree Matrix. The comment is generated from the remarks field (enter remarks there) and the Pedigree numbers._x000a__x000a_If you calculated the SD from the data (i.e. without Pedigree Matrix), set a direct reference to the remarks. _x000a__x000a_" sqref="N1:N33 R1:R33 V1:V33"/>
    <dataValidation allowBlank="1" showInputMessage="1" showErrorMessage="1" promptTitle="StandardDeviation" prompt="Do only change when you calculated the Standard Deviation (SD) of the data (square SD for lognormal Distribution, 2*SD for normal Distribution - see column M). _x000a__x000a_Otherwise leave the formula to have it calculated from the Pedigree-Matrix (column Q  to V)." sqref="M2:M33 Q2:Q33 U2:U33"/>
    <dataValidation allowBlank="1" showInputMessage="1" showErrorMessage="1" promptTitle="Uncertainty Type" prompt="Defines the kind of uncertainty distribution applied on one particular exchange. _x000a__x000a_0 = undefined_x000a_1 = LOGNORMAL (default)_x000a_2 = normal_x000a_3 = triang_x000a_4 = uniform_x000a_" sqref="L2:L33 P2:P33 T2:T33"/>
  </dataValidations>
  <pageMargins left="0.78740157499999996" right="0.78740157499999996" top="0.984251969" bottom="0.984251969" header="0.4921259845" footer="0.4921259845"/>
  <pageSetup paperSize="9" scale="56" fitToWidth="0"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8">
    <pageSetUpPr fitToPage="1"/>
  </sheetPr>
  <dimension ref="A1:AB37"/>
  <sheetViews>
    <sheetView zoomScale="75" workbookViewId="0">
      <pane xSplit="11" ySplit="6" topLeftCell="L7" activePane="bottomRight" state="frozen"/>
      <selection activeCell="J46" sqref="J46"/>
      <selection pane="topRight" activeCell="J46" sqref="J46"/>
      <selection pane="bottomLeft" activeCell="J46" sqref="J46"/>
      <selection pane="bottomRight" activeCell="J46" sqref="J46"/>
    </sheetView>
  </sheetViews>
  <sheetFormatPr defaultColWidth="11.42578125" defaultRowHeight="12" outlineLevelRow="1" outlineLevelCol="1"/>
  <cols>
    <col min="1" max="1" width="7" style="7" customWidth="1"/>
    <col min="2" max="2" width="14.140625" style="158" customWidth="1"/>
    <col min="3" max="3" width="4.7109375" style="159" hidden="1" customWidth="1" outlineLevel="1"/>
    <col min="4" max="4" width="3.140625" style="7" hidden="1" customWidth="1" outlineLevel="1"/>
    <col min="5" max="5" width="2.7109375" style="7" hidden="1" customWidth="1" outlineLevel="1"/>
    <col min="6" max="6" width="45.140625" style="8" customWidth="1" collapsed="1"/>
    <col min="7" max="7" width="7.28515625" style="7" customWidth="1"/>
    <col min="8" max="8" width="5.7109375" style="7" hidden="1" customWidth="1" outlineLevel="1"/>
    <col min="9" max="9" width="3.42578125" style="7" hidden="1" customWidth="1" outlineLevel="1"/>
    <col min="10" max="10" width="2.42578125" style="7" customWidth="1" collapsed="1"/>
    <col min="11" max="11" width="4.5703125" style="7" customWidth="1"/>
    <col min="12" max="12" width="10.28515625" style="7" customWidth="1"/>
    <col min="13" max="13" width="2.140625" style="140" hidden="1" customWidth="1" outlineLevel="1"/>
    <col min="14" max="14" width="4.28515625" style="140" hidden="1" customWidth="1" outlineLevel="1"/>
    <col min="15" max="15" width="45.85546875" style="140" hidden="1" customWidth="1" outlineLevel="1"/>
    <col min="16" max="16" width="9.140625" style="7" customWidth="1" collapsed="1"/>
    <col min="17" max="17" width="2.140625" style="140" hidden="1" customWidth="1" outlineLevel="1"/>
    <col min="18" max="18" width="4.28515625" style="140" hidden="1" customWidth="1" outlineLevel="1"/>
    <col min="19" max="19" width="45.85546875" style="140" hidden="1" customWidth="1" outlineLevel="1"/>
    <col min="20" max="20" width="9.140625" style="7" customWidth="1" collapsed="1"/>
    <col min="21" max="21" width="2.140625" style="140" hidden="1" customWidth="1" outlineLevel="1"/>
    <col min="22" max="22" width="4.28515625" style="140" hidden="1" customWidth="1" outlineLevel="1"/>
    <col min="23" max="23" width="45.85546875" style="140" hidden="1" customWidth="1" outlineLevel="1"/>
    <col min="24" max="24" width="9.140625" style="7" customWidth="1" collapsed="1"/>
    <col min="25" max="25" width="2.140625" style="140" customWidth="1" outlineLevel="1"/>
    <col min="26" max="26" width="4.28515625" style="140" customWidth="1" outlineLevel="1"/>
    <col min="27" max="27" width="45.85546875" style="140" customWidth="1" outlineLevel="1"/>
    <col min="28" max="28" width="3.28515625" style="33" customWidth="1"/>
    <col min="29" max="16384" width="11.42578125" style="7"/>
  </cols>
  <sheetData>
    <row r="1" spans="1:28">
      <c r="A1" s="36"/>
      <c r="B1" s="34"/>
      <c r="C1" s="35"/>
      <c r="D1" s="36"/>
      <c r="E1" s="36"/>
      <c r="F1" s="37" t="s">
        <v>510</v>
      </c>
      <c r="G1" s="36"/>
      <c r="H1" s="36"/>
      <c r="I1" s="36"/>
      <c r="J1" s="36"/>
      <c r="K1" s="36"/>
      <c r="L1" s="227">
        <v>32102</v>
      </c>
      <c r="M1" s="184"/>
      <c r="N1" s="184"/>
      <c r="O1" s="184"/>
      <c r="P1" s="295">
        <v>32107</v>
      </c>
      <c r="Q1" s="184"/>
      <c r="R1" s="184"/>
      <c r="S1" s="184"/>
      <c r="T1" s="295">
        <v>32113</v>
      </c>
      <c r="U1" s="184"/>
      <c r="V1" s="184"/>
      <c r="W1" s="184"/>
      <c r="X1" s="295">
        <v>32083</v>
      </c>
      <c r="Y1" s="184"/>
      <c r="Z1" s="184"/>
      <c r="AA1" s="184"/>
      <c r="AB1" s="22"/>
    </row>
    <row r="2" spans="1:28">
      <c r="A2" s="36"/>
      <c r="B2" s="147"/>
      <c r="C2" s="35" t="s">
        <v>511</v>
      </c>
      <c r="D2" s="147">
        <v>3503</v>
      </c>
      <c r="E2" s="147">
        <v>3504</v>
      </c>
      <c r="F2" s="147">
        <v>3702</v>
      </c>
      <c r="G2" s="147">
        <v>3703</v>
      </c>
      <c r="H2" s="147">
        <v>3506</v>
      </c>
      <c r="I2" s="147">
        <v>3507</v>
      </c>
      <c r="J2" s="147">
        <v>3508</v>
      </c>
      <c r="K2" s="147">
        <v>3706</v>
      </c>
      <c r="L2" s="147">
        <v>3707</v>
      </c>
      <c r="M2" s="641">
        <v>3708</v>
      </c>
      <c r="N2" s="641">
        <v>3709</v>
      </c>
      <c r="O2" s="642">
        <v>3792</v>
      </c>
      <c r="P2" s="147">
        <v>3707</v>
      </c>
      <c r="Q2" s="641">
        <v>3708</v>
      </c>
      <c r="R2" s="641">
        <v>3709</v>
      </c>
      <c r="S2" s="642">
        <v>3792</v>
      </c>
      <c r="T2" s="147">
        <v>3707</v>
      </c>
      <c r="U2" s="641">
        <v>3708</v>
      </c>
      <c r="V2" s="641">
        <v>3709</v>
      </c>
      <c r="W2" s="642">
        <v>3792</v>
      </c>
      <c r="X2" s="147">
        <v>3707</v>
      </c>
      <c r="Y2" s="641">
        <v>3708</v>
      </c>
      <c r="Z2" s="641">
        <v>3709</v>
      </c>
      <c r="AA2" s="642">
        <v>3792</v>
      </c>
      <c r="AB2" s="24"/>
    </row>
    <row r="3" spans="1:28" ht="66.75" customHeight="1">
      <c r="A3" s="36" t="s">
        <v>398</v>
      </c>
      <c r="B3" s="166"/>
      <c r="C3" s="35">
        <v>401</v>
      </c>
      <c r="D3" s="167" t="s">
        <v>514</v>
      </c>
      <c r="E3" s="167" t="s">
        <v>515</v>
      </c>
      <c r="F3" s="43" t="s">
        <v>516</v>
      </c>
      <c r="G3" s="41" t="s">
        <v>517</v>
      </c>
      <c r="H3" s="41" t="s">
        <v>518</v>
      </c>
      <c r="I3" s="41" t="s">
        <v>519</v>
      </c>
      <c r="J3" s="41" t="s">
        <v>520</v>
      </c>
      <c r="K3" s="41" t="s">
        <v>394</v>
      </c>
      <c r="L3" s="177" t="s">
        <v>106</v>
      </c>
      <c r="M3" s="643" t="s">
        <v>265</v>
      </c>
      <c r="N3" s="643" t="s">
        <v>266</v>
      </c>
      <c r="O3" s="644" t="s">
        <v>548</v>
      </c>
      <c r="P3" s="177" t="s">
        <v>106</v>
      </c>
      <c r="Q3" s="643" t="s">
        <v>265</v>
      </c>
      <c r="R3" s="643" t="s">
        <v>266</v>
      </c>
      <c r="S3" s="644" t="s">
        <v>548</v>
      </c>
      <c r="T3" s="177" t="s">
        <v>106</v>
      </c>
      <c r="U3" s="643" t="s">
        <v>265</v>
      </c>
      <c r="V3" s="643" t="s">
        <v>266</v>
      </c>
      <c r="W3" s="644" t="s">
        <v>548</v>
      </c>
      <c r="X3" s="177" t="s">
        <v>106</v>
      </c>
      <c r="Y3" s="643" t="s">
        <v>265</v>
      </c>
      <c r="Z3" s="643" t="s">
        <v>266</v>
      </c>
      <c r="AA3" s="644" t="s">
        <v>548</v>
      </c>
      <c r="AB3" s="26"/>
    </row>
    <row r="4" spans="1:28" ht="12.75" customHeight="1">
      <c r="A4" s="36"/>
      <c r="B4" s="166"/>
      <c r="C4" s="35">
        <v>662</v>
      </c>
      <c r="D4" s="13"/>
      <c r="E4" s="13"/>
      <c r="F4" s="43" t="s">
        <v>517</v>
      </c>
      <c r="G4" s="43"/>
      <c r="H4" s="43"/>
      <c r="I4" s="43"/>
      <c r="J4" s="43"/>
      <c r="K4" s="43"/>
      <c r="L4" s="177" t="s">
        <v>496</v>
      </c>
      <c r="M4" s="645"/>
      <c r="N4" s="645"/>
      <c r="O4" s="646"/>
      <c r="P4" s="177" t="s">
        <v>490</v>
      </c>
      <c r="Q4" s="645"/>
      <c r="R4" s="645"/>
      <c r="S4" s="646"/>
      <c r="T4" s="177" t="s">
        <v>497</v>
      </c>
      <c r="U4" s="645"/>
      <c r="V4" s="645"/>
      <c r="W4" s="646"/>
      <c r="X4" s="177" t="s">
        <v>1434</v>
      </c>
      <c r="Y4" s="645"/>
      <c r="Z4" s="645"/>
      <c r="AA4" s="646"/>
      <c r="AB4" s="28"/>
    </row>
    <row r="5" spans="1:28">
      <c r="A5" s="36"/>
      <c r="B5" s="166"/>
      <c r="C5" s="35">
        <v>493</v>
      </c>
      <c r="D5" s="13"/>
      <c r="E5" s="13"/>
      <c r="F5" s="43" t="s">
        <v>520</v>
      </c>
      <c r="G5" s="43"/>
      <c r="H5" s="43"/>
      <c r="I5" s="43"/>
      <c r="J5" s="43"/>
      <c r="K5" s="43"/>
      <c r="L5" s="177">
        <v>0</v>
      </c>
      <c r="M5" s="645"/>
      <c r="N5" s="645"/>
      <c r="O5" s="646"/>
      <c r="P5" s="177">
        <v>0</v>
      </c>
      <c r="Q5" s="645"/>
      <c r="R5" s="645"/>
      <c r="S5" s="646"/>
      <c r="T5" s="177">
        <v>0</v>
      </c>
      <c r="U5" s="645"/>
      <c r="V5" s="645"/>
      <c r="W5" s="646"/>
      <c r="X5" s="177">
        <v>0</v>
      </c>
      <c r="Y5" s="645"/>
      <c r="Z5" s="645"/>
      <c r="AA5" s="646"/>
      <c r="AB5" s="28"/>
    </row>
    <row r="6" spans="1:28">
      <c r="A6" s="36"/>
      <c r="B6" s="166"/>
      <c r="C6" s="35">
        <v>403</v>
      </c>
      <c r="D6" s="13"/>
      <c r="E6" s="13"/>
      <c r="F6" s="43" t="s">
        <v>394</v>
      </c>
      <c r="G6" s="351"/>
      <c r="H6" s="43"/>
      <c r="I6" s="43"/>
      <c r="J6" s="43"/>
      <c r="K6" s="43"/>
      <c r="L6" s="177" t="s">
        <v>678</v>
      </c>
      <c r="M6" s="645"/>
      <c r="N6" s="645"/>
      <c r="O6" s="646"/>
      <c r="P6" s="177" t="s">
        <v>678</v>
      </c>
      <c r="Q6" s="645"/>
      <c r="R6" s="645"/>
      <c r="S6" s="646"/>
      <c r="T6" s="177" t="s">
        <v>678</v>
      </c>
      <c r="U6" s="645"/>
      <c r="V6" s="645"/>
      <c r="W6" s="646"/>
      <c r="X6" s="177" t="s">
        <v>678</v>
      </c>
      <c r="Y6" s="645"/>
      <c r="Z6" s="645"/>
      <c r="AA6" s="646"/>
      <c r="AB6" s="28"/>
    </row>
    <row r="7" spans="1:28" ht="30" customHeight="1">
      <c r="A7" s="156">
        <v>1289</v>
      </c>
      <c r="B7" s="168" t="s">
        <v>406</v>
      </c>
      <c r="C7" s="151" t="s">
        <v>525</v>
      </c>
      <c r="D7" s="152" t="s">
        <v>527</v>
      </c>
      <c r="E7" s="153" t="s">
        <v>402</v>
      </c>
      <c r="F7" s="144" t="s">
        <v>107</v>
      </c>
      <c r="G7" s="125" t="s">
        <v>402</v>
      </c>
      <c r="H7" s="154" t="s">
        <v>273</v>
      </c>
      <c r="I7" s="123" t="s">
        <v>108</v>
      </c>
      <c r="J7" s="124" t="s">
        <v>402</v>
      </c>
      <c r="K7" s="125" t="s">
        <v>677</v>
      </c>
      <c r="L7" s="155">
        <v>3.8502673796791442</v>
      </c>
      <c r="M7" s="514">
        <v>1</v>
      </c>
      <c r="N7" s="515">
        <v>1.0906744032152329</v>
      </c>
      <c r="O7" s="517" t="s">
        <v>1680</v>
      </c>
      <c r="P7" s="155">
        <v>3.8502673796791442</v>
      </c>
      <c r="Q7" s="514">
        <v>1</v>
      </c>
      <c r="R7" s="515">
        <v>1.0906744032152329</v>
      </c>
      <c r="S7" s="517" t="s">
        <v>1680</v>
      </c>
      <c r="T7" s="155">
        <v>3.8502673796791442</v>
      </c>
      <c r="U7" s="514">
        <v>1</v>
      </c>
      <c r="V7" s="515">
        <v>1.0906744032152329</v>
      </c>
      <c r="W7" s="517" t="s">
        <v>1680</v>
      </c>
      <c r="X7" s="155">
        <v>3.8502673796791442</v>
      </c>
      <c r="Y7" s="514">
        <v>1</v>
      </c>
      <c r="Z7" s="515">
        <v>1.0906744032152329</v>
      </c>
      <c r="AA7" s="517" t="s">
        <v>1680</v>
      </c>
      <c r="AB7" s="31"/>
    </row>
    <row r="8" spans="1:28" ht="12.75">
      <c r="A8" s="226">
        <v>678</v>
      </c>
      <c r="B8" s="168" t="s">
        <v>524</v>
      </c>
      <c r="C8" s="151"/>
      <c r="D8" s="152" t="s">
        <v>526</v>
      </c>
      <c r="E8" s="153" t="s">
        <v>402</v>
      </c>
      <c r="F8" s="144" t="s">
        <v>111</v>
      </c>
      <c r="G8" s="125" t="s">
        <v>393</v>
      </c>
      <c r="H8" s="154" t="s">
        <v>402</v>
      </c>
      <c r="I8" s="123" t="s">
        <v>402</v>
      </c>
      <c r="J8" s="124">
        <v>0</v>
      </c>
      <c r="K8" s="125" t="s">
        <v>395</v>
      </c>
      <c r="L8" s="155">
        <v>5.3950881648050213E-3</v>
      </c>
      <c r="M8" s="514">
        <v>1</v>
      </c>
      <c r="N8" s="515">
        <v>1.0906744032152329</v>
      </c>
      <c r="O8" s="517" t="s">
        <v>112</v>
      </c>
      <c r="P8" s="155">
        <v>4.0461783493750021E-3</v>
      </c>
      <c r="Q8" s="514">
        <v>1</v>
      </c>
      <c r="R8" s="515">
        <v>1.0906744032152329</v>
      </c>
      <c r="S8" s="517" t="s">
        <v>112</v>
      </c>
      <c r="T8" s="155">
        <v>5.3784739660576123E-3</v>
      </c>
      <c r="U8" s="514">
        <v>1</v>
      </c>
      <c r="V8" s="515">
        <v>1.0906744032152329</v>
      </c>
      <c r="W8" s="517" t="s">
        <v>112</v>
      </c>
      <c r="X8" s="155">
        <v>4.3967220823631185E-3</v>
      </c>
      <c r="Y8" s="514">
        <v>1</v>
      </c>
      <c r="Z8" s="515">
        <v>1.0906744032152329</v>
      </c>
      <c r="AA8" s="517" t="s">
        <v>112</v>
      </c>
      <c r="AB8" s="31"/>
    </row>
    <row r="9" spans="1:28" ht="24">
      <c r="A9" s="2">
        <v>1750</v>
      </c>
      <c r="B9" s="168"/>
      <c r="C9" s="151"/>
      <c r="D9" s="152" t="s">
        <v>526</v>
      </c>
      <c r="E9" s="153" t="s">
        <v>402</v>
      </c>
      <c r="F9" s="144" t="s">
        <v>113</v>
      </c>
      <c r="G9" s="125" t="s">
        <v>393</v>
      </c>
      <c r="H9" s="154" t="s">
        <v>402</v>
      </c>
      <c r="I9" s="123" t="s">
        <v>402</v>
      </c>
      <c r="J9" s="124">
        <v>0</v>
      </c>
      <c r="K9" s="125" t="s">
        <v>409</v>
      </c>
      <c r="L9" s="155">
        <v>5.395088164805021E-6</v>
      </c>
      <c r="M9" s="514">
        <v>1</v>
      </c>
      <c r="N9" s="515">
        <v>1.0906744032152329</v>
      </c>
      <c r="O9" s="517" t="s">
        <v>112</v>
      </c>
      <c r="P9" s="155">
        <v>4.0461783493750023E-6</v>
      </c>
      <c r="Q9" s="514">
        <v>1</v>
      </c>
      <c r="R9" s="515">
        <v>1.0906744032152329</v>
      </c>
      <c r="S9" s="517" t="s">
        <v>112</v>
      </c>
      <c r="T9" s="155">
        <v>5.3784739660576127E-6</v>
      </c>
      <c r="U9" s="514">
        <v>1</v>
      </c>
      <c r="V9" s="515">
        <v>1.0906744032152329</v>
      </c>
      <c r="W9" s="517" t="s">
        <v>112</v>
      </c>
      <c r="X9" s="155">
        <v>4.3967220823631188E-6</v>
      </c>
      <c r="Y9" s="514">
        <v>1</v>
      </c>
      <c r="Z9" s="515">
        <v>1.0906744032152329</v>
      </c>
      <c r="AA9" s="517" t="s">
        <v>112</v>
      </c>
      <c r="AB9" s="31"/>
    </row>
    <row r="10" spans="1:28" ht="27.95" customHeight="1" outlineLevel="1">
      <c r="A10" s="464" t="s">
        <v>499</v>
      </c>
      <c r="B10" s="168"/>
      <c r="C10" s="151"/>
      <c r="D10" s="152" t="s">
        <v>526</v>
      </c>
      <c r="E10" s="153" t="s">
        <v>402</v>
      </c>
      <c r="F10" s="144" t="s">
        <v>1673</v>
      </c>
      <c r="G10" s="125" t="s">
        <v>268</v>
      </c>
      <c r="H10" s="154" t="s">
        <v>402</v>
      </c>
      <c r="I10" s="123" t="s">
        <v>402</v>
      </c>
      <c r="J10" s="124">
        <v>1</v>
      </c>
      <c r="K10" s="125" t="s">
        <v>522</v>
      </c>
      <c r="L10" s="155">
        <v>0</v>
      </c>
      <c r="M10" s="514">
        <v>1</v>
      </c>
      <c r="N10" s="515">
        <v>1.2164594125584303</v>
      </c>
      <c r="O10" s="517" t="s">
        <v>1681</v>
      </c>
      <c r="P10" s="155">
        <v>0</v>
      </c>
      <c r="Q10" s="514">
        <v>1</v>
      </c>
      <c r="R10" s="515">
        <v>1.2164594125584303</v>
      </c>
      <c r="S10" s="517" t="s">
        <v>1681</v>
      </c>
      <c r="T10" s="155">
        <v>0</v>
      </c>
      <c r="U10" s="514">
        <v>1</v>
      </c>
      <c r="V10" s="515">
        <v>1.2164594125584303</v>
      </c>
      <c r="W10" s="517" t="s">
        <v>1681</v>
      </c>
      <c r="X10" s="155">
        <v>0</v>
      </c>
      <c r="Y10" s="514">
        <v>1</v>
      </c>
      <c r="Z10" s="515">
        <v>1.2164594125584303</v>
      </c>
      <c r="AA10" s="517" t="s">
        <v>1681</v>
      </c>
      <c r="AB10" s="31"/>
    </row>
    <row r="11" spans="1:28" ht="27.95" customHeight="1" outlineLevel="1">
      <c r="A11" s="464" t="s">
        <v>500</v>
      </c>
      <c r="B11" s="168"/>
      <c r="C11" s="151"/>
      <c r="D11" s="152" t="s">
        <v>526</v>
      </c>
      <c r="E11" s="153" t="s">
        <v>402</v>
      </c>
      <c r="F11" s="144" t="s">
        <v>1674</v>
      </c>
      <c r="G11" s="125" t="s">
        <v>268</v>
      </c>
      <c r="H11" s="154" t="s">
        <v>402</v>
      </c>
      <c r="I11" s="123" t="s">
        <v>402</v>
      </c>
      <c r="J11" s="124">
        <v>1</v>
      </c>
      <c r="K11" s="125" t="s">
        <v>522</v>
      </c>
      <c r="L11" s="155">
        <v>0</v>
      </c>
      <c r="M11" s="514">
        <v>1</v>
      </c>
      <c r="N11" s="515">
        <v>1.2164594125584303</v>
      </c>
      <c r="O11" s="517" t="s">
        <v>1681</v>
      </c>
      <c r="P11" s="155">
        <v>0</v>
      </c>
      <c r="Q11" s="514">
        <v>1</v>
      </c>
      <c r="R11" s="515">
        <v>1.2164594125584303</v>
      </c>
      <c r="S11" s="517" t="s">
        <v>1681</v>
      </c>
      <c r="T11" s="155">
        <v>0</v>
      </c>
      <c r="U11" s="514">
        <v>1</v>
      </c>
      <c r="V11" s="515">
        <v>1.2164594125584303</v>
      </c>
      <c r="W11" s="517" t="s">
        <v>1681</v>
      </c>
      <c r="X11" s="155">
        <v>0</v>
      </c>
      <c r="Y11" s="514">
        <v>1</v>
      </c>
      <c r="Z11" s="515">
        <v>1.2164594125584303</v>
      </c>
      <c r="AA11" s="517" t="s">
        <v>1681</v>
      </c>
      <c r="AB11" s="31"/>
    </row>
    <row r="12" spans="1:28" ht="27.95" customHeight="1">
      <c r="A12" s="464" t="s">
        <v>501</v>
      </c>
      <c r="B12" s="168"/>
      <c r="C12" s="151"/>
      <c r="D12" s="152" t="s">
        <v>526</v>
      </c>
      <c r="E12" s="153" t="s">
        <v>402</v>
      </c>
      <c r="F12" s="144" t="s">
        <v>1675</v>
      </c>
      <c r="G12" s="125" t="s">
        <v>494</v>
      </c>
      <c r="H12" s="154" t="s">
        <v>402</v>
      </c>
      <c r="I12" s="123" t="s">
        <v>402</v>
      </c>
      <c r="J12" s="124">
        <v>1</v>
      </c>
      <c r="K12" s="125" t="s">
        <v>522</v>
      </c>
      <c r="L12" s="155">
        <v>0</v>
      </c>
      <c r="M12" s="514">
        <v>1</v>
      </c>
      <c r="N12" s="515">
        <v>1.2164594125584303</v>
      </c>
      <c r="O12" s="517" t="s">
        <v>1681</v>
      </c>
      <c r="P12" s="165">
        <v>0</v>
      </c>
      <c r="Q12" s="514">
        <v>1</v>
      </c>
      <c r="R12" s="515">
        <v>1.2164594125584303</v>
      </c>
      <c r="S12" s="517" t="s">
        <v>1681</v>
      </c>
      <c r="T12" s="165">
        <v>0</v>
      </c>
      <c r="U12" s="514">
        <v>1</v>
      </c>
      <c r="V12" s="515">
        <v>1.2164594125584303</v>
      </c>
      <c r="W12" s="517" t="s">
        <v>1681</v>
      </c>
      <c r="X12" s="165">
        <v>0</v>
      </c>
      <c r="Y12" s="514">
        <v>1</v>
      </c>
      <c r="Z12" s="515">
        <v>1.2164594125584303</v>
      </c>
      <c r="AA12" s="517" t="s">
        <v>1681</v>
      </c>
      <c r="AB12" s="31"/>
    </row>
    <row r="13" spans="1:28" ht="27.95" customHeight="1">
      <c r="A13" s="464" t="s">
        <v>502</v>
      </c>
      <c r="B13" s="168"/>
      <c r="C13" s="151"/>
      <c r="D13" s="152" t="s">
        <v>526</v>
      </c>
      <c r="E13" s="153" t="s">
        <v>402</v>
      </c>
      <c r="F13" s="144" t="s">
        <v>1676</v>
      </c>
      <c r="G13" s="125" t="s">
        <v>494</v>
      </c>
      <c r="H13" s="154" t="s">
        <v>402</v>
      </c>
      <c r="I13" s="123" t="s">
        <v>402</v>
      </c>
      <c r="J13" s="124">
        <v>1</v>
      </c>
      <c r="K13" s="125" t="s">
        <v>522</v>
      </c>
      <c r="L13" s="155">
        <v>3.0162529143993898E-10</v>
      </c>
      <c r="M13" s="514">
        <v>1</v>
      </c>
      <c r="N13" s="515">
        <v>1.2164594125584303</v>
      </c>
      <c r="O13" s="517" t="s">
        <v>1681</v>
      </c>
      <c r="P13" s="155">
        <v>2.0407526729729542E-9</v>
      </c>
      <c r="Q13" s="514">
        <v>1</v>
      </c>
      <c r="R13" s="515">
        <v>1.2164594125584303</v>
      </c>
      <c r="S13" s="517" t="s">
        <v>1681</v>
      </c>
      <c r="T13" s="155">
        <v>5.3570139976664733E-8</v>
      </c>
      <c r="U13" s="514">
        <v>1</v>
      </c>
      <c r="V13" s="515">
        <v>1.2164594125584303</v>
      </c>
      <c r="W13" s="517" t="s">
        <v>1681</v>
      </c>
      <c r="X13" s="155">
        <v>0</v>
      </c>
      <c r="Y13" s="514">
        <v>1</v>
      </c>
      <c r="Z13" s="515">
        <v>1.2164594125584303</v>
      </c>
      <c r="AA13" s="517" t="s">
        <v>1681</v>
      </c>
      <c r="AB13" s="31"/>
    </row>
    <row r="14" spans="1:28" ht="27.95" customHeight="1">
      <c r="A14" s="464" t="s">
        <v>503</v>
      </c>
      <c r="B14" s="168"/>
      <c r="C14" s="151"/>
      <c r="D14" s="152" t="s">
        <v>526</v>
      </c>
      <c r="E14" s="153" t="s">
        <v>402</v>
      </c>
      <c r="F14" s="144" t="s">
        <v>1677</v>
      </c>
      <c r="G14" s="125" t="s">
        <v>465</v>
      </c>
      <c r="H14" s="154" t="s">
        <v>402</v>
      </c>
      <c r="I14" s="123" t="s">
        <v>402</v>
      </c>
      <c r="J14" s="124">
        <v>1</v>
      </c>
      <c r="K14" s="125" t="s">
        <v>522</v>
      </c>
      <c r="L14" s="155">
        <v>0</v>
      </c>
      <c r="M14" s="514">
        <v>1</v>
      </c>
      <c r="N14" s="515">
        <v>1.2164594125584303</v>
      </c>
      <c r="O14" s="517" t="s">
        <v>1681</v>
      </c>
      <c r="P14" s="155">
        <v>0</v>
      </c>
      <c r="Q14" s="514">
        <v>1</v>
      </c>
      <c r="R14" s="515">
        <v>1.2164594125584303</v>
      </c>
      <c r="S14" s="517" t="s">
        <v>1681</v>
      </c>
      <c r="T14" s="155">
        <v>0</v>
      </c>
      <c r="U14" s="514">
        <v>1</v>
      </c>
      <c r="V14" s="515">
        <v>1.2164594125584303</v>
      </c>
      <c r="W14" s="517" t="s">
        <v>1681</v>
      </c>
      <c r="X14" s="155">
        <v>0</v>
      </c>
      <c r="Y14" s="514">
        <v>1</v>
      </c>
      <c r="Z14" s="515">
        <v>1.2164594125584303</v>
      </c>
      <c r="AA14" s="517" t="s">
        <v>1681</v>
      </c>
      <c r="AB14" s="31"/>
    </row>
    <row r="15" spans="1:28" ht="27.95" customHeight="1" outlineLevel="1">
      <c r="A15" s="467" t="s">
        <v>724</v>
      </c>
      <c r="B15" s="168"/>
      <c r="C15" s="151"/>
      <c r="D15" s="152" t="s">
        <v>526</v>
      </c>
      <c r="E15" s="153" t="s">
        <v>402</v>
      </c>
      <c r="F15" s="144" t="s">
        <v>118</v>
      </c>
      <c r="G15" s="125" t="s">
        <v>393</v>
      </c>
      <c r="H15" s="154" t="s">
        <v>402</v>
      </c>
      <c r="I15" s="123" t="s">
        <v>402</v>
      </c>
      <c r="J15" s="124">
        <v>1</v>
      </c>
      <c r="K15" s="125" t="s">
        <v>522</v>
      </c>
      <c r="L15" s="155">
        <v>0</v>
      </c>
      <c r="M15" s="514">
        <v>1</v>
      </c>
      <c r="N15" s="515">
        <v>1.2164594125584303</v>
      </c>
      <c r="O15" s="517" t="s">
        <v>1681</v>
      </c>
      <c r="P15" s="155">
        <v>0</v>
      </c>
      <c r="Q15" s="514">
        <v>1</v>
      </c>
      <c r="R15" s="515">
        <v>1.2164594125584303</v>
      </c>
      <c r="S15" s="517" t="s">
        <v>1681</v>
      </c>
      <c r="T15" s="155">
        <v>0</v>
      </c>
      <c r="U15" s="514">
        <v>1</v>
      </c>
      <c r="V15" s="515">
        <v>1.2164594125584303</v>
      </c>
      <c r="W15" s="517" t="s">
        <v>1681</v>
      </c>
      <c r="X15" s="155">
        <v>0</v>
      </c>
      <c r="Y15" s="514">
        <v>1</v>
      </c>
      <c r="Z15" s="515">
        <v>1.2164594125584303</v>
      </c>
      <c r="AA15" s="517" t="s">
        <v>1681</v>
      </c>
      <c r="AB15" s="31"/>
    </row>
    <row r="16" spans="1:28" ht="27.95" customHeight="1" outlineLevel="1">
      <c r="A16" s="467" t="s">
        <v>721</v>
      </c>
      <c r="B16" s="168"/>
      <c r="C16" s="151"/>
      <c r="D16" s="152" t="s">
        <v>526</v>
      </c>
      <c r="E16" s="153" t="s">
        <v>402</v>
      </c>
      <c r="F16" s="144" t="s">
        <v>119</v>
      </c>
      <c r="G16" s="125" t="s">
        <v>393</v>
      </c>
      <c r="H16" s="154" t="s">
        <v>402</v>
      </c>
      <c r="I16" s="123" t="s">
        <v>402</v>
      </c>
      <c r="J16" s="124">
        <v>1</v>
      </c>
      <c r="K16" s="125" t="s">
        <v>522</v>
      </c>
      <c r="L16" s="155">
        <v>0</v>
      </c>
      <c r="M16" s="514">
        <v>1</v>
      </c>
      <c r="N16" s="515">
        <v>1.2164594125584303</v>
      </c>
      <c r="O16" s="517" t="s">
        <v>1681</v>
      </c>
      <c r="P16" s="155">
        <v>0</v>
      </c>
      <c r="Q16" s="514">
        <v>1</v>
      </c>
      <c r="R16" s="515">
        <v>1.2164594125584303</v>
      </c>
      <c r="S16" s="517" t="s">
        <v>1681</v>
      </c>
      <c r="T16" s="155">
        <v>0</v>
      </c>
      <c r="U16" s="514">
        <v>1</v>
      </c>
      <c r="V16" s="515">
        <v>1.2164594125584303</v>
      </c>
      <c r="W16" s="517" t="s">
        <v>1681</v>
      </c>
      <c r="X16" s="155">
        <v>0</v>
      </c>
      <c r="Y16" s="514">
        <v>1</v>
      </c>
      <c r="Z16" s="515">
        <v>1.2164594125584303</v>
      </c>
      <c r="AA16" s="517" t="s">
        <v>1681</v>
      </c>
      <c r="AB16" s="31"/>
    </row>
    <row r="17" spans="1:28" ht="27.95" customHeight="1">
      <c r="A17" s="156" t="s">
        <v>1025</v>
      </c>
      <c r="B17" s="168"/>
      <c r="C17" s="151"/>
      <c r="D17" s="152" t="s">
        <v>526</v>
      </c>
      <c r="E17" s="153" t="s">
        <v>402</v>
      </c>
      <c r="F17" s="144" t="s">
        <v>121</v>
      </c>
      <c r="G17" s="125" t="s">
        <v>956</v>
      </c>
      <c r="H17" s="154" t="s">
        <v>402</v>
      </c>
      <c r="I17" s="123" t="s">
        <v>402</v>
      </c>
      <c r="J17" s="124">
        <v>1</v>
      </c>
      <c r="K17" s="125" t="s">
        <v>522</v>
      </c>
      <c r="L17" s="155">
        <v>1.6421565802964591E-7</v>
      </c>
      <c r="M17" s="514">
        <v>1</v>
      </c>
      <c r="N17" s="515">
        <v>1.2164594125584303</v>
      </c>
      <c r="O17" s="517" t="s">
        <v>1681</v>
      </c>
      <c r="P17" s="155">
        <v>1.38279341391072E-7</v>
      </c>
      <c r="Q17" s="514">
        <v>1</v>
      </c>
      <c r="R17" s="515">
        <v>1.2164594125584303</v>
      </c>
      <c r="S17" s="517" t="s">
        <v>1681</v>
      </c>
      <c r="T17" s="155">
        <v>2.4095235954059597E-8</v>
      </c>
      <c r="U17" s="514">
        <v>1</v>
      </c>
      <c r="V17" s="515">
        <v>1.2164594125584303</v>
      </c>
      <c r="W17" s="517" t="s">
        <v>1681</v>
      </c>
      <c r="X17" s="155">
        <v>1.3660304854457938E-7</v>
      </c>
      <c r="Y17" s="514">
        <v>1</v>
      </c>
      <c r="Z17" s="515">
        <v>1.2164594125584303</v>
      </c>
      <c r="AA17" s="517" t="s">
        <v>1681</v>
      </c>
      <c r="AB17" s="31"/>
    </row>
    <row r="18" spans="1:28" ht="27.95" customHeight="1">
      <c r="A18" s="156" t="s">
        <v>1026</v>
      </c>
      <c r="B18" s="168" t="s">
        <v>525</v>
      </c>
      <c r="C18" s="151"/>
      <c r="D18" s="152" t="s">
        <v>526</v>
      </c>
      <c r="E18" s="153" t="s">
        <v>402</v>
      </c>
      <c r="F18" s="144" t="s">
        <v>122</v>
      </c>
      <c r="G18" s="125" t="s">
        <v>956</v>
      </c>
      <c r="H18" s="154" t="s">
        <v>402</v>
      </c>
      <c r="I18" s="123" t="s">
        <v>402</v>
      </c>
      <c r="J18" s="124">
        <v>1</v>
      </c>
      <c r="K18" s="125" t="s">
        <v>522</v>
      </c>
      <c r="L18" s="155">
        <v>6.5686263211858365E-7</v>
      </c>
      <c r="M18" s="514">
        <v>1</v>
      </c>
      <c r="N18" s="515">
        <v>1.2164594125584303</v>
      </c>
      <c r="O18" s="517" t="s">
        <v>1681</v>
      </c>
      <c r="P18" s="155">
        <v>5.5311736556428799E-7</v>
      </c>
      <c r="Q18" s="514">
        <v>1</v>
      </c>
      <c r="R18" s="515">
        <v>1.2164594125584303</v>
      </c>
      <c r="S18" s="517" t="s">
        <v>1681</v>
      </c>
      <c r="T18" s="155">
        <v>9.6380943816238389E-8</v>
      </c>
      <c r="U18" s="514">
        <v>1</v>
      </c>
      <c r="V18" s="515">
        <v>1.2164594125584303</v>
      </c>
      <c r="W18" s="517" t="s">
        <v>1681</v>
      </c>
      <c r="X18" s="155">
        <v>5.4641219417831753E-7</v>
      </c>
      <c r="Y18" s="514">
        <v>1</v>
      </c>
      <c r="Z18" s="515">
        <v>1.2164594125584303</v>
      </c>
      <c r="AA18" s="517" t="s">
        <v>1681</v>
      </c>
      <c r="AB18" s="31"/>
    </row>
    <row r="19" spans="1:28" ht="27.95" customHeight="1">
      <c r="A19" s="156" t="s">
        <v>1040</v>
      </c>
      <c r="B19" s="168" t="s">
        <v>525</v>
      </c>
      <c r="C19" s="151"/>
      <c r="D19" s="152" t="s">
        <v>526</v>
      </c>
      <c r="E19" s="153" t="s">
        <v>402</v>
      </c>
      <c r="F19" s="144" t="s">
        <v>123</v>
      </c>
      <c r="G19" s="125" t="s">
        <v>956</v>
      </c>
      <c r="H19" s="154" t="s">
        <v>402</v>
      </c>
      <c r="I19" s="123" t="s">
        <v>402</v>
      </c>
      <c r="J19" s="124">
        <v>1</v>
      </c>
      <c r="K19" s="125" t="s">
        <v>522</v>
      </c>
      <c r="L19" s="155">
        <v>2.501574409988592E-7</v>
      </c>
      <c r="M19" s="514">
        <v>1</v>
      </c>
      <c r="N19" s="515">
        <v>1.2164594125584303</v>
      </c>
      <c r="O19" s="517" t="s">
        <v>1681</v>
      </c>
      <c r="P19" s="155">
        <v>2.1064742912124357E-7</v>
      </c>
      <c r="Q19" s="514">
        <v>1</v>
      </c>
      <c r="R19" s="515">
        <v>1.2164594125584303</v>
      </c>
      <c r="S19" s="517" t="s">
        <v>1681</v>
      </c>
      <c r="T19" s="155">
        <v>3.6705407016930691E-8</v>
      </c>
      <c r="U19" s="514">
        <v>1</v>
      </c>
      <c r="V19" s="515">
        <v>1.2164594125584303</v>
      </c>
      <c r="W19" s="517" t="s">
        <v>1681</v>
      </c>
      <c r="X19" s="155">
        <v>2.0809385333027006E-7</v>
      </c>
      <c r="Y19" s="514">
        <v>1</v>
      </c>
      <c r="Z19" s="515">
        <v>1.2164594125584303</v>
      </c>
      <c r="AA19" s="517" t="s">
        <v>1681</v>
      </c>
      <c r="AB19" s="31"/>
    </row>
    <row r="20" spans="1:28" ht="27.95" customHeight="1">
      <c r="A20" s="156" t="s">
        <v>1041</v>
      </c>
      <c r="B20" s="168" t="s">
        <v>525</v>
      </c>
      <c r="C20" s="151"/>
      <c r="D20" s="152" t="s">
        <v>526</v>
      </c>
      <c r="E20" s="153" t="s">
        <v>402</v>
      </c>
      <c r="F20" s="144" t="s">
        <v>124</v>
      </c>
      <c r="G20" s="125" t="s">
        <v>956</v>
      </c>
      <c r="H20" s="154" t="s">
        <v>402</v>
      </c>
      <c r="I20" s="123" t="s">
        <v>402</v>
      </c>
      <c r="J20" s="124">
        <v>1</v>
      </c>
      <c r="K20" s="125" t="s">
        <v>522</v>
      </c>
      <c r="L20" s="155">
        <v>1.0006297639954368E-6</v>
      </c>
      <c r="M20" s="514">
        <v>1</v>
      </c>
      <c r="N20" s="515">
        <v>1.2164594125584303</v>
      </c>
      <c r="O20" s="517" t="s">
        <v>1681</v>
      </c>
      <c r="P20" s="155">
        <v>8.4258971648497428E-7</v>
      </c>
      <c r="Q20" s="514">
        <v>1</v>
      </c>
      <c r="R20" s="515">
        <v>1.2164594125584303</v>
      </c>
      <c r="S20" s="517" t="s">
        <v>1681</v>
      </c>
      <c r="T20" s="155">
        <v>1.4682162806772276E-7</v>
      </c>
      <c r="U20" s="514">
        <v>1</v>
      </c>
      <c r="V20" s="515">
        <v>1.2164594125584303</v>
      </c>
      <c r="W20" s="517" t="s">
        <v>1681</v>
      </c>
      <c r="X20" s="155">
        <v>8.3237541332108026E-7</v>
      </c>
      <c r="Y20" s="514">
        <v>1</v>
      </c>
      <c r="Z20" s="515">
        <v>1.2164594125584303</v>
      </c>
      <c r="AA20" s="517" t="s">
        <v>1681</v>
      </c>
      <c r="AB20" s="31"/>
    </row>
    <row r="21" spans="1:28" ht="27.95" customHeight="1">
      <c r="A21" s="156" t="s">
        <v>1027</v>
      </c>
      <c r="B21" s="168" t="s">
        <v>525</v>
      </c>
      <c r="C21" s="151"/>
      <c r="D21" s="152" t="s">
        <v>526</v>
      </c>
      <c r="E21" s="153" t="s">
        <v>402</v>
      </c>
      <c r="F21" s="144" t="s">
        <v>125</v>
      </c>
      <c r="G21" s="125" t="s">
        <v>956</v>
      </c>
      <c r="H21" s="154" t="s">
        <v>402</v>
      </c>
      <c r="I21" s="123" t="s">
        <v>402</v>
      </c>
      <c r="J21" s="124">
        <v>1</v>
      </c>
      <c r="K21" s="125" t="s">
        <v>522</v>
      </c>
      <c r="L21" s="155">
        <v>8.6802161438078794E-7</v>
      </c>
      <c r="M21" s="514">
        <v>1</v>
      </c>
      <c r="N21" s="515">
        <v>1.2164594125584303</v>
      </c>
      <c r="O21" s="517" t="s">
        <v>1681</v>
      </c>
      <c r="P21" s="155">
        <v>6.0653630505224586E-7</v>
      </c>
      <c r="Q21" s="514">
        <v>1</v>
      </c>
      <c r="R21" s="515">
        <v>1.2164594125584303</v>
      </c>
      <c r="S21" s="517" t="s">
        <v>1681</v>
      </c>
      <c r="T21" s="155">
        <v>1.2966218788851231E-7</v>
      </c>
      <c r="U21" s="514">
        <v>1</v>
      </c>
      <c r="V21" s="515">
        <v>1.2164594125584303</v>
      </c>
      <c r="W21" s="517" t="s">
        <v>1681</v>
      </c>
      <c r="X21" s="155">
        <v>7.0870824164064323E-7</v>
      </c>
      <c r="Y21" s="514">
        <v>1</v>
      </c>
      <c r="Z21" s="515">
        <v>1.2164594125584303</v>
      </c>
      <c r="AA21" s="517" t="s">
        <v>1681</v>
      </c>
      <c r="AB21" s="31"/>
    </row>
    <row r="22" spans="1:28" ht="27.95" customHeight="1">
      <c r="A22" s="156" t="s">
        <v>1042</v>
      </c>
      <c r="B22" s="168" t="s">
        <v>525</v>
      </c>
      <c r="C22" s="151"/>
      <c r="D22" s="152" t="s">
        <v>526</v>
      </c>
      <c r="E22" s="153" t="s">
        <v>402</v>
      </c>
      <c r="F22" s="144" t="s">
        <v>126</v>
      </c>
      <c r="G22" s="125" t="s">
        <v>956</v>
      </c>
      <c r="H22" s="154" t="s">
        <v>402</v>
      </c>
      <c r="I22" s="123" t="s">
        <v>402</v>
      </c>
      <c r="J22" s="124">
        <v>1</v>
      </c>
      <c r="K22" s="125" t="s">
        <v>522</v>
      </c>
      <c r="L22" s="155">
        <v>1.3222981802745983E-6</v>
      </c>
      <c r="M22" s="514">
        <v>1</v>
      </c>
      <c r="N22" s="515">
        <v>1.2164594125584303</v>
      </c>
      <c r="O22" s="517" t="s">
        <v>1681</v>
      </c>
      <c r="P22" s="155">
        <v>9.2396530127097567E-7</v>
      </c>
      <c r="Q22" s="514">
        <v>1</v>
      </c>
      <c r="R22" s="515">
        <v>1.2164594125584303</v>
      </c>
      <c r="S22" s="517" t="s">
        <v>1681</v>
      </c>
      <c r="T22" s="155">
        <v>1.9752051360807409E-7</v>
      </c>
      <c r="U22" s="514">
        <v>1</v>
      </c>
      <c r="V22" s="515">
        <v>1.2164594125584303</v>
      </c>
      <c r="W22" s="517" t="s">
        <v>1681</v>
      </c>
      <c r="X22" s="155">
        <v>1.0796086211926181E-6</v>
      </c>
      <c r="Y22" s="514">
        <v>1</v>
      </c>
      <c r="Z22" s="515">
        <v>1.2164594125584303</v>
      </c>
      <c r="AA22" s="517" t="s">
        <v>1681</v>
      </c>
      <c r="AB22" s="31"/>
    </row>
    <row r="23" spans="1:28" ht="27.95" customHeight="1">
      <c r="A23" s="156" t="s">
        <v>1028</v>
      </c>
      <c r="B23" s="168" t="s">
        <v>525</v>
      </c>
      <c r="C23" s="151"/>
      <c r="D23" s="152" t="s">
        <v>526</v>
      </c>
      <c r="E23" s="153" t="s">
        <v>402</v>
      </c>
      <c r="F23" s="144" t="s">
        <v>127</v>
      </c>
      <c r="G23" s="125" t="s">
        <v>956</v>
      </c>
      <c r="H23" s="154" t="s">
        <v>402</v>
      </c>
      <c r="I23" s="123" t="s">
        <v>402</v>
      </c>
      <c r="J23" s="124">
        <v>1</v>
      </c>
      <c r="K23" s="125" t="s">
        <v>522</v>
      </c>
      <c r="L23" s="155">
        <v>1.0850270179759849E-7</v>
      </c>
      <c r="M23" s="514">
        <v>1</v>
      </c>
      <c r="N23" s="515">
        <v>1.2164594125584303</v>
      </c>
      <c r="O23" s="517" t="s">
        <v>1681</v>
      </c>
      <c r="P23" s="155">
        <v>7.5817038131530732E-8</v>
      </c>
      <c r="Q23" s="514">
        <v>1</v>
      </c>
      <c r="R23" s="515">
        <v>1.2164594125584303</v>
      </c>
      <c r="S23" s="517" t="s">
        <v>1681</v>
      </c>
      <c r="T23" s="155">
        <v>1.6207773486064039E-8</v>
      </c>
      <c r="U23" s="514">
        <v>1</v>
      </c>
      <c r="V23" s="515">
        <v>1.2164594125584303</v>
      </c>
      <c r="W23" s="517" t="s">
        <v>1681</v>
      </c>
      <c r="X23" s="155">
        <v>8.8588530205080404E-8</v>
      </c>
      <c r="Y23" s="514">
        <v>1</v>
      </c>
      <c r="Z23" s="515">
        <v>1.2164594125584303</v>
      </c>
      <c r="AA23" s="517" t="s">
        <v>1681</v>
      </c>
      <c r="AB23" s="31"/>
    </row>
    <row r="24" spans="1:28" ht="27.95" customHeight="1">
      <c r="A24" s="156" t="s">
        <v>1029</v>
      </c>
      <c r="B24" s="168" t="s">
        <v>525</v>
      </c>
      <c r="C24" s="151"/>
      <c r="D24" s="152" t="s">
        <v>526</v>
      </c>
      <c r="E24" s="153" t="s">
        <v>402</v>
      </c>
      <c r="F24" s="144" t="s">
        <v>128</v>
      </c>
      <c r="G24" s="125" t="s">
        <v>956</v>
      </c>
      <c r="H24" s="154" t="s">
        <v>402</v>
      </c>
      <c r="I24" s="123" t="s">
        <v>402</v>
      </c>
      <c r="J24" s="124">
        <v>1</v>
      </c>
      <c r="K24" s="125" t="s">
        <v>522</v>
      </c>
      <c r="L24" s="155">
        <v>2.821070246737561E-6</v>
      </c>
      <c r="M24" s="514">
        <v>1</v>
      </c>
      <c r="N24" s="515">
        <v>1.2164594125584303</v>
      </c>
      <c r="O24" s="517" t="s">
        <v>1681</v>
      </c>
      <c r="P24" s="155">
        <v>1.9712429914197993E-6</v>
      </c>
      <c r="Q24" s="514">
        <v>1</v>
      </c>
      <c r="R24" s="515">
        <v>1.2164594125584303</v>
      </c>
      <c r="S24" s="517" t="s">
        <v>1681</v>
      </c>
      <c r="T24" s="155">
        <v>4.2140211063766507E-7</v>
      </c>
      <c r="U24" s="514">
        <v>1</v>
      </c>
      <c r="V24" s="515">
        <v>1.2164594125584303</v>
      </c>
      <c r="W24" s="517" t="s">
        <v>1681</v>
      </c>
      <c r="X24" s="155">
        <v>2.3033017853320908E-6</v>
      </c>
      <c r="Y24" s="514">
        <v>1</v>
      </c>
      <c r="Z24" s="515">
        <v>1.2164594125584303</v>
      </c>
      <c r="AA24" s="517" t="s">
        <v>1681</v>
      </c>
      <c r="AB24" s="31"/>
    </row>
    <row r="25" spans="1:28" ht="27.95" customHeight="1">
      <c r="A25" s="156" t="s">
        <v>1043</v>
      </c>
      <c r="B25" s="168" t="s">
        <v>525</v>
      </c>
      <c r="C25" s="151"/>
      <c r="D25" s="152" t="s">
        <v>526</v>
      </c>
      <c r="E25" s="153" t="s">
        <v>402</v>
      </c>
      <c r="F25" s="144" t="s">
        <v>129</v>
      </c>
      <c r="G25" s="125" t="s">
        <v>956</v>
      </c>
      <c r="H25" s="154" t="s">
        <v>402</v>
      </c>
      <c r="I25" s="123" t="s">
        <v>402</v>
      </c>
      <c r="J25" s="124">
        <v>1</v>
      </c>
      <c r="K25" s="125" t="s">
        <v>522</v>
      </c>
      <c r="L25" s="155">
        <v>1.6528727253432479E-7</v>
      </c>
      <c r="M25" s="514">
        <v>1</v>
      </c>
      <c r="N25" s="515">
        <v>1.2164594125584303</v>
      </c>
      <c r="O25" s="517" t="s">
        <v>1681</v>
      </c>
      <c r="P25" s="155">
        <v>1.1549566265887196E-7</v>
      </c>
      <c r="Q25" s="514">
        <v>1</v>
      </c>
      <c r="R25" s="515">
        <v>1.2164594125584303</v>
      </c>
      <c r="S25" s="517" t="s">
        <v>1681</v>
      </c>
      <c r="T25" s="155">
        <v>2.4690064201009262E-8</v>
      </c>
      <c r="U25" s="514">
        <v>1</v>
      </c>
      <c r="V25" s="515">
        <v>1.2164594125584303</v>
      </c>
      <c r="W25" s="517" t="s">
        <v>1681</v>
      </c>
      <c r="X25" s="155">
        <v>1.3495107764907726E-7</v>
      </c>
      <c r="Y25" s="514">
        <v>1</v>
      </c>
      <c r="Z25" s="515">
        <v>1.2164594125584303</v>
      </c>
      <c r="AA25" s="517" t="s">
        <v>1681</v>
      </c>
      <c r="AB25" s="31"/>
    </row>
    <row r="26" spans="1:28" ht="27.95" customHeight="1">
      <c r="A26" s="156" t="s">
        <v>1044</v>
      </c>
      <c r="B26" s="168" t="s">
        <v>525</v>
      </c>
      <c r="C26" s="151"/>
      <c r="D26" s="152" t="s">
        <v>526</v>
      </c>
      <c r="E26" s="153" t="s">
        <v>402</v>
      </c>
      <c r="F26" s="144" t="s">
        <v>130</v>
      </c>
      <c r="G26" s="125" t="s">
        <v>956</v>
      </c>
      <c r="H26" s="154" t="s">
        <v>402</v>
      </c>
      <c r="I26" s="123" t="s">
        <v>402</v>
      </c>
      <c r="J26" s="124">
        <v>1</v>
      </c>
      <c r="K26" s="125" t="s">
        <v>522</v>
      </c>
      <c r="L26" s="155">
        <v>4.2974690858924453E-6</v>
      </c>
      <c r="M26" s="514">
        <v>1</v>
      </c>
      <c r="N26" s="515">
        <v>1.2164594125584303</v>
      </c>
      <c r="O26" s="517" t="s">
        <v>1681</v>
      </c>
      <c r="P26" s="155">
        <v>3.0028872291306712E-6</v>
      </c>
      <c r="Q26" s="514">
        <v>1</v>
      </c>
      <c r="R26" s="515">
        <v>1.2164594125584303</v>
      </c>
      <c r="S26" s="517" t="s">
        <v>1681</v>
      </c>
      <c r="T26" s="155">
        <v>6.4194166922624092E-7</v>
      </c>
      <c r="U26" s="514">
        <v>1</v>
      </c>
      <c r="V26" s="515">
        <v>1.2164594125584303</v>
      </c>
      <c r="W26" s="517" t="s">
        <v>1681</v>
      </c>
      <c r="X26" s="155">
        <v>3.5087280188760093E-6</v>
      </c>
      <c r="Y26" s="514">
        <v>1</v>
      </c>
      <c r="Z26" s="515">
        <v>1.2164594125584303</v>
      </c>
      <c r="AA26" s="517" t="s">
        <v>1681</v>
      </c>
      <c r="AB26" s="31"/>
    </row>
    <row r="27" spans="1:28" ht="27.95" customHeight="1">
      <c r="A27" s="120">
        <v>32066</v>
      </c>
      <c r="B27" s="168" t="s">
        <v>525</v>
      </c>
      <c r="C27" s="151"/>
      <c r="D27" s="152" t="s">
        <v>526</v>
      </c>
      <c r="E27" s="153" t="s">
        <v>402</v>
      </c>
      <c r="F27" s="144" t="s">
        <v>65</v>
      </c>
      <c r="G27" s="125" t="s">
        <v>393</v>
      </c>
      <c r="H27" s="154" t="s">
        <v>402</v>
      </c>
      <c r="I27" s="123" t="s">
        <v>402</v>
      </c>
      <c r="J27" s="124">
        <v>1</v>
      </c>
      <c r="K27" s="125" t="s">
        <v>522</v>
      </c>
      <c r="L27" s="155">
        <v>3.6291665866080822E-7</v>
      </c>
      <c r="M27" s="514">
        <v>1</v>
      </c>
      <c r="N27" s="515">
        <v>1.2164594125584303</v>
      </c>
      <c r="O27" s="517" t="s">
        <v>1681</v>
      </c>
      <c r="P27" s="155">
        <v>2.5359060827426526E-7</v>
      </c>
      <c r="Q27" s="514">
        <v>1</v>
      </c>
      <c r="R27" s="515">
        <v>1.2164594125584303</v>
      </c>
      <c r="S27" s="517" t="s">
        <v>1681</v>
      </c>
      <c r="T27" s="155">
        <v>5.4211285990518896E-8</v>
      </c>
      <c r="U27" s="514">
        <v>1</v>
      </c>
      <c r="V27" s="515">
        <v>1.2164594125584303</v>
      </c>
      <c r="W27" s="517" t="s">
        <v>1681</v>
      </c>
      <c r="X27" s="155">
        <v>2.9630832085336561E-7</v>
      </c>
      <c r="Y27" s="514">
        <v>1</v>
      </c>
      <c r="Z27" s="515">
        <v>1.2164594125584303</v>
      </c>
      <c r="AA27" s="517" t="s">
        <v>1681</v>
      </c>
      <c r="AB27" s="31"/>
    </row>
    <row r="28" spans="1:28" ht="27.95" customHeight="1">
      <c r="A28" s="120">
        <v>32068</v>
      </c>
      <c r="B28" s="168" t="s">
        <v>525</v>
      </c>
      <c r="C28" s="151"/>
      <c r="D28" s="152" t="s">
        <v>526</v>
      </c>
      <c r="E28" s="153" t="s">
        <v>402</v>
      </c>
      <c r="F28" s="144" t="s">
        <v>67</v>
      </c>
      <c r="G28" s="125" t="s">
        <v>393</v>
      </c>
      <c r="H28" s="154" t="s">
        <v>402</v>
      </c>
      <c r="I28" s="123" t="s">
        <v>402</v>
      </c>
      <c r="J28" s="124">
        <v>1</v>
      </c>
      <c r="K28" s="125" t="s">
        <v>522</v>
      </c>
      <c r="L28" s="155">
        <v>1.3958333025415723E-8</v>
      </c>
      <c r="M28" s="514">
        <v>1</v>
      </c>
      <c r="N28" s="515">
        <v>1.2164594125584303</v>
      </c>
      <c r="O28" s="517" t="s">
        <v>1681</v>
      </c>
      <c r="P28" s="155">
        <v>9.7534849336256054E-9</v>
      </c>
      <c r="Q28" s="514">
        <v>1</v>
      </c>
      <c r="R28" s="515">
        <v>1.2164594125584303</v>
      </c>
      <c r="S28" s="517" t="s">
        <v>1681</v>
      </c>
      <c r="T28" s="155">
        <v>2.085049461173807E-9</v>
      </c>
      <c r="U28" s="514">
        <v>1</v>
      </c>
      <c r="V28" s="515">
        <v>1.2164594125584303</v>
      </c>
      <c r="W28" s="517" t="s">
        <v>1681</v>
      </c>
      <c r="X28" s="155">
        <v>1.1396473878975619E-8</v>
      </c>
      <c r="Y28" s="514">
        <v>1</v>
      </c>
      <c r="Z28" s="515">
        <v>1.2164594125584303</v>
      </c>
      <c r="AA28" s="517" t="s">
        <v>1681</v>
      </c>
      <c r="AB28" s="31"/>
    </row>
    <row r="29" spans="1:28" ht="27.95" customHeight="1">
      <c r="A29" s="120">
        <v>32076</v>
      </c>
      <c r="B29" s="168" t="s">
        <v>525</v>
      </c>
      <c r="C29" s="151"/>
      <c r="D29" s="152" t="s">
        <v>526</v>
      </c>
      <c r="E29" s="153" t="s">
        <v>402</v>
      </c>
      <c r="F29" s="144" t="s">
        <v>66</v>
      </c>
      <c r="G29" s="125" t="s">
        <v>393</v>
      </c>
      <c r="H29" s="154" t="s">
        <v>402</v>
      </c>
      <c r="I29" s="123" t="s">
        <v>402</v>
      </c>
      <c r="J29" s="124">
        <v>1</v>
      </c>
      <c r="K29" s="125" t="s">
        <v>522</v>
      </c>
      <c r="L29" s="155">
        <v>6.0609945567612779E-7</v>
      </c>
      <c r="M29" s="514">
        <v>1</v>
      </c>
      <c r="N29" s="515">
        <v>1.2164594125584303</v>
      </c>
      <c r="O29" s="517" t="s">
        <v>1681</v>
      </c>
      <c r="P29" s="155">
        <v>4.2351632522678882E-7</v>
      </c>
      <c r="Q29" s="514">
        <v>1</v>
      </c>
      <c r="R29" s="515">
        <v>1.2164594125584303</v>
      </c>
      <c r="S29" s="517" t="s">
        <v>1681</v>
      </c>
      <c r="T29" s="155">
        <v>9.0537125111872712E-8</v>
      </c>
      <c r="U29" s="514">
        <v>1</v>
      </c>
      <c r="V29" s="515">
        <v>1.2164594125584303</v>
      </c>
      <c r="W29" s="517" t="s">
        <v>1681</v>
      </c>
      <c r="X29" s="155">
        <v>4.9485827584835174E-7</v>
      </c>
      <c r="Y29" s="514">
        <v>1</v>
      </c>
      <c r="Z29" s="515">
        <v>1.2164594125584303</v>
      </c>
      <c r="AA29" s="517" t="s">
        <v>1681</v>
      </c>
      <c r="AB29" s="31"/>
    </row>
    <row r="30" spans="1:28" ht="27.95" customHeight="1">
      <c r="A30" s="120">
        <v>32080</v>
      </c>
      <c r="B30" s="168" t="s">
        <v>525</v>
      </c>
      <c r="C30" s="151"/>
      <c r="D30" s="152" t="s">
        <v>526</v>
      </c>
      <c r="E30" s="153" t="s">
        <v>402</v>
      </c>
      <c r="F30" s="144" t="s">
        <v>64</v>
      </c>
      <c r="G30" s="125" t="s">
        <v>393</v>
      </c>
      <c r="H30" s="154" t="s">
        <v>402</v>
      </c>
      <c r="I30" s="123" t="s">
        <v>402</v>
      </c>
      <c r="J30" s="124">
        <v>1</v>
      </c>
      <c r="K30" s="125" t="s">
        <v>522</v>
      </c>
      <c r="L30" s="155">
        <v>7.1781657928487752E-8</v>
      </c>
      <c r="M30" s="514">
        <v>1</v>
      </c>
      <c r="N30" s="515">
        <v>1.2164594125584303</v>
      </c>
      <c r="O30" s="517" t="s">
        <v>1681</v>
      </c>
      <c r="P30" s="155">
        <v>5.0157946356586538E-8</v>
      </c>
      <c r="Q30" s="514">
        <v>1</v>
      </c>
      <c r="R30" s="515">
        <v>1.2164594125584303</v>
      </c>
      <c r="S30" s="517" t="s">
        <v>1681</v>
      </c>
      <c r="T30" s="155">
        <v>1.0722505825977619E-8</v>
      </c>
      <c r="U30" s="514">
        <v>1</v>
      </c>
      <c r="V30" s="515">
        <v>1.2164594125584303</v>
      </c>
      <c r="W30" s="517" t="s">
        <v>1681</v>
      </c>
      <c r="X30" s="155">
        <v>5.8607126515897795E-8</v>
      </c>
      <c r="Y30" s="514">
        <v>1</v>
      </c>
      <c r="Z30" s="515">
        <v>1.2164594125584303</v>
      </c>
      <c r="AA30" s="517" t="s">
        <v>1681</v>
      </c>
      <c r="AB30" s="31"/>
    </row>
    <row r="31" spans="1:28" ht="27.95" customHeight="1">
      <c r="A31" s="120">
        <v>32130</v>
      </c>
      <c r="B31" s="168" t="s">
        <v>525</v>
      </c>
      <c r="C31" s="151"/>
      <c r="D31" s="152" t="s">
        <v>526</v>
      </c>
      <c r="E31" s="153" t="s">
        <v>402</v>
      </c>
      <c r="F31" s="144" t="s">
        <v>68</v>
      </c>
      <c r="G31" s="125" t="s">
        <v>393</v>
      </c>
      <c r="H31" s="154" t="s">
        <v>402</v>
      </c>
      <c r="I31" s="123" t="s">
        <v>402</v>
      </c>
      <c r="J31" s="124">
        <v>1</v>
      </c>
      <c r="K31" s="125" t="s">
        <v>522</v>
      </c>
      <c r="L31" s="155">
        <v>2.1842615122916689E-8</v>
      </c>
      <c r="M31" s="514">
        <v>1</v>
      </c>
      <c r="N31" s="515">
        <v>1.2164594125584303</v>
      </c>
      <c r="O31" s="517" t="s">
        <v>1681</v>
      </c>
      <c r="P31" s="155">
        <v>1.5262683382352215E-8</v>
      </c>
      <c r="Q31" s="514">
        <v>1</v>
      </c>
      <c r="R31" s="515">
        <v>1.2164594125584303</v>
      </c>
      <c r="S31" s="517" t="s">
        <v>1681</v>
      </c>
      <c r="T31" s="155">
        <v>3.2627773538386315E-9</v>
      </c>
      <c r="U31" s="514">
        <v>1</v>
      </c>
      <c r="V31" s="515">
        <v>1.2164594125584303</v>
      </c>
      <c r="W31" s="517" t="s">
        <v>1681</v>
      </c>
      <c r="X31" s="155">
        <v>1.7833704944822664E-8</v>
      </c>
      <c r="Y31" s="514">
        <v>1</v>
      </c>
      <c r="Z31" s="515">
        <v>1.2164594125584303</v>
      </c>
      <c r="AA31" s="517" t="s">
        <v>1681</v>
      </c>
      <c r="AB31" s="31"/>
    </row>
    <row r="32" spans="1:28" ht="27.95" customHeight="1">
      <c r="A32" s="120">
        <v>32131</v>
      </c>
      <c r="B32" s="168" t="s">
        <v>525</v>
      </c>
      <c r="C32" s="151"/>
      <c r="D32" s="152" t="s">
        <v>526</v>
      </c>
      <c r="E32" s="153" t="s">
        <v>402</v>
      </c>
      <c r="F32" s="144" t="s">
        <v>69</v>
      </c>
      <c r="G32" s="125" t="s">
        <v>393</v>
      </c>
      <c r="H32" s="154" t="s">
        <v>402</v>
      </c>
      <c r="I32" s="123" t="s">
        <v>402</v>
      </c>
      <c r="J32" s="124">
        <v>1</v>
      </c>
      <c r="K32" s="125" t="s">
        <v>522</v>
      </c>
      <c r="L32" s="155">
        <v>5.6790799319583304E-7</v>
      </c>
      <c r="M32" s="514">
        <v>1</v>
      </c>
      <c r="N32" s="515">
        <v>1.2164594125584303</v>
      </c>
      <c r="O32" s="517" t="s">
        <v>1681</v>
      </c>
      <c r="P32" s="155">
        <v>3.9682976794115709E-7</v>
      </c>
      <c r="Q32" s="514">
        <v>1</v>
      </c>
      <c r="R32" s="515">
        <v>1.2164594125584303</v>
      </c>
      <c r="S32" s="517" t="s">
        <v>1681</v>
      </c>
      <c r="T32" s="155">
        <v>8.4832211199804298E-8</v>
      </c>
      <c r="U32" s="514">
        <v>1</v>
      </c>
      <c r="V32" s="515">
        <v>1.2164594125584303</v>
      </c>
      <c r="W32" s="517" t="s">
        <v>1681</v>
      </c>
      <c r="X32" s="155">
        <v>4.6367632856538856E-7</v>
      </c>
      <c r="Y32" s="514">
        <v>1</v>
      </c>
      <c r="Z32" s="515">
        <v>1.2164594125584303</v>
      </c>
      <c r="AA32" s="517" t="s">
        <v>1681</v>
      </c>
      <c r="AB32" s="31"/>
    </row>
    <row r="33" spans="1:28">
      <c r="A33" s="156"/>
      <c r="B33" s="163" t="s">
        <v>692</v>
      </c>
      <c r="C33" s="151"/>
      <c r="D33" s="153" t="s">
        <v>402</v>
      </c>
      <c r="E33" s="152">
        <v>4</v>
      </c>
      <c r="F33" s="126" t="s">
        <v>324</v>
      </c>
      <c r="G33" s="125" t="s">
        <v>402</v>
      </c>
      <c r="H33" s="126" t="s">
        <v>325</v>
      </c>
      <c r="I33" s="126" t="s">
        <v>685</v>
      </c>
      <c r="J33" s="124" t="s">
        <v>402</v>
      </c>
      <c r="K33" s="125" t="s">
        <v>677</v>
      </c>
      <c r="L33" s="155">
        <v>0.25026737967914414</v>
      </c>
      <c r="M33" s="514">
        <v>1</v>
      </c>
      <c r="N33" s="515">
        <v>1.05</v>
      </c>
      <c r="O33" s="517" t="s">
        <v>131</v>
      </c>
      <c r="P33" s="155">
        <v>0.25026737967914414</v>
      </c>
      <c r="Q33" s="514">
        <v>1</v>
      </c>
      <c r="R33" s="515">
        <v>1.05</v>
      </c>
      <c r="S33" s="517" t="s">
        <v>131</v>
      </c>
      <c r="T33" s="155">
        <v>0.25026737967914414</v>
      </c>
      <c r="U33" s="514">
        <v>1</v>
      </c>
      <c r="V33" s="515">
        <v>1.05</v>
      </c>
      <c r="W33" s="517" t="s">
        <v>131</v>
      </c>
      <c r="X33" s="155">
        <v>0.25026737967914414</v>
      </c>
      <c r="Y33" s="514">
        <v>1</v>
      </c>
      <c r="Z33" s="515">
        <v>1.05</v>
      </c>
      <c r="AA33" s="517" t="s">
        <v>131</v>
      </c>
      <c r="AB33" s="31"/>
    </row>
    <row r="34" spans="1:28" outlineLevel="1">
      <c r="A34" s="5">
        <v>32102</v>
      </c>
      <c r="B34" s="168"/>
      <c r="C34" s="169"/>
      <c r="D34" s="11" t="s">
        <v>402</v>
      </c>
      <c r="E34" s="170">
        <v>0</v>
      </c>
      <c r="F34" s="145" t="s">
        <v>106</v>
      </c>
      <c r="G34" s="16" t="s">
        <v>496</v>
      </c>
      <c r="H34" s="14" t="s">
        <v>402</v>
      </c>
      <c r="I34" s="14" t="s">
        <v>402</v>
      </c>
      <c r="J34" s="15">
        <v>0</v>
      </c>
      <c r="K34" s="16" t="s">
        <v>678</v>
      </c>
      <c r="L34" s="606">
        <v>1</v>
      </c>
      <c r="M34" s="40"/>
      <c r="N34" s="89"/>
      <c r="O34" s="202"/>
      <c r="P34" s="606">
        <v>0</v>
      </c>
      <c r="Q34" s="40"/>
      <c r="R34" s="89"/>
      <c r="S34" s="202"/>
      <c r="T34" s="606">
        <v>0</v>
      </c>
      <c r="U34" s="40"/>
      <c r="V34" s="89"/>
      <c r="W34" s="202"/>
      <c r="X34" s="606">
        <v>0</v>
      </c>
      <c r="Y34" s="40"/>
      <c r="Z34" s="89"/>
      <c r="AA34" s="202"/>
      <c r="AB34" s="193"/>
    </row>
    <row r="35" spans="1:28" outlineLevel="1">
      <c r="A35" s="5">
        <v>32107</v>
      </c>
      <c r="B35" s="168"/>
      <c r="C35" s="169"/>
      <c r="D35" s="11" t="s">
        <v>402</v>
      </c>
      <c r="E35" s="170">
        <v>0</v>
      </c>
      <c r="F35" s="145" t="s">
        <v>106</v>
      </c>
      <c r="G35" s="16" t="s">
        <v>490</v>
      </c>
      <c r="H35" s="14" t="s">
        <v>402</v>
      </c>
      <c r="I35" s="14" t="s">
        <v>402</v>
      </c>
      <c r="J35" s="15">
        <v>0</v>
      </c>
      <c r="K35" s="16" t="s">
        <v>678</v>
      </c>
      <c r="L35" s="606">
        <v>0</v>
      </c>
      <c r="M35" s="40"/>
      <c r="N35" s="89"/>
      <c r="O35" s="202"/>
      <c r="P35" s="606">
        <v>1</v>
      </c>
      <c r="Q35" s="40"/>
      <c r="R35" s="89"/>
      <c r="S35" s="202"/>
      <c r="T35" s="606">
        <v>0</v>
      </c>
      <c r="U35" s="40"/>
      <c r="V35" s="89"/>
      <c r="W35" s="202"/>
      <c r="X35" s="606">
        <v>0</v>
      </c>
      <c r="Y35" s="40"/>
      <c r="Z35" s="89"/>
      <c r="AA35" s="202"/>
      <c r="AB35" s="193"/>
    </row>
    <row r="36" spans="1:28" outlineLevel="1">
      <c r="A36" s="5">
        <v>32113</v>
      </c>
      <c r="B36" s="168"/>
      <c r="C36" s="169"/>
      <c r="D36" s="11" t="s">
        <v>402</v>
      </c>
      <c r="E36" s="170">
        <v>0</v>
      </c>
      <c r="F36" s="145" t="s">
        <v>106</v>
      </c>
      <c r="G36" s="16" t="s">
        <v>497</v>
      </c>
      <c r="H36" s="14" t="s">
        <v>402</v>
      </c>
      <c r="I36" s="14" t="s">
        <v>402</v>
      </c>
      <c r="J36" s="15">
        <v>0</v>
      </c>
      <c r="K36" s="16" t="s">
        <v>678</v>
      </c>
      <c r="L36" s="606">
        <v>0</v>
      </c>
      <c r="M36" s="40"/>
      <c r="N36" s="89"/>
      <c r="O36" s="202"/>
      <c r="P36" s="606">
        <v>0</v>
      </c>
      <c r="Q36" s="40"/>
      <c r="R36" s="89"/>
      <c r="S36" s="202"/>
      <c r="T36" s="606">
        <v>1</v>
      </c>
      <c r="U36" s="40"/>
      <c r="V36" s="89"/>
      <c r="W36" s="202"/>
      <c r="X36" s="606">
        <v>0</v>
      </c>
      <c r="Y36" s="40"/>
      <c r="Z36" s="89"/>
      <c r="AA36" s="202"/>
      <c r="AB36" s="193"/>
    </row>
    <row r="37" spans="1:28" outlineLevel="1">
      <c r="A37" s="5">
        <v>32083</v>
      </c>
      <c r="B37" s="168"/>
      <c r="C37" s="169"/>
      <c r="D37" s="11" t="s">
        <v>402</v>
      </c>
      <c r="E37" s="170">
        <v>0</v>
      </c>
      <c r="F37" s="145" t="s">
        <v>106</v>
      </c>
      <c r="G37" s="16" t="s">
        <v>1434</v>
      </c>
      <c r="H37" s="14" t="s">
        <v>402</v>
      </c>
      <c r="I37" s="14" t="s">
        <v>402</v>
      </c>
      <c r="J37" s="15">
        <v>0</v>
      </c>
      <c r="K37" s="16" t="s">
        <v>678</v>
      </c>
      <c r="L37" s="606">
        <v>0</v>
      </c>
      <c r="M37" s="40"/>
      <c r="N37" s="89"/>
      <c r="O37" s="202"/>
      <c r="P37" s="606">
        <v>0</v>
      </c>
      <c r="Q37" s="40"/>
      <c r="R37" s="89"/>
      <c r="S37" s="202"/>
      <c r="T37" s="606">
        <v>0</v>
      </c>
      <c r="U37" s="40"/>
      <c r="V37" s="89"/>
      <c r="W37" s="202"/>
      <c r="X37" s="606">
        <v>1</v>
      </c>
      <c r="Y37" s="40"/>
      <c r="Z37" s="89"/>
      <c r="AA37" s="202"/>
      <c r="AB37" s="193"/>
    </row>
  </sheetData>
  <conditionalFormatting sqref="B33">
    <cfRule type="cellIs" dxfId="130" priority="3" stopIfTrue="1" operator="notEqual">
      <formula>""</formula>
    </cfRule>
  </conditionalFormatting>
  <dataValidations count="3">
    <dataValidation allowBlank="1" showInputMessage="1" showErrorMessage="1" promptTitle="GeneralComment" prompt="Do not change, if you use Pedigree Matrix. The comment is generated from the remarks field (enter remarks there) and the Pedigree numbers._x000a__x000a_If you calculated the SD from the data (i.e. without Pedigree Matrix), set a direct reference to the remarks. _x000a__x000a_" sqref="AA1:AA33 O1:O33 S1:S33 W1:W33"/>
    <dataValidation allowBlank="1" showInputMessage="1" showErrorMessage="1" promptTitle="StandardDeviation" prompt="Do only change when you calculated the Standard Deviation (SD) of the data (square SD for lognormal Distribution, 2*SD for normal Distribution - see column M). _x000a__x000a_Otherwise leave the formula to have it calculated from the Pedigree-Matrix (column Q  to V)." sqref="Z2:Z33 N2:N33 R2:R33 V2:V33"/>
    <dataValidation allowBlank="1" showInputMessage="1" showErrorMessage="1" promptTitle="Uncertainty Type" prompt="Defines the kind of uncertainty distribution applied on one particular exchange. _x000a__x000a_0 = undefined_x000a_1 = LOGNORMAL (default)_x000a_2 = normal_x000a_3 = triang_x000a_4 = uniform_x000a_" sqref="Y2:Y33 M2:M33 Q2:Q33 U2:U33"/>
  </dataValidations>
  <pageMargins left="0.78740157499999996" right="0.78740157499999996" top="0.984251969" bottom="0.984251969" header="0.4921259845" footer="0.4921259845"/>
  <pageSetup paperSize="9" scale="56" fitToWidth="0" orientation="landscape" r:id="rId1"/>
  <headerFooter alignWithMargins="0"/>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HY62"/>
  <sheetViews>
    <sheetView zoomScale="80" zoomScaleNormal="80" workbookViewId="0">
      <pane xSplit="3" ySplit="5" topLeftCell="DG6" activePane="bottomRight" state="frozen"/>
      <selection activeCell="J46" sqref="J46"/>
      <selection pane="topRight" activeCell="J46" sqref="J46"/>
      <selection pane="bottomLeft" activeCell="J46" sqref="J46"/>
      <selection pane="bottomRight" activeCell="DG7" sqref="DG7"/>
    </sheetView>
  </sheetViews>
  <sheetFormatPr defaultColWidth="27.42578125" defaultRowHeight="12" outlineLevelRow="1" outlineLevelCol="1"/>
  <cols>
    <col min="1" max="1" width="13.7109375" style="93" customWidth="1"/>
    <col min="2" max="2" width="6.42578125" style="110" customWidth="1" outlineLevel="1"/>
    <col min="3" max="3" width="20.42578125" style="111" customWidth="1"/>
    <col min="4" max="7" width="25.7109375" style="107" customWidth="1"/>
    <col min="8" max="8" width="27.85546875" style="107" customWidth="1" collapsed="1"/>
    <col min="9" max="16" width="25.7109375" style="107" customWidth="1"/>
    <col min="17" max="24" width="32.140625" style="107" customWidth="1"/>
    <col min="25" max="28" width="18.42578125" style="107" customWidth="1"/>
    <col min="29" max="29" width="25.7109375" style="107" customWidth="1" collapsed="1"/>
    <col min="30" max="30" width="33.7109375" style="107" customWidth="1" collapsed="1"/>
    <col min="31" max="35" width="24.7109375" style="107" customWidth="1"/>
    <col min="36" max="36" width="25.7109375" style="107" customWidth="1" collapsed="1"/>
    <col min="37" max="48" width="25.7109375" style="107" customWidth="1"/>
    <col min="49" max="56" width="22.7109375" style="107" customWidth="1"/>
    <col min="57" max="60" width="24.5703125" style="107" customWidth="1" collapsed="1"/>
    <col min="61" max="72" width="24.5703125" style="107" customWidth="1"/>
    <col min="73" max="86" width="25.7109375" style="107" customWidth="1"/>
    <col min="87" max="87" width="25.7109375" style="107" customWidth="1" outlineLevel="1"/>
    <col min="88" max="88" width="21.7109375" style="107" customWidth="1" outlineLevel="1"/>
    <col min="89" max="93" width="18.7109375" style="107" customWidth="1" outlineLevel="1"/>
    <col min="94" max="94" width="25.7109375" style="107" customWidth="1" outlineLevel="1"/>
    <col min="95" max="95" width="33.7109375" style="107" customWidth="1" outlineLevel="1"/>
    <col min="96" max="96" width="25.7109375" style="107" customWidth="1"/>
    <col min="97" max="97" width="17.28515625" style="107" customWidth="1"/>
    <col min="98" max="98" width="25.7109375" style="107" customWidth="1"/>
    <col min="99" max="101" width="21.140625" style="107" customWidth="1"/>
    <col min="102" max="102" width="25.7109375" style="107" customWidth="1"/>
    <col min="103" max="103" width="22.7109375" style="107" customWidth="1"/>
    <col min="104" max="105" width="24.5703125" style="107" customWidth="1"/>
    <col min="106" max="106" width="33.28515625" style="107" customWidth="1" collapsed="1"/>
    <col min="107" max="107" width="33.140625" style="107" customWidth="1"/>
    <col min="108" max="114" width="25.7109375" style="107" customWidth="1"/>
    <col min="115" max="123" width="22.7109375" style="107" customWidth="1"/>
    <col min="124" max="128" width="25.7109375" style="107" customWidth="1"/>
    <col min="129" max="129" width="25.7109375" style="107" customWidth="1" collapsed="1"/>
    <col min="130" max="132" width="25.7109375" style="107" customWidth="1"/>
    <col min="133" max="133" width="25.7109375" style="107" customWidth="1" collapsed="1"/>
    <col min="134" max="136" width="25.7109375" style="107" customWidth="1"/>
    <col min="137" max="137" width="25.7109375" style="107" customWidth="1" collapsed="1"/>
    <col min="138" max="142" width="25.7109375" style="107" customWidth="1"/>
    <col min="143" max="143" width="25.7109375" style="107" customWidth="1" collapsed="1"/>
    <col min="144" max="146" width="25.7109375" style="107" customWidth="1"/>
    <col min="147" max="147" width="25.7109375" style="107" customWidth="1" collapsed="1"/>
    <col min="148" max="152" width="25.7109375" style="107" customWidth="1"/>
    <col min="153" max="153" width="25.7109375" style="107" customWidth="1" collapsed="1"/>
    <col min="154" max="156" width="25.7109375" style="107" customWidth="1"/>
    <col min="157" max="157" width="25.7109375" style="107" customWidth="1" collapsed="1"/>
    <col min="158" max="162" width="25.7109375" style="107" customWidth="1"/>
    <col min="163" max="163" width="25.7109375" style="107" customWidth="1" collapsed="1"/>
    <col min="164" max="166" width="25.7109375" style="107" customWidth="1"/>
    <col min="167" max="167" width="25.7109375" style="107" customWidth="1" collapsed="1"/>
    <col min="168" max="169" width="25.7109375" style="107" customWidth="1"/>
    <col min="170" max="170" width="25.7109375" style="107" customWidth="1" collapsed="1"/>
    <col min="171" max="174" width="25.7109375" style="107" customWidth="1"/>
    <col min="175" max="175" width="25.7109375" style="107" customWidth="1" collapsed="1"/>
    <col min="176" max="185" width="25.7109375" style="107" customWidth="1"/>
    <col min="186" max="190" width="20.7109375" style="107" customWidth="1"/>
    <col min="191" max="233" width="25.7109375" style="107" customWidth="1"/>
    <col min="234" max="255" width="20.7109375" style="106" customWidth="1"/>
    <col min="256" max="16384" width="27.42578125" style="106"/>
  </cols>
  <sheetData>
    <row r="1" spans="1:233" s="97" customFormat="1">
      <c r="A1" s="93" t="s">
        <v>529</v>
      </c>
      <c r="B1" s="94" t="s">
        <v>511</v>
      </c>
      <c r="C1" s="95" t="s">
        <v>530</v>
      </c>
      <c r="D1" s="616" t="s">
        <v>751</v>
      </c>
      <c r="E1" s="630" t="s">
        <v>864</v>
      </c>
      <c r="F1" s="630" t="s">
        <v>865</v>
      </c>
      <c r="G1" s="595">
        <v>1620</v>
      </c>
      <c r="H1" s="596">
        <v>4840</v>
      </c>
      <c r="I1" s="616" t="s">
        <v>752</v>
      </c>
      <c r="J1" s="616" t="s">
        <v>753</v>
      </c>
      <c r="K1" s="615" t="s">
        <v>870</v>
      </c>
      <c r="L1" s="615" t="s">
        <v>871</v>
      </c>
      <c r="M1" s="615" t="s">
        <v>872</v>
      </c>
      <c r="N1" s="615" t="s">
        <v>873</v>
      </c>
      <c r="O1" s="623">
        <v>50</v>
      </c>
      <c r="P1" s="623">
        <v>4832</v>
      </c>
      <c r="Q1" s="616" t="s">
        <v>754</v>
      </c>
      <c r="R1" s="615" t="s">
        <v>868</v>
      </c>
      <c r="S1" s="615" t="s">
        <v>869</v>
      </c>
      <c r="T1" s="596">
        <v>1709</v>
      </c>
      <c r="U1" s="616" t="s">
        <v>1072</v>
      </c>
      <c r="V1" s="615" t="s">
        <v>1073</v>
      </c>
      <c r="W1" s="615" t="s">
        <v>1074</v>
      </c>
      <c r="X1" s="596" t="s">
        <v>1075</v>
      </c>
      <c r="Y1" s="617" t="s">
        <v>755</v>
      </c>
      <c r="Z1" s="615" t="s">
        <v>874</v>
      </c>
      <c r="AA1" s="615" t="s">
        <v>875</v>
      </c>
      <c r="AB1" s="596">
        <v>32124</v>
      </c>
      <c r="AC1" s="596">
        <v>4850</v>
      </c>
      <c r="AD1" s="624">
        <v>32072</v>
      </c>
      <c r="AE1" s="616" t="s">
        <v>757</v>
      </c>
      <c r="AF1" s="615" t="s">
        <v>877</v>
      </c>
      <c r="AG1" s="615" t="s">
        <v>876</v>
      </c>
      <c r="AH1" s="596">
        <v>4843</v>
      </c>
      <c r="AI1" s="596">
        <v>1345</v>
      </c>
      <c r="AJ1" s="626">
        <v>4841</v>
      </c>
      <c r="AK1" s="618" t="s">
        <v>756</v>
      </c>
      <c r="AL1" s="615" t="s">
        <v>878</v>
      </c>
      <c r="AM1" s="615" t="s">
        <v>879</v>
      </c>
      <c r="AN1" s="616" t="s">
        <v>759</v>
      </c>
      <c r="AO1" s="615" t="s">
        <v>882</v>
      </c>
      <c r="AP1" s="615" t="s">
        <v>884</v>
      </c>
      <c r="AQ1" s="596">
        <v>1619</v>
      </c>
      <c r="AR1" s="616" t="s">
        <v>758</v>
      </c>
      <c r="AS1" s="615" t="s">
        <v>881</v>
      </c>
      <c r="AT1" s="615" t="s">
        <v>883</v>
      </c>
      <c r="AU1" s="596">
        <v>1626</v>
      </c>
      <c r="AV1" s="596">
        <v>4844</v>
      </c>
      <c r="AW1" s="616" t="s">
        <v>761</v>
      </c>
      <c r="AX1" s="615" t="s">
        <v>886</v>
      </c>
      <c r="AY1" s="615" t="s">
        <v>888</v>
      </c>
      <c r="AZ1" s="596">
        <v>1618</v>
      </c>
      <c r="BA1" s="616" t="s">
        <v>760</v>
      </c>
      <c r="BB1" s="615" t="s">
        <v>885</v>
      </c>
      <c r="BC1" s="615" t="s">
        <v>887</v>
      </c>
      <c r="BD1" s="596">
        <v>1625</v>
      </c>
      <c r="BE1" s="618" t="s">
        <v>781</v>
      </c>
      <c r="BF1" s="615" t="s">
        <v>892</v>
      </c>
      <c r="BG1" s="615" t="s">
        <v>896</v>
      </c>
      <c r="BH1" s="596">
        <v>1521</v>
      </c>
      <c r="BI1" s="618" t="s">
        <v>780</v>
      </c>
      <c r="BJ1" s="615" t="s">
        <v>891</v>
      </c>
      <c r="BK1" s="615" t="s">
        <v>895</v>
      </c>
      <c r="BL1" s="596">
        <v>1522</v>
      </c>
      <c r="BM1" s="616" t="s">
        <v>763</v>
      </c>
      <c r="BN1" s="615" t="s">
        <v>890</v>
      </c>
      <c r="BO1" s="615" t="s">
        <v>894</v>
      </c>
      <c r="BP1" s="596">
        <v>1623</v>
      </c>
      <c r="BQ1" s="616" t="s">
        <v>762</v>
      </c>
      <c r="BR1" s="615" t="s">
        <v>889</v>
      </c>
      <c r="BS1" s="615" t="s">
        <v>893</v>
      </c>
      <c r="BT1" s="596">
        <v>1624</v>
      </c>
      <c r="BU1" s="618" t="s">
        <v>782</v>
      </c>
      <c r="BV1" s="618" t="s">
        <v>783</v>
      </c>
      <c r="BW1" s="618" t="s">
        <v>784</v>
      </c>
      <c r="BX1" s="618" t="s">
        <v>785</v>
      </c>
      <c r="BY1" s="618" t="s">
        <v>1059</v>
      </c>
      <c r="BZ1" s="618" t="s">
        <v>1060</v>
      </c>
      <c r="CA1" s="618" t="s">
        <v>1061</v>
      </c>
      <c r="CB1" s="618" t="s">
        <v>1062</v>
      </c>
      <c r="CC1" s="615" t="s">
        <v>957</v>
      </c>
      <c r="CD1" s="615" t="s">
        <v>958</v>
      </c>
      <c r="CE1" s="615" t="s">
        <v>897</v>
      </c>
      <c r="CF1" s="615" t="s">
        <v>898</v>
      </c>
      <c r="CG1" s="615" t="s">
        <v>899</v>
      </c>
      <c r="CH1" s="615" t="s">
        <v>900</v>
      </c>
      <c r="CI1" s="625">
        <v>4808</v>
      </c>
      <c r="CJ1" s="625">
        <v>825</v>
      </c>
      <c r="CK1" s="627">
        <v>32135</v>
      </c>
      <c r="CL1" s="627">
        <v>33082</v>
      </c>
      <c r="CM1" s="627">
        <v>33081</v>
      </c>
      <c r="CN1" s="627">
        <v>32134</v>
      </c>
      <c r="CO1" s="627">
        <v>32127</v>
      </c>
      <c r="CP1" s="621">
        <v>53</v>
      </c>
      <c r="CQ1" s="624">
        <v>32121</v>
      </c>
      <c r="CR1" s="596">
        <v>4839</v>
      </c>
      <c r="CS1" s="596">
        <v>1654</v>
      </c>
      <c r="CT1" s="596">
        <v>4849</v>
      </c>
      <c r="CU1" s="596">
        <v>32071</v>
      </c>
      <c r="CV1" s="596">
        <v>32070</v>
      </c>
      <c r="CW1" s="596">
        <v>32123</v>
      </c>
      <c r="CX1" s="596">
        <v>4836</v>
      </c>
      <c r="CY1" s="596">
        <v>32064</v>
      </c>
      <c r="CZ1" s="596">
        <v>32063</v>
      </c>
      <c r="DA1" s="596">
        <v>32065</v>
      </c>
      <c r="DB1" s="624">
        <v>32129</v>
      </c>
      <c r="DC1" s="624">
        <v>32128</v>
      </c>
      <c r="DD1" s="596">
        <v>32078</v>
      </c>
      <c r="DE1" s="596">
        <v>32079</v>
      </c>
      <c r="DF1" s="596">
        <v>32073</v>
      </c>
      <c r="DG1" s="596">
        <v>32074</v>
      </c>
      <c r="DH1" s="619" t="s">
        <v>773</v>
      </c>
      <c r="DI1" s="596">
        <v>32075</v>
      </c>
      <c r="DJ1" s="637" t="s">
        <v>1080</v>
      </c>
      <c r="DK1" s="596">
        <v>1484</v>
      </c>
      <c r="DL1" s="624">
        <v>1489</v>
      </c>
      <c r="DM1" s="624">
        <v>1490</v>
      </c>
      <c r="DN1" s="624">
        <v>1491</v>
      </c>
      <c r="DO1" s="624">
        <v>1645</v>
      </c>
      <c r="DP1" s="628" t="s">
        <v>432</v>
      </c>
      <c r="DQ1" s="624">
        <v>1646</v>
      </c>
      <c r="DR1" s="629" t="s">
        <v>148</v>
      </c>
      <c r="DS1" s="629" t="s">
        <v>702</v>
      </c>
      <c r="DT1" s="624">
        <v>1310</v>
      </c>
      <c r="DU1" s="624">
        <v>1312</v>
      </c>
      <c r="DV1" s="624">
        <v>1314</v>
      </c>
      <c r="DW1" s="624">
        <v>1316</v>
      </c>
      <c r="DX1" s="624">
        <v>1318</v>
      </c>
      <c r="DY1" s="624">
        <v>1320</v>
      </c>
      <c r="DZ1" s="638" t="s">
        <v>1010</v>
      </c>
      <c r="EA1" s="638" t="s">
        <v>1011</v>
      </c>
      <c r="EB1" s="638" t="s">
        <v>1012</v>
      </c>
      <c r="EC1" s="638" t="s">
        <v>1013</v>
      </c>
      <c r="ED1" s="638" t="s">
        <v>1014</v>
      </c>
      <c r="EE1" s="647" t="s">
        <v>1015</v>
      </c>
      <c r="EF1" s="647" t="s">
        <v>1016</v>
      </c>
      <c r="EG1" s="647" t="s">
        <v>1017</v>
      </c>
      <c r="EH1" s="647" t="s">
        <v>1018</v>
      </c>
      <c r="EI1" s="647" t="s">
        <v>1019</v>
      </c>
      <c r="EJ1" s="638" t="s">
        <v>1020</v>
      </c>
      <c r="EK1" s="638" t="s">
        <v>1021</v>
      </c>
      <c r="EL1" s="638" t="s">
        <v>1022</v>
      </c>
      <c r="EM1" s="638" t="s">
        <v>1023</v>
      </c>
      <c r="EN1" s="638" t="s">
        <v>1024</v>
      </c>
      <c r="EO1" s="647" t="s">
        <v>1035</v>
      </c>
      <c r="EP1" s="647" t="s">
        <v>1036</v>
      </c>
      <c r="EQ1" s="647" t="s">
        <v>1037</v>
      </c>
      <c r="ER1" s="647" t="s">
        <v>1038</v>
      </c>
      <c r="ES1" s="647" t="s">
        <v>1039</v>
      </c>
      <c r="ET1" s="638" t="s">
        <v>1025</v>
      </c>
      <c r="EU1" s="638" t="s">
        <v>1026</v>
      </c>
      <c r="EV1" s="638" t="s">
        <v>1027</v>
      </c>
      <c r="EW1" s="638" t="s">
        <v>1028</v>
      </c>
      <c r="EX1" s="638" t="s">
        <v>1029</v>
      </c>
      <c r="EY1" s="647" t="s">
        <v>1040</v>
      </c>
      <c r="EZ1" s="647" t="s">
        <v>1041</v>
      </c>
      <c r="FA1" s="647" t="s">
        <v>1042</v>
      </c>
      <c r="FB1" s="647" t="s">
        <v>1043</v>
      </c>
      <c r="FC1" s="647" t="s">
        <v>1044</v>
      </c>
      <c r="FD1" s="638" t="s">
        <v>1030</v>
      </c>
      <c r="FE1" s="638" t="s">
        <v>1031</v>
      </c>
      <c r="FF1" s="638" t="s">
        <v>1032</v>
      </c>
      <c r="FG1" s="638" t="s">
        <v>1033</v>
      </c>
      <c r="FH1" s="638" t="s">
        <v>1034</v>
      </c>
      <c r="FI1" s="647" t="s">
        <v>1045</v>
      </c>
      <c r="FJ1" s="647" t="s">
        <v>1046</v>
      </c>
      <c r="FK1" s="647" t="s">
        <v>1047</v>
      </c>
      <c r="FL1" s="647" t="s">
        <v>1048</v>
      </c>
      <c r="FM1" s="647" t="s">
        <v>1049</v>
      </c>
      <c r="FN1" s="620" t="s">
        <v>809</v>
      </c>
      <c r="FO1" s="620" t="s">
        <v>810</v>
      </c>
      <c r="FP1" s="620" t="s">
        <v>811</v>
      </c>
      <c r="FQ1" s="620" t="s">
        <v>812</v>
      </c>
      <c r="FR1" s="620" t="s">
        <v>819</v>
      </c>
      <c r="FS1" s="624">
        <v>1322</v>
      </c>
      <c r="FT1" s="624">
        <v>1324</v>
      </c>
      <c r="FU1" s="624">
        <v>1326</v>
      </c>
      <c r="FV1" s="624">
        <v>1328</v>
      </c>
      <c r="FW1" s="624">
        <v>32066</v>
      </c>
      <c r="FX1" s="624">
        <v>32068</v>
      </c>
      <c r="FY1" s="624">
        <v>32080</v>
      </c>
      <c r="FZ1" s="624">
        <v>32076</v>
      </c>
      <c r="GA1" s="620" t="s">
        <v>813</v>
      </c>
      <c r="GB1" s="624">
        <v>32130</v>
      </c>
      <c r="GC1" s="624">
        <v>32131</v>
      </c>
      <c r="GD1" s="624">
        <v>1459</v>
      </c>
      <c r="GE1" s="625">
        <v>1460</v>
      </c>
      <c r="GF1" s="625">
        <v>1461</v>
      </c>
      <c r="GG1" s="625">
        <v>1462</v>
      </c>
      <c r="GH1" s="625">
        <v>1463</v>
      </c>
      <c r="GI1" s="625">
        <v>1464</v>
      </c>
      <c r="GJ1" s="620" t="s">
        <v>816</v>
      </c>
      <c r="GK1" s="620" t="s">
        <v>817</v>
      </c>
      <c r="GL1" s="620" t="s">
        <v>814</v>
      </c>
      <c r="GM1" s="620" t="s">
        <v>815</v>
      </c>
      <c r="GN1" s="620" t="s">
        <v>820</v>
      </c>
      <c r="GO1" s="625">
        <v>1465</v>
      </c>
      <c r="GP1" s="625">
        <v>1466</v>
      </c>
      <c r="GQ1" s="625">
        <v>1467</v>
      </c>
      <c r="GR1" s="625">
        <v>1468</v>
      </c>
      <c r="GS1" s="624">
        <v>32067</v>
      </c>
      <c r="GT1" s="624">
        <v>32125</v>
      </c>
      <c r="GU1" s="624">
        <v>32077</v>
      </c>
      <c r="GV1" s="620" t="s">
        <v>818</v>
      </c>
      <c r="GW1" s="624">
        <v>32081</v>
      </c>
      <c r="GX1" s="624">
        <v>32133</v>
      </c>
      <c r="GY1" s="624">
        <v>32132</v>
      </c>
      <c r="GZ1" s="623">
        <v>4853</v>
      </c>
      <c r="HA1" s="622">
        <v>32082</v>
      </c>
      <c r="HB1" s="622">
        <v>32083</v>
      </c>
      <c r="HC1" s="622">
        <v>32084</v>
      </c>
      <c r="HD1" s="622">
        <v>32086</v>
      </c>
      <c r="HE1" s="622">
        <v>32087</v>
      </c>
      <c r="HF1" s="622">
        <v>32090</v>
      </c>
      <c r="HG1" s="622">
        <v>32091</v>
      </c>
      <c r="HH1" s="622">
        <v>32092</v>
      </c>
      <c r="HI1" s="622">
        <v>32093</v>
      </c>
      <c r="HJ1" s="622">
        <v>32094</v>
      </c>
      <c r="HK1" s="622">
        <v>32095</v>
      </c>
      <c r="HL1" s="622">
        <v>32096</v>
      </c>
      <c r="HM1" s="622">
        <v>32097</v>
      </c>
      <c r="HN1" s="622">
        <v>32099</v>
      </c>
      <c r="HO1" s="622">
        <v>32100</v>
      </c>
      <c r="HP1" s="622">
        <v>32101</v>
      </c>
      <c r="HQ1" s="622">
        <v>32102</v>
      </c>
      <c r="HR1" s="622">
        <v>32103</v>
      </c>
      <c r="HS1" s="622">
        <v>32105</v>
      </c>
      <c r="HT1" s="622">
        <v>32106</v>
      </c>
      <c r="HU1" s="622">
        <v>32107</v>
      </c>
      <c r="HV1" s="622">
        <v>32109</v>
      </c>
      <c r="HW1" s="621">
        <v>32110</v>
      </c>
      <c r="HX1" s="621">
        <v>32113</v>
      </c>
      <c r="HY1" s="621">
        <v>32114</v>
      </c>
    </row>
    <row r="2" spans="1:233" s="102" customFormat="1" ht="48">
      <c r="A2" s="98" t="s">
        <v>531</v>
      </c>
      <c r="B2" s="99">
        <v>401</v>
      </c>
      <c r="C2" s="100" t="s">
        <v>516</v>
      </c>
      <c r="D2" s="101" t="s">
        <v>1132</v>
      </c>
      <c r="E2" s="101" t="s">
        <v>1132</v>
      </c>
      <c r="F2" s="101" t="s">
        <v>1132</v>
      </c>
      <c r="G2" s="101" t="s">
        <v>1132</v>
      </c>
      <c r="H2" s="101" t="s">
        <v>328</v>
      </c>
      <c r="I2" s="101" t="s">
        <v>1160</v>
      </c>
      <c r="J2" s="101" t="s">
        <v>1161</v>
      </c>
      <c r="K2" s="101" t="s">
        <v>1160</v>
      </c>
      <c r="L2" s="101" t="s">
        <v>1161</v>
      </c>
      <c r="M2" s="101" t="s">
        <v>1160</v>
      </c>
      <c r="N2" s="101" t="s">
        <v>1161</v>
      </c>
      <c r="O2" s="101" t="s">
        <v>1160</v>
      </c>
      <c r="P2" s="101" t="s">
        <v>1161</v>
      </c>
      <c r="Q2" s="101" t="s">
        <v>1189</v>
      </c>
      <c r="R2" s="101" t="s">
        <v>1189</v>
      </c>
      <c r="S2" s="101" t="s">
        <v>1189</v>
      </c>
      <c r="T2" s="101" t="s">
        <v>1189</v>
      </c>
      <c r="U2" s="101" t="s">
        <v>1204</v>
      </c>
      <c r="V2" s="101" t="s">
        <v>1204</v>
      </c>
      <c r="W2" s="101" t="s">
        <v>1204</v>
      </c>
      <c r="X2" s="101" t="s">
        <v>1204</v>
      </c>
      <c r="Y2" s="101" t="s">
        <v>863</v>
      </c>
      <c r="Z2" s="101" t="s">
        <v>863</v>
      </c>
      <c r="AA2" s="101" t="s">
        <v>863</v>
      </c>
      <c r="AB2" s="101" t="s">
        <v>863</v>
      </c>
      <c r="AC2" s="101" t="s">
        <v>1241</v>
      </c>
      <c r="AD2" s="101" t="s">
        <v>1242</v>
      </c>
      <c r="AE2" s="101" t="s">
        <v>861</v>
      </c>
      <c r="AF2" s="101" t="s">
        <v>861</v>
      </c>
      <c r="AG2" s="101" t="s">
        <v>861</v>
      </c>
      <c r="AH2" s="101" t="s">
        <v>861</v>
      </c>
      <c r="AI2" s="101" t="s">
        <v>1416</v>
      </c>
      <c r="AJ2" s="101" t="s">
        <v>862</v>
      </c>
      <c r="AK2" s="101" t="s">
        <v>862</v>
      </c>
      <c r="AL2" s="101" t="s">
        <v>862</v>
      </c>
      <c r="AM2" s="101" t="s">
        <v>862</v>
      </c>
      <c r="AN2" s="101" t="s">
        <v>1119</v>
      </c>
      <c r="AO2" s="101" t="s">
        <v>1119</v>
      </c>
      <c r="AP2" s="101" t="s">
        <v>1119</v>
      </c>
      <c r="AQ2" s="101" t="s">
        <v>1119</v>
      </c>
      <c r="AR2" s="101" t="s">
        <v>1120</v>
      </c>
      <c r="AS2" s="101" t="s">
        <v>1120</v>
      </c>
      <c r="AT2" s="101" t="s">
        <v>1120</v>
      </c>
      <c r="AU2" s="101" t="s">
        <v>1120</v>
      </c>
      <c r="AV2" s="101" t="s">
        <v>1237</v>
      </c>
      <c r="AW2" s="101" t="s">
        <v>1121</v>
      </c>
      <c r="AX2" s="101" t="s">
        <v>1121</v>
      </c>
      <c r="AY2" s="101" t="s">
        <v>1121</v>
      </c>
      <c r="AZ2" s="101" t="s">
        <v>1121</v>
      </c>
      <c r="BA2" s="101" t="s">
        <v>1122</v>
      </c>
      <c r="BB2" s="101" t="s">
        <v>1122</v>
      </c>
      <c r="BC2" s="101" t="s">
        <v>1122</v>
      </c>
      <c r="BD2" s="101" t="s">
        <v>1122</v>
      </c>
      <c r="BE2" s="101" t="s">
        <v>1295</v>
      </c>
      <c r="BF2" s="101" t="s">
        <v>1295</v>
      </c>
      <c r="BG2" s="101" t="s">
        <v>1295</v>
      </c>
      <c r="BH2" s="101" t="s">
        <v>1295</v>
      </c>
      <c r="BI2" s="101" t="s">
        <v>1296</v>
      </c>
      <c r="BJ2" s="101" t="s">
        <v>1296</v>
      </c>
      <c r="BK2" s="101" t="s">
        <v>1296</v>
      </c>
      <c r="BL2" s="101" t="s">
        <v>1296</v>
      </c>
      <c r="BM2" s="101" t="s">
        <v>1294</v>
      </c>
      <c r="BN2" s="101" t="s">
        <v>1294</v>
      </c>
      <c r="BO2" s="101" t="s">
        <v>1294</v>
      </c>
      <c r="BP2" s="101" t="s">
        <v>1294</v>
      </c>
      <c r="BQ2" s="101" t="s">
        <v>1123</v>
      </c>
      <c r="BR2" s="101" t="s">
        <v>1123</v>
      </c>
      <c r="BS2" s="101" t="s">
        <v>1123</v>
      </c>
      <c r="BT2" s="101" t="s">
        <v>1123</v>
      </c>
      <c r="BU2" s="101" t="s">
        <v>1326</v>
      </c>
      <c r="BV2" s="101" t="s">
        <v>1327</v>
      </c>
      <c r="BW2" s="101" t="s">
        <v>1328</v>
      </c>
      <c r="BX2" s="101" t="s">
        <v>1329</v>
      </c>
      <c r="BY2" s="101" t="s">
        <v>1326</v>
      </c>
      <c r="BZ2" s="101" t="s">
        <v>1327</v>
      </c>
      <c r="CA2" s="101" t="s">
        <v>1328</v>
      </c>
      <c r="CB2" s="101" t="s">
        <v>1329</v>
      </c>
      <c r="CC2" s="101" t="s">
        <v>1264</v>
      </c>
      <c r="CD2" s="101" t="s">
        <v>1265</v>
      </c>
      <c r="CE2" s="101" t="s">
        <v>1264</v>
      </c>
      <c r="CF2" s="101" t="s">
        <v>1265</v>
      </c>
      <c r="CG2" s="101" t="s">
        <v>1264</v>
      </c>
      <c r="CH2" s="101" t="s">
        <v>1265</v>
      </c>
      <c r="CI2" s="101" t="s">
        <v>1417</v>
      </c>
      <c r="CJ2" s="101" t="s">
        <v>1213</v>
      </c>
      <c r="CK2" s="101" t="s">
        <v>1418</v>
      </c>
      <c r="CL2" s="101" t="s">
        <v>1419</v>
      </c>
      <c r="CM2" s="101" t="s">
        <v>1420</v>
      </c>
      <c r="CN2" s="101" t="s">
        <v>1421</v>
      </c>
      <c r="CO2" s="101" t="s">
        <v>1093</v>
      </c>
      <c r="CP2" s="101" t="s">
        <v>1162</v>
      </c>
      <c r="CQ2" s="101" t="s">
        <v>1245</v>
      </c>
      <c r="CR2" s="101" t="s">
        <v>1259</v>
      </c>
      <c r="CS2" s="101" t="s">
        <v>300</v>
      </c>
      <c r="CT2" s="101" t="s">
        <v>1303</v>
      </c>
      <c r="CU2" s="101" t="s">
        <v>1273</v>
      </c>
      <c r="CV2" s="101" t="s">
        <v>1274</v>
      </c>
      <c r="CW2" s="101" t="s">
        <v>1275</v>
      </c>
      <c r="CX2" s="101" t="s">
        <v>1236</v>
      </c>
      <c r="CY2" s="101" t="s">
        <v>1270</v>
      </c>
      <c r="CZ2" s="101" t="s">
        <v>1297</v>
      </c>
      <c r="DA2" s="101" t="s">
        <v>1298</v>
      </c>
      <c r="DB2" s="101" t="s">
        <v>1366</v>
      </c>
      <c r="DC2" s="101" t="s">
        <v>1367</v>
      </c>
      <c r="DD2" s="101" t="s">
        <v>1337</v>
      </c>
      <c r="DE2" s="101" t="s">
        <v>1338</v>
      </c>
      <c r="DF2" s="101" t="s">
        <v>793</v>
      </c>
      <c r="DG2" s="101" t="s">
        <v>793</v>
      </c>
      <c r="DH2" s="101" t="s">
        <v>793</v>
      </c>
      <c r="DI2" s="101" t="s">
        <v>79</v>
      </c>
      <c r="DJ2" s="101" t="s">
        <v>1410</v>
      </c>
      <c r="DK2" s="101" t="s">
        <v>74</v>
      </c>
      <c r="DL2" s="101" t="s">
        <v>52</v>
      </c>
      <c r="DM2" s="101" t="s">
        <v>53</v>
      </c>
      <c r="DN2" s="101" t="s">
        <v>663</v>
      </c>
      <c r="DO2" s="101" t="s">
        <v>664</v>
      </c>
      <c r="DP2" s="101" t="s">
        <v>433</v>
      </c>
      <c r="DQ2" s="101" t="s">
        <v>665</v>
      </c>
      <c r="DR2" s="101" t="s">
        <v>149</v>
      </c>
      <c r="DS2" s="101" t="s">
        <v>1415</v>
      </c>
      <c r="DT2" s="101" t="s">
        <v>121</v>
      </c>
      <c r="DU2" s="101" t="s">
        <v>122</v>
      </c>
      <c r="DV2" s="101" t="s">
        <v>123</v>
      </c>
      <c r="DW2" s="101" t="s">
        <v>124</v>
      </c>
      <c r="DX2" s="101" t="s">
        <v>125</v>
      </c>
      <c r="DY2" s="101" t="s">
        <v>126</v>
      </c>
      <c r="DZ2" s="101" t="s">
        <v>121</v>
      </c>
      <c r="EA2" s="101" t="s">
        <v>122</v>
      </c>
      <c r="EB2" s="101" t="s">
        <v>125</v>
      </c>
      <c r="EC2" s="101" t="s">
        <v>127</v>
      </c>
      <c r="ED2" s="101" t="s">
        <v>128</v>
      </c>
      <c r="EE2" s="101" t="s">
        <v>123</v>
      </c>
      <c r="EF2" s="101" t="s">
        <v>124</v>
      </c>
      <c r="EG2" s="101" t="s">
        <v>126</v>
      </c>
      <c r="EH2" s="101" t="s">
        <v>129</v>
      </c>
      <c r="EI2" s="101" t="s">
        <v>130</v>
      </c>
      <c r="EJ2" s="101" t="s">
        <v>121</v>
      </c>
      <c r="EK2" s="101" t="s">
        <v>122</v>
      </c>
      <c r="EL2" s="101" t="s">
        <v>125</v>
      </c>
      <c r="EM2" s="101" t="s">
        <v>127</v>
      </c>
      <c r="EN2" s="101" t="s">
        <v>128</v>
      </c>
      <c r="EO2" s="101" t="s">
        <v>123</v>
      </c>
      <c r="EP2" s="101" t="s">
        <v>124</v>
      </c>
      <c r="EQ2" s="101" t="s">
        <v>126</v>
      </c>
      <c r="ER2" s="101" t="s">
        <v>129</v>
      </c>
      <c r="ES2" s="101" t="s">
        <v>130</v>
      </c>
      <c r="ET2" s="101" t="s">
        <v>121</v>
      </c>
      <c r="EU2" s="101" t="s">
        <v>122</v>
      </c>
      <c r="EV2" s="101" t="s">
        <v>125</v>
      </c>
      <c r="EW2" s="101" t="s">
        <v>127</v>
      </c>
      <c r="EX2" s="101" t="s">
        <v>128</v>
      </c>
      <c r="EY2" s="101" t="s">
        <v>123</v>
      </c>
      <c r="EZ2" s="101" t="s">
        <v>124</v>
      </c>
      <c r="FA2" s="101" t="s">
        <v>126</v>
      </c>
      <c r="FB2" s="101" t="s">
        <v>129</v>
      </c>
      <c r="FC2" s="101" t="s">
        <v>130</v>
      </c>
      <c r="FD2" s="101" t="s">
        <v>121</v>
      </c>
      <c r="FE2" s="101" t="s">
        <v>122</v>
      </c>
      <c r="FF2" s="101" t="s">
        <v>125</v>
      </c>
      <c r="FG2" s="101" t="s">
        <v>127</v>
      </c>
      <c r="FH2" s="101" t="s">
        <v>128</v>
      </c>
      <c r="FI2" s="101" t="s">
        <v>123</v>
      </c>
      <c r="FJ2" s="101" t="s">
        <v>124</v>
      </c>
      <c r="FK2" s="101" t="s">
        <v>126</v>
      </c>
      <c r="FL2" s="101" t="s">
        <v>129</v>
      </c>
      <c r="FM2" s="101" t="s">
        <v>130</v>
      </c>
      <c r="FN2" s="101" t="s">
        <v>1422</v>
      </c>
      <c r="FO2" s="101" t="s">
        <v>1423</v>
      </c>
      <c r="FP2" s="101" t="s">
        <v>1424</v>
      </c>
      <c r="FQ2" s="101" t="s">
        <v>1425</v>
      </c>
      <c r="FR2" s="101" t="s">
        <v>1426</v>
      </c>
      <c r="FS2" s="101" t="s">
        <v>127</v>
      </c>
      <c r="FT2" s="101" t="s">
        <v>128</v>
      </c>
      <c r="FU2" s="101" t="s">
        <v>129</v>
      </c>
      <c r="FV2" s="101" t="s">
        <v>130</v>
      </c>
      <c r="FW2" s="101" t="s">
        <v>65</v>
      </c>
      <c r="FX2" s="101" t="s">
        <v>67</v>
      </c>
      <c r="FY2" s="101" t="s">
        <v>64</v>
      </c>
      <c r="FZ2" s="101" t="s">
        <v>66</v>
      </c>
      <c r="GA2" s="101" t="s">
        <v>1427</v>
      </c>
      <c r="GB2" s="101" t="s">
        <v>68</v>
      </c>
      <c r="GC2" s="101" t="s">
        <v>69</v>
      </c>
      <c r="GD2" s="101" t="s">
        <v>90</v>
      </c>
      <c r="GE2" s="101" t="s">
        <v>91</v>
      </c>
      <c r="GF2" s="101" t="s">
        <v>92</v>
      </c>
      <c r="GG2" s="101" t="s">
        <v>93</v>
      </c>
      <c r="GH2" s="101" t="s">
        <v>94</v>
      </c>
      <c r="GI2" s="101" t="s">
        <v>95</v>
      </c>
      <c r="GJ2" s="101" t="s">
        <v>1428</v>
      </c>
      <c r="GK2" s="101" t="s">
        <v>1429</v>
      </c>
      <c r="GL2" s="101" t="s">
        <v>1430</v>
      </c>
      <c r="GM2" s="101" t="s">
        <v>1431</v>
      </c>
      <c r="GN2" s="101" t="s">
        <v>1432</v>
      </c>
      <c r="GO2" s="101" t="s">
        <v>96</v>
      </c>
      <c r="GP2" s="101" t="s">
        <v>97</v>
      </c>
      <c r="GQ2" s="101" t="s">
        <v>98</v>
      </c>
      <c r="GR2" s="101" t="s">
        <v>99</v>
      </c>
      <c r="GS2" s="101" t="s">
        <v>100</v>
      </c>
      <c r="GT2" s="101" t="s">
        <v>101</v>
      </c>
      <c r="GU2" s="101" t="s">
        <v>102</v>
      </c>
      <c r="GV2" s="101" t="s">
        <v>1433</v>
      </c>
      <c r="GW2" s="101" t="s">
        <v>103</v>
      </c>
      <c r="GX2" s="101" t="s">
        <v>104</v>
      </c>
      <c r="GY2" s="101" t="s">
        <v>105</v>
      </c>
      <c r="GZ2" s="101" t="s">
        <v>106</v>
      </c>
      <c r="HA2" s="101" t="s">
        <v>106</v>
      </c>
      <c r="HB2" s="101" t="s">
        <v>106</v>
      </c>
      <c r="HC2" s="101" t="s">
        <v>106</v>
      </c>
      <c r="HD2" s="101" t="s">
        <v>106</v>
      </c>
      <c r="HE2" s="101" t="s">
        <v>106</v>
      </c>
      <c r="HF2" s="101" t="s">
        <v>106</v>
      </c>
      <c r="HG2" s="101" t="s">
        <v>106</v>
      </c>
      <c r="HH2" s="101" t="s">
        <v>106</v>
      </c>
      <c r="HI2" s="101" t="s">
        <v>106</v>
      </c>
      <c r="HJ2" s="101" t="s">
        <v>106</v>
      </c>
      <c r="HK2" s="101" t="s">
        <v>106</v>
      </c>
      <c r="HL2" s="101" t="s">
        <v>106</v>
      </c>
      <c r="HM2" s="101" t="s">
        <v>106</v>
      </c>
      <c r="HN2" s="101" t="s">
        <v>106</v>
      </c>
      <c r="HO2" s="101" t="s">
        <v>106</v>
      </c>
      <c r="HP2" s="101" t="s">
        <v>106</v>
      </c>
      <c r="HQ2" s="101" t="s">
        <v>106</v>
      </c>
      <c r="HR2" s="101" t="s">
        <v>106</v>
      </c>
      <c r="HS2" s="101" t="s">
        <v>106</v>
      </c>
      <c r="HT2" s="101" t="s">
        <v>106</v>
      </c>
      <c r="HU2" s="101" t="s">
        <v>106</v>
      </c>
      <c r="HV2" s="101" t="s">
        <v>106</v>
      </c>
      <c r="HW2" s="101" t="s">
        <v>106</v>
      </c>
      <c r="HX2" s="101" t="s">
        <v>106</v>
      </c>
      <c r="HY2" s="101" t="s">
        <v>106</v>
      </c>
    </row>
    <row r="3" spans="1:233">
      <c r="A3" s="103" t="s">
        <v>392</v>
      </c>
      <c r="B3" s="104">
        <v>662</v>
      </c>
      <c r="C3" s="105" t="s">
        <v>517</v>
      </c>
      <c r="D3" s="101" t="s">
        <v>1105</v>
      </c>
      <c r="E3" s="101" t="s">
        <v>465</v>
      </c>
      <c r="F3" s="101" t="s">
        <v>956</v>
      </c>
      <c r="G3" s="101" t="s">
        <v>578</v>
      </c>
      <c r="H3" s="101" t="s">
        <v>268</v>
      </c>
      <c r="I3" s="101" t="s">
        <v>1105</v>
      </c>
      <c r="J3" s="101" t="s">
        <v>1105</v>
      </c>
      <c r="K3" s="101" t="s">
        <v>465</v>
      </c>
      <c r="L3" s="101" t="s">
        <v>465</v>
      </c>
      <c r="M3" s="101" t="s">
        <v>956</v>
      </c>
      <c r="N3" s="101" t="s">
        <v>956</v>
      </c>
      <c r="O3" s="101" t="s">
        <v>268</v>
      </c>
      <c r="P3" s="101" t="s">
        <v>268</v>
      </c>
      <c r="Q3" s="101" t="s">
        <v>1105</v>
      </c>
      <c r="R3" s="101" t="s">
        <v>465</v>
      </c>
      <c r="S3" s="101" t="s">
        <v>956</v>
      </c>
      <c r="T3" s="101" t="s">
        <v>521</v>
      </c>
      <c r="U3" s="101" t="s">
        <v>521</v>
      </c>
      <c r="V3" s="101" t="s">
        <v>1105</v>
      </c>
      <c r="W3" s="101" t="s">
        <v>465</v>
      </c>
      <c r="X3" s="101" t="s">
        <v>956</v>
      </c>
      <c r="Y3" s="101" t="s">
        <v>1105</v>
      </c>
      <c r="Z3" s="101" t="s">
        <v>465</v>
      </c>
      <c r="AA3" s="101" t="s">
        <v>956</v>
      </c>
      <c r="AB3" s="101" t="s">
        <v>51</v>
      </c>
      <c r="AC3" s="101" t="s">
        <v>521</v>
      </c>
      <c r="AD3" s="101" t="s">
        <v>521</v>
      </c>
      <c r="AE3" s="101" t="s">
        <v>1105</v>
      </c>
      <c r="AF3" s="101" t="s">
        <v>465</v>
      </c>
      <c r="AG3" s="101" t="s">
        <v>956</v>
      </c>
      <c r="AH3" s="101" t="s">
        <v>521</v>
      </c>
      <c r="AI3" s="101" t="s">
        <v>521</v>
      </c>
      <c r="AJ3" s="101" t="s">
        <v>521</v>
      </c>
      <c r="AK3" s="101" t="s">
        <v>1105</v>
      </c>
      <c r="AL3" s="101" t="s">
        <v>465</v>
      </c>
      <c r="AM3" s="101" t="s">
        <v>956</v>
      </c>
      <c r="AN3" s="101" t="s">
        <v>1105</v>
      </c>
      <c r="AO3" s="101" t="s">
        <v>465</v>
      </c>
      <c r="AP3" s="101" t="s">
        <v>956</v>
      </c>
      <c r="AQ3" s="101" t="s">
        <v>521</v>
      </c>
      <c r="AR3" s="101" t="s">
        <v>1105</v>
      </c>
      <c r="AS3" s="101" t="s">
        <v>465</v>
      </c>
      <c r="AT3" s="101" t="s">
        <v>956</v>
      </c>
      <c r="AU3" s="101" t="s">
        <v>521</v>
      </c>
      <c r="AV3" s="101" t="s">
        <v>521</v>
      </c>
      <c r="AW3" s="101" t="s">
        <v>1105</v>
      </c>
      <c r="AX3" s="101" t="s">
        <v>465</v>
      </c>
      <c r="AY3" s="101" t="s">
        <v>956</v>
      </c>
      <c r="AZ3" s="101" t="s">
        <v>521</v>
      </c>
      <c r="BA3" s="101" t="s">
        <v>1105</v>
      </c>
      <c r="BB3" s="101" t="s">
        <v>465</v>
      </c>
      <c r="BC3" s="101" t="s">
        <v>956</v>
      </c>
      <c r="BD3" s="101" t="s">
        <v>521</v>
      </c>
      <c r="BE3" s="101" t="s">
        <v>1105</v>
      </c>
      <c r="BF3" s="101" t="s">
        <v>465</v>
      </c>
      <c r="BG3" s="101" t="s">
        <v>956</v>
      </c>
      <c r="BH3" s="101" t="s">
        <v>521</v>
      </c>
      <c r="BI3" s="101" t="s">
        <v>1105</v>
      </c>
      <c r="BJ3" s="101" t="s">
        <v>465</v>
      </c>
      <c r="BK3" s="101" t="s">
        <v>956</v>
      </c>
      <c r="BL3" s="101" t="s">
        <v>521</v>
      </c>
      <c r="BM3" s="101" t="s">
        <v>1105</v>
      </c>
      <c r="BN3" s="101" t="s">
        <v>465</v>
      </c>
      <c r="BO3" s="101" t="s">
        <v>956</v>
      </c>
      <c r="BP3" s="101" t="s">
        <v>521</v>
      </c>
      <c r="BQ3" s="101" t="s">
        <v>1105</v>
      </c>
      <c r="BR3" s="101" t="s">
        <v>465</v>
      </c>
      <c r="BS3" s="101" t="s">
        <v>956</v>
      </c>
      <c r="BT3" s="101" t="s">
        <v>521</v>
      </c>
      <c r="BU3" s="101" t="s">
        <v>521</v>
      </c>
      <c r="BV3" s="101" t="s">
        <v>521</v>
      </c>
      <c r="BW3" s="101" t="s">
        <v>521</v>
      </c>
      <c r="BX3" s="101" t="s">
        <v>521</v>
      </c>
      <c r="BY3" s="101" t="s">
        <v>465</v>
      </c>
      <c r="BZ3" s="101" t="s">
        <v>465</v>
      </c>
      <c r="CA3" s="101" t="s">
        <v>465</v>
      </c>
      <c r="CB3" s="101" t="s">
        <v>465</v>
      </c>
      <c r="CC3" s="101" t="s">
        <v>521</v>
      </c>
      <c r="CD3" s="101" t="s">
        <v>521</v>
      </c>
      <c r="CE3" s="101" t="s">
        <v>465</v>
      </c>
      <c r="CF3" s="101" t="s">
        <v>465</v>
      </c>
      <c r="CG3" s="101" t="s">
        <v>956</v>
      </c>
      <c r="CH3" s="101" t="s">
        <v>956</v>
      </c>
      <c r="CI3" s="101" t="s">
        <v>51</v>
      </c>
      <c r="CJ3" s="101" t="s">
        <v>51</v>
      </c>
      <c r="CK3" s="101" t="s">
        <v>465</v>
      </c>
      <c r="CL3" s="101" t="s">
        <v>465</v>
      </c>
      <c r="CM3" s="101" t="s">
        <v>465</v>
      </c>
      <c r="CN3" s="101" t="s">
        <v>465</v>
      </c>
      <c r="CO3" s="101" t="s">
        <v>465</v>
      </c>
      <c r="CP3" s="101" t="s">
        <v>268</v>
      </c>
      <c r="CQ3" s="101" t="s">
        <v>521</v>
      </c>
      <c r="CR3" s="101" t="s">
        <v>268</v>
      </c>
      <c r="CS3" s="101" t="s">
        <v>268</v>
      </c>
      <c r="CT3" s="101" t="s">
        <v>51</v>
      </c>
      <c r="CU3" s="101" t="s">
        <v>521</v>
      </c>
      <c r="CV3" s="101" t="s">
        <v>521</v>
      </c>
      <c r="CW3" s="101" t="s">
        <v>521</v>
      </c>
      <c r="CX3" s="101" t="s">
        <v>521</v>
      </c>
      <c r="CY3" s="101" t="s">
        <v>521</v>
      </c>
      <c r="CZ3" s="101" t="s">
        <v>521</v>
      </c>
      <c r="DA3" s="101" t="s">
        <v>521</v>
      </c>
      <c r="DB3" s="101" t="s">
        <v>465</v>
      </c>
      <c r="DC3" s="101" t="s">
        <v>465</v>
      </c>
      <c r="DD3" s="101" t="s">
        <v>268</v>
      </c>
      <c r="DE3" s="101" t="s">
        <v>268</v>
      </c>
      <c r="DF3" s="101" t="s">
        <v>465</v>
      </c>
      <c r="DG3" s="101" t="s">
        <v>268</v>
      </c>
      <c r="DH3" s="101" t="s">
        <v>789</v>
      </c>
      <c r="DI3" s="101" t="s">
        <v>521</v>
      </c>
      <c r="DJ3" s="101" t="s">
        <v>521</v>
      </c>
      <c r="DK3" s="101" t="s">
        <v>393</v>
      </c>
      <c r="DL3" s="101" t="s">
        <v>521</v>
      </c>
      <c r="DM3" s="101" t="s">
        <v>521</v>
      </c>
      <c r="DN3" s="101" t="s">
        <v>521</v>
      </c>
      <c r="DO3" s="101" t="s">
        <v>521</v>
      </c>
      <c r="DP3" s="101" t="s">
        <v>393</v>
      </c>
      <c r="DQ3" s="101" t="s">
        <v>521</v>
      </c>
      <c r="DR3" s="101" t="s">
        <v>521</v>
      </c>
      <c r="DS3" s="101" t="s">
        <v>393</v>
      </c>
      <c r="DT3" s="101" t="s">
        <v>393</v>
      </c>
      <c r="DU3" s="101" t="s">
        <v>393</v>
      </c>
      <c r="DV3" s="101" t="s">
        <v>393</v>
      </c>
      <c r="DW3" s="101" t="s">
        <v>393</v>
      </c>
      <c r="DX3" s="101" t="s">
        <v>393</v>
      </c>
      <c r="DY3" s="101" t="s">
        <v>393</v>
      </c>
      <c r="DZ3" s="101" t="s">
        <v>521</v>
      </c>
      <c r="EA3" s="101" t="s">
        <v>521</v>
      </c>
      <c r="EB3" s="101" t="s">
        <v>521</v>
      </c>
      <c r="EC3" s="101" t="s">
        <v>521</v>
      </c>
      <c r="ED3" s="101" t="s">
        <v>521</v>
      </c>
      <c r="EE3" s="101" t="s">
        <v>521</v>
      </c>
      <c r="EF3" s="101" t="s">
        <v>521</v>
      </c>
      <c r="EG3" s="101" t="s">
        <v>521</v>
      </c>
      <c r="EH3" s="101" t="s">
        <v>521</v>
      </c>
      <c r="EI3" s="101" t="s">
        <v>521</v>
      </c>
      <c r="EJ3" s="101" t="s">
        <v>465</v>
      </c>
      <c r="EK3" s="101" t="s">
        <v>465</v>
      </c>
      <c r="EL3" s="101" t="s">
        <v>465</v>
      </c>
      <c r="EM3" s="101" t="s">
        <v>465</v>
      </c>
      <c r="EN3" s="101" t="s">
        <v>465</v>
      </c>
      <c r="EO3" s="101" t="s">
        <v>465</v>
      </c>
      <c r="EP3" s="101" t="s">
        <v>465</v>
      </c>
      <c r="EQ3" s="101" t="s">
        <v>465</v>
      </c>
      <c r="ER3" s="101" t="s">
        <v>465</v>
      </c>
      <c r="ES3" s="101" t="s">
        <v>465</v>
      </c>
      <c r="ET3" s="101" t="s">
        <v>956</v>
      </c>
      <c r="EU3" s="101" t="s">
        <v>956</v>
      </c>
      <c r="EV3" s="101" t="s">
        <v>956</v>
      </c>
      <c r="EW3" s="101" t="s">
        <v>956</v>
      </c>
      <c r="EX3" s="101" t="s">
        <v>956</v>
      </c>
      <c r="EY3" s="101" t="s">
        <v>956</v>
      </c>
      <c r="EZ3" s="101" t="s">
        <v>956</v>
      </c>
      <c r="FA3" s="101" t="s">
        <v>956</v>
      </c>
      <c r="FB3" s="101" t="s">
        <v>956</v>
      </c>
      <c r="FC3" s="101" t="s">
        <v>956</v>
      </c>
      <c r="FD3" s="101" t="s">
        <v>1105</v>
      </c>
      <c r="FE3" s="101" t="s">
        <v>1105</v>
      </c>
      <c r="FF3" s="101" t="s">
        <v>1105</v>
      </c>
      <c r="FG3" s="101" t="s">
        <v>1105</v>
      </c>
      <c r="FH3" s="101" t="s">
        <v>1105</v>
      </c>
      <c r="FI3" s="101" t="s">
        <v>1105</v>
      </c>
      <c r="FJ3" s="101" t="s">
        <v>1105</v>
      </c>
      <c r="FK3" s="101" t="s">
        <v>1105</v>
      </c>
      <c r="FL3" s="101" t="s">
        <v>1105</v>
      </c>
      <c r="FM3" s="101" t="s">
        <v>1105</v>
      </c>
      <c r="FN3" s="101" t="s">
        <v>393</v>
      </c>
      <c r="FO3" s="101" t="s">
        <v>393</v>
      </c>
      <c r="FP3" s="101" t="s">
        <v>393</v>
      </c>
      <c r="FQ3" s="101" t="s">
        <v>393</v>
      </c>
      <c r="FR3" s="101" t="s">
        <v>393</v>
      </c>
      <c r="FS3" s="101" t="s">
        <v>393</v>
      </c>
      <c r="FT3" s="101" t="s">
        <v>393</v>
      </c>
      <c r="FU3" s="101" t="s">
        <v>393</v>
      </c>
      <c r="FV3" s="101" t="s">
        <v>393</v>
      </c>
      <c r="FW3" s="101" t="s">
        <v>393</v>
      </c>
      <c r="FX3" s="101" t="s">
        <v>393</v>
      </c>
      <c r="FY3" s="101" t="s">
        <v>393</v>
      </c>
      <c r="FZ3" s="101" t="s">
        <v>393</v>
      </c>
      <c r="GA3" s="101" t="s">
        <v>393</v>
      </c>
      <c r="GB3" s="101" t="s">
        <v>393</v>
      </c>
      <c r="GC3" s="101" t="s">
        <v>393</v>
      </c>
      <c r="GD3" s="101" t="s">
        <v>393</v>
      </c>
      <c r="GE3" s="101" t="s">
        <v>393</v>
      </c>
      <c r="GF3" s="101" t="s">
        <v>393</v>
      </c>
      <c r="GG3" s="101" t="s">
        <v>393</v>
      </c>
      <c r="GH3" s="101" t="s">
        <v>393</v>
      </c>
      <c r="GI3" s="101" t="s">
        <v>393</v>
      </c>
      <c r="GJ3" s="101" t="s">
        <v>393</v>
      </c>
      <c r="GK3" s="101" t="s">
        <v>393</v>
      </c>
      <c r="GL3" s="101" t="s">
        <v>393</v>
      </c>
      <c r="GM3" s="101" t="s">
        <v>393</v>
      </c>
      <c r="GN3" s="101" t="s">
        <v>393</v>
      </c>
      <c r="GO3" s="101" t="s">
        <v>393</v>
      </c>
      <c r="GP3" s="101" t="s">
        <v>393</v>
      </c>
      <c r="GQ3" s="101" t="s">
        <v>393</v>
      </c>
      <c r="GR3" s="101" t="s">
        <v>393</v>
      </c>
      <c r="GS3" s="101" t="s">
        <v>393</v>
      </c>
      <c r="GT3" s="101" t="s">
        <v>393</v>
      </c>
      <c r="GU3" s="101" t="s">
        <v>393</v>
      </c>
      <c r="GV3" s="101" t="s">
        <v>393</v>
      </c>
      <c r="GW3" s="101" t="s">
        <v>393</v>
      </c>
      <c r="GX3" s="101" t="s">
        <v>393</v>
      </c>
      <c r="GY3" s="101" t="s">
        <v>393</v>
      </c>
      <c r="GZ3" s="101" t="s">
        <v>393</v>
      </c>
      <c r="HA3" s="101" t="s">
        <v>491</v>
      </c>
      <c r="HB3" s="101" t="s">
        <v>1434</v>
      </c>
      <c r="HC3" s="101" t="s">
        <v>1435</v>
      </c>
      <c r="HD3" s="101" t="s">
        <v>1436</v>
      </c>
      <c r="HE3" s="101" t="s">
        <v>492</v>
      </c>
      <c r="HF3" s="101" t="s">
        <v>1437</v>
      </c>
      <c r="HG3" s="101" t="s">
        <v>268</v>
      </c>
      <c r="HH3" s="101" t="s">
        <v>493</v>
      </c>
      <c r="HI3" s="101" t="s">
        <v>494</v>
      </c>
      <c r="HJ3" s="101" t="s">
        <v>1438</v>
      </c>
      <c r="HK3" s="101" t="s">
        <v>495</v>
      </c>
      <c r="HL3" s="101" t="s">
        <v>1439</v>
      </c>
      <c r="HM3" s="101" t="s">
        <v>1440</v>
      </c>
      <c r="HN3" s="101" t="s">
        <v>1441</v>
      </c>
      <c r="HO3" s="101" t="s">
        <v>1442</v>
      </c>
      <c r="HP3" s="101" t="s">
        <v>210</v>
      </c>
      <c r="HQ3" s="101" t="s">
        <v>496</v>
      </c>
      <c r="HR3" s="101" t="s">
        <v>1443</v>
      </c>
      <c r="HS3" s="101" t="s">
        <v>447</v>
      </c>
      <c r="HT3" s="101" t="s">
        <v>578</v>
      </c>
      <c r="HU3" s="101" t="s">
        <v>490</v>
      </c>
      <c r="HV3" s="101" t="s">
        <v>563</v>
      </c>
      <c r="HW3" s="101" t="s">
        <v>498</v>
      </c>
      <c r="HX3" s="101" t="s">
        <v>497</v>
      </c>
      <c r="HY3" s="101" t="s">
        <v>465</v>
      </c>
    </row>
    <row r="4" spans="1:233">
      <c r="A4" s="103" t="s">
        <v>531</v>
      </c>
      <c r="B4" s="104">
        <v>493</v>
      </c>
      <c r="C4" s="105" t="s">
        <v>532</v>
      </c>
      <c r="D4" s="101">
        <v>0</v>
      </c>
      <c r="E4" s="101">
        <v>0</v>
      </c>
      <c r="F4" s="101">
        <v>0</v>
      </c>
      <c r="G4" s="101">
        <v>0</v>
      </c>
      <c r="H4" s="101">
        <v>0</v>
      </c>
      <c r="I4" s="101">
        <v>0</v>
      </c>
      <c r="J4" s="101">
        <v>0</v>
      </c>
      <c r="K4" s="101">
        <v>0</v>
      </c>
      <c r="L4" s="101">
        <v>0</v>
      </c>
      <c r="M4" s="101">
        <v>0</v>
      </c>
      <c r="N4" s="101">
        <v>0</v>
      </c>
      <c r="O4" s="101">
        <v>0</v>
      </c>
      <c r="P4" s="101">
        <v>0</v>
      </c>
      <c r="Q4" s="101">
        <v>0</v>
      </c>
      <c r="R4" s="101">
        <v>0</v>
      </c>
      <c r="S4" s="101">
        <v>0</v>
      </c>
      <c r="T4" s="101">
        <v>0</v>
      </c>
      <c r="U4" s="101">
        <v>0</v>
      </c>
      <c r="V4" s="101">
        <v>0</v>
      </c>
      <c r="W4" s="101">
        <v>0</v>
      </c>
      <c r="X4" s="101">
        <v>0</v>
      </c>
      <c r="Y4" s="101">
        <v>0</v>
      </c>
      <c r="Z4" s="101">
        <v>0</v>
      </c>
      <c r="AA4" s="101">
        <v>0</v>
      </c>
      <c r="AB4" s="101">
        <v>0</v>
      </c>
      <c r="AC4" s="101">
        <v>0</v>
      </c>
      <c r="AD4" s="101">
        <v>0</v>
      </c>
      <c r="AE4" s="101">
        <v>0</v>
      </c>
      <c r="AF4" s="101">
        <v>0</v>
      </c>
      <c r="AG4" s="101">
        <v>0</v>
      </c>
      <c r="AH4" s="101">
        <v>0</v>
      </c>
      <c r="AI4" s="101">
        <v>0</v>
      </c>
      <c r="AJ4" s="101">
        <v>0</v>
      </c>
      <c r="AK4" s="101">
        <v>0</v>
      </c>
      <c r="AL4" s="101">
        <v>0</v>
      </c>
      <c r="AM4" s="101">
        <v>0</v>
      </c>
      <c r="AN4" s="101">
        <v>0</v>
      </c>
      <c r="AO4" s="101">
        <v>0</v>
      </c>
      <c r="AP4" s="101">
        <v>0</v>
      </c>
      <c r="AQ4" s="101">
        <v>0</v>
      </c>
      <c r="AR4" s="101">
        <v>0</v>
      </c>
      <c r="AS4" s="101">
        <v>0</v>
      </c>
      <c r="AT4" s="101">
        <v>0</v>
      </c>
      <c r="AU4" s="101">
        <v>0</v>
      </c>
      <c r="AV4" s="101">
        <v>0</v>
      </c>
      <c r="AW4" s="101">
        <v>0</v>
      </c>
      <c r="AX4" s="101">
        <v>0</v>
      </c>
      <c r="AY4" s="101">
        <v>0</v>
      </c>
      <c r="AZ4" s="101">
        <v>0</v>
      </c>
      <c r="BA4" s="101">
        <v>0</v>
      </c>
      <c r="BB4" s="101">
        <v>0</v>
      </c>
      <c r="BC4" s="101">
        <v>0</v>
      </c>
      <c r="BD4" s="101">
        <v>0</v>
      </c>
      <c r="BE4" s="101">
        <v>1</v>
      </c>
      <c r="BF4" s="101">
        <v>1</v>
      </c>
      <c r="BG4" s="101">
        <v>1</v>
      </c>
      <c r="BH4" s="101">
        <v>1</v>
      </c>
      <c r="BI4" s="101">
        <v>1</v>
      </c>
      <c r="BJ4" s="101">
        <v>1</v>
      </c>
      <c r="BK4" s="101">
        <v>1</v>
      </c>
      <c r="BL4" s="101">
        <v>1</v>
      </c>
      <c r="BM4" s="101">
        <v>1</v>
      </c>
      <c r="BN4" s="101">
        <v>1</v>
      </c>
      <c r="BO4" s="101">
        <v>1</v>
      </c>
      <c r="BP4" s="101">
        <v>1</v>
      </c>
      <c r="BQ4" s="101">
        <v>1</v>
      </c>
      <c r="BR4" s="101">
        <v>1</v>
      </c>
      <c r="BS4" s="101">
        <v>1</v>
      </c>
      <c r="BT4" s="101">
        <v>1</v>
      </c>
      <c r="BU4" s="101">
        <v>1</v>
      </c>
      <c r="BV4" s="101">
        <v>1</v>
      </c>
      <c r="BW4" s="101">
        <v>1</v>
      </c>
      <c r="BX4" s="101">
        <v>1</v>
      </c>
      <c r="BY4" s="101">
        <v>1</v>
      </c>
      <c r="BZ4" s="101">
        <v>1</v>
      </c>
      <c r="CA4" s="101">
        <v>1</v>
      </c>
      <c r="CB4" s="101">
        <v>1</v>
      </c>
      <c r="CC4" s="101">
        <v>0</v>
      </c>
      <c r="CD4" s="101">
        <v>0</v>
      </c>
      <c r="CE4" s="101">
        <v>0</v>
      </c>
      <c r="CF4" s="101">
        <v>0</v>
      </c>
      <c r="CG4" s="101">
        <v>0</v>
      </c>
      <c r="CH4" s="101">
        <v>0</v>
      </c>
      <c r="CI4" s="101">
        <v>0</v>
      </c>
      <c r="CJ4" s="101">
        <v>0</v>
      </c>
      <c r="CK4" s="101">
        <v>0</v>
      </c>
      <c r="CL4" s="101">
        <v>0</v>
      </c>
      <c r="CM4" s="101">
        <v>0</v>
      </c>
      <c r="CN4" s="101">
        <v>0</v>
      </c>
      <c r="CO4" s="101">
        <v>0</v>
      </c>
      <c r="CP4" s="101">
        <v>0</v>
      </c>
      <c r="CQ4" s="101">
        <v>0</v>
      </c>
      <c r="CR4" s="101">
        <v>1</v>
      </c>
      <c r="CS4" s="101">
        <v>1</v>
      </c>
      <c r="CT4" s="101">
        <v>1</v>
      </c>
      <c r="CU4" s="101">
        <v>0</v>
      </c>
      <c r="CV4" s="101">
        <v>0</v>
      </c>
      <c r="CW4" s="101">
        <v>0</v>
      </c>
      <c r="CX4" s="101">
        <v>0</v>
      </c>
      <c r="CY4" s="101">
        <v>0</v>
      </c>
      <c r="CZ4" s="101">
        <v>1</v>
      </c>
      <c r="DA4" s="101">
        <v>1</v>
      </c>
      <c r="DB4" s="101">
        <v>1</v>
      </c>
      <c r="DC4" s="101">
        <v>1</v>
      </c>
      <c r="DD4" s="101">
        <v>1</v>
      </c>
      <c r="DE4" s="101">
        <v>1</v>
      </c>
      <c r="DF4" s="101">
        <v>1</v>
      </c>
      <c r="DG4" s="101">
        <v>1</v>
      </c>
      <c r="DH4" s="101">
        <v>1</v>
      </c>
      <c r="DI4" s="101">
        <v>1</v>
      </c>
      <c r="DJ4" s="101">
        <v>1</v>
      </c>
      <c r="DK4" s="101">
        <v>1</v>
      </c>
      <c r="DL4" s="101">
        <v>1</v>
      </c>
      <c r="DM4" s="101">
        <v>1</v>
      </c>
      <c r="DN4" s="101">
        <v>1</v>
      </c>
      <c r="DO4" s="101">
        <v>1</v>
      </c>
      <c r="DP4" s="101">
        <v>1</v>
      </c>
      <c r="DQ4" s="101">
        <v>1</v>
      </c>
      <c r="DR4" s="101">
        <v>1</v>
      </c>
      <c r="DS4" s="101">
        <v>1</v>
      </c>
      <c r="DT4" s="101">
        <v>1</v>
      </c>
      <c r="DU4" s="101">
        <v>1</v>
      </c>
      <c r="DV4" s="101">
        <v>1</v>
      </c>
      <c r="DW4" s="101">
        <v>1</v>
      </c>
      <c r="DX4" s="101">
        <v>1</v>
      </c>
      <c r="DY4" s="101">
        <v>1</v>
      </c>
      <c r="DZ4" s="101">
        <v>1</v>
      </c>
      <c r="EA4" s="101">
        <v>1</v>
      </c>
      <c r="EB4" s="101">
        <v>1</v>
      </c>
      <c r="EC4" s="101">
        <v>1</v>
      </c>
      <c r="ED4" s="101">
        <v>1</v>
      </c>
      <c r="EE4" s="101">
        <v>1</v>
      </c>
      <c r="EF4" s="101">
        <v>1</v>
      </c>
      <c r="EG4" s="101">
        <v>1</v>
      </c>
      <c r="EH4" s="101">
        <v>1</v>
      </c>
      <c r="EI4" s="101">
        <v>1</v>
      </c>
      <c r="EJ4" s="101">
        <v>1</v>
      </c>
      <c r="EK4" s="101">
        <v>1</v>
      </c>
      <c r="EL4" s="101">
        <v>1</v>
      </c>
      <c r="EM4" s="101">
        <v>1</v>
      </c>
      <c r="EN4" s="101">
        <v>1</v>
      </c>
      <c r="EO4" s="101">
        <v>1</v>
      </c>
      <c r="EP4" s="101">
        <v>1</v>
      </c>
      <c r="EQ4" s="101">
        <v>1</v>
      </c>
      <c r="ER4" s="101">
        <v>1</v>
      </c>
      <c r="ES4" s="101">
        <v>1</v>
      </c>
      <c r="ET4" s="101">
        <v>1</v>
      </c>
      <c r="EU4" s="101">
        <v>1</v>
      </c>
      <c r="EV4" s="101">
        <v>1</v>
      </c>
      <c r="EW4" s="101">
        <v>1</v>
      </c>
      <c r="EX4" s="101">
        <v>1</v>
      </c>
      <c r="EY4" s="101">
        <v>1</v>
      </c>
      <c r="EZ4" s="101">
        <v>1</v>
      </c>
      <c r="FA4" s="101">
        <v>1</v>
      </c>
      <c r="FB4" s="101">
        <v>1</v>
      </c>
      <c r="FC4" s="101">
        <v>1</v>
      </c>
      <c r="FD4" s="101">
        <v>1</v>
      </c>
      <c r="FE4" s="101">
        <v>1</v>
      </c>
      <c r="FF4" s="101">
        <v>1</v>
      </c>
      <c r="FG4" s="101">
        <v>1</v>
      </c>
      <c r="FH4" s="101">
        <v>1</v>
      </c>
      <c r="FI4" s="101">
        <v>1</v>
      </c>
      <c r="FJ4" s="101">
        <v>1</v>
      </c>
      <c r="FK4" s="101">
        <v>1</v>
      </c>
      <c r="FL4" s="101">
        <v>1</v>
      </c>
      <c r="FM4" s="101">
        <v>1</v>
      </c>
      <c r="FN4" s="101">
        <v>1</v>
      </c>
      <c r="FO4" s="101">
        <v>1</v>
      </c>
      <c r="FP4" s="101">
        <v>1</v>
      </c>
      <c r="FQ4" s="101">
        <v>1</v>
      </c>
      <c r="FR4" s="101">
        <v>1</v>
      </c>
      <c r="FS4" s="101">
        <v>1</v>
      </c>
      <c r="FT4" s="101">
        <v>1</v>
      </c>
      <c r="FU4" s="101">
        <v>1</v>
      </c>
      <c r="FV4" s="101">
        <v>1</v>
      </c>
      <c r="FW4" s="101">
        <v>1</v>
      </c>
      <c r="FX4" s="101">
        <v>1</v>
      </c>
      <c r="FY4" s="101">
        <v>1</v>
      </c>
      <c r="FZ4" s="101">
        <v>1</v>
      </c>
      <c r="GA4" s="101">
        <v>1</v>
      </c>
      <c r="GB4" s="101">
        <v>1</v>
      </c>
      <c r="GC4" s="101">
        <v>1</v>
      </c>
      <c r="GD4" s="101">
        <v>0</v>
      </c>
      <c r="GE4" s="101">
        <v>0</v>
      </c>
      <c r="GF4" s="101">
        <v>0</v>
      </c>
      <c r="GG4" s="101">
        <v>0</v>
      </c>
      <c r="GH4" s="101">
        <v>0</v>
      </c>
      <c r="GI4" s="101">
        <v>0</v>
      </c>
      <c r="GJ4" s="101">
        <v>0</v>
      </c>
      <c r="GK4" s="101">
        <v>0</v>
      </c>
      <c r="GL4" s="101">
        <v>0</v>
      </c>
      <c r="GM4" s="101">
        <v>0</v>
      </c>
      <c r="GN4" s="101">
        <v>0</v>
      </c>
      <c r="GO4" s="101">
        <v>0</v>
      </c>
      <c r="GP4" s="101">
        <v>0</v>
      </c>
      <c r="GQ4" s="101">
        <v>0</v>
      </c>
      <c r="GR4" s="101">
        <v>0</v>
      </c>
      <c r="GS4" s="101">
        <v>0</v>
      </c>
      <c r="GT4" s="101">
        <v>0</v>
      </c>
      <c r="GU4" s="101">
        <v>0</v>
      </c>
      <c r="GV4" s="101">
        <v>0</v>
      </c>
      <c r="GW4" s="101">
        <v>0</v>
      </c>
      <c r="GX4" s="101">
        <v>0</v>
      </c>
      <c r="GY4" s="101">
        <v>0</v>
      </c>
      <c r="GZ4" s="101">
        <v>0</v>
      </c>
      <c r="HA4" s="101">
        <v>0</v>
      </c>
      <c r="HB4" s="101">
        <v>0</v>
      </c>
      <c r="HC4" s="101">
        <v>0</v>
      </c>
      <c r="HD4" s="101">
        <v>0</v>
      </c>
      <c r="HE4" s="101">
        <v>0</v>
      </c>
      <c r="HF4" s="101">
        <v>0</v>
      </c>
      <c r="HG4" s="101">
        <v>0</v>
      </c>
      <c r="HH4" s="101">
        <v>0</v>
      </c>
      <c r="HI4" s="101">
        <v>0</v>
      </c>
      <c r="HJ4" s="101">
        <v>0</v>
      </c>
      <c r="HK4" s="101">
        <v>0</v>
      </c>
      <c r="HL4" s="101">
        <v>0</v>
      </c>
      <c r="HM4" s="101">
        <v>0</v>
      </c>
      <c r="HN4" s="101">
        <v>0</v>
      </c>
      <c r="HO4" s="101">
        <v>0</v>
      </c>
      <c r="HP4" s="101">
        <v>0</v>
      </c>
      <c r="HQ4" s="101">
        <v>0</v>
      </c>
      <c r="HR4" s="101">
        <v>0</v>
      </c>
      <c r="HS4" s="101">
        <v>0</v>
      </c>
      <c r="HT4" s="101">
        <v>0</v>
      </c>
      <c r="HU4" s="101">
        <v>0</v>
      </c>
      <c r="HV4" s="101">
        <v>0</v>
      </c>
      <c r="HW4" s="101">
        <v>0</v>
      </c>
      <c r="HX4" s="101">
        <v>0</v>
      </c>
      <c r="HY4" s="101">
        <v>0</v>
      </c>
    </row>
    <row r="5" spans="1:233">
      <c r="A5" s="297" t="s">
        <v>531</v>
      </c>
      <c r="B5" s="298">
        <v>403</v>
      </c>
      <c r="C5" s="299" t="s">
        <v>394</v>
      </c>
      <c r="D5" s="300" t="s">
        <v>395</v>
      </c>
      <c r="E5" s="300" t="s">
        <v>395</v>
      </c>
      <c r="F5" s="300" t="s">
        <v>395</v>
      </c>
      <c r="G5" s="300" t="s">
        <v>395</v>
      </c>
      <c r="H5" s="300" t="s">
        <v>395</v>
      </c>
      <c r="I5" s="300" t="s">
        <v>395</v>
      </c>
      <c r="J5" s="300" t="s">
        <v>395</v>
      </c>
      <c r="K5" s="300" t="s">
        <v>395</v>
      </c>
      <c r="L5" s="300" t="s">
        <v>395</v>
      </c>
      <c r="M5" s="300" t="s">
        <v>395</v>
      </c>
      <c r="N5" s="300" t="s">
        <v>395</v>
      </c>
      <c r="O5" s="300" t="s">
        <v>395</v>
      </c>
      <c r="P5" s="300" t="s">
        <v>395</v>
      </c>
      <c r="Q5" s="300" t="s">
        <v>395</v>
      </c>
      <c r="R5" s="300" t="s">
        <v>395</v>
      </c>
      <c r="S5" s="300" t="s">
        <v>395</v>
      </c>
      <c r="T5" s="300" t="s">
        <v>395</v>
      </c>
      <c r="U5" s="300" t="s">
        <v>395</v>
      </c>
      <c r="V5" s="300" t="s">
        <v>395</v>
      </c>
      <c r="W5" s="300" t="s">
        <v>395</v>
      </c>
      <c r="X5" s="300" t="s">
        <v>395</v>
      </c>
      <c r="Y5" s="300" t="s">
        <v>395</v>
      </c>
      <c r="Z5" s="300" t="s">
        <v>395</v>
      </c>
      <c r="AA5" s="300" t="s">
        <v>395</v>
      </c>
      <c r="AB5" s="300" t="s">
        <v>395</v>
      </c>
      <c r="AC5" s="300" t="s">
        <v>395</v>
      </c>
      <c r="AD5" s="300" t="s">
        <v>395</v>
      </c>
      <c r="AE5" s="300" t="s">
        <v>395</v>
      </c>
      <c r="AF5" s="300" t="s">
        <v>395</v>
      </c>
      <c r="AG5" s="300" t="s">
        <v>395</v>
      </c>
      <c r="AH5" s="300" t="s">
        <v>395</v>
      </c>
      <c r="AI5" s="300" t="s">
        <v>395</v>
      </c>
      <c r="AJ5" s="300" t="s">
        <v>395</v>
      </c>
      <c r="AK5" s="300" t="s">
        <v>395</v>
      </c>
      <c r="AL5" s="300" t="s">
        <v>395</v>
      </c>
      <c r="AM5" s="300" t="s">
        <v>395</v>
      </c>
      <c r="AN5" s="300" t="s">
        <v>396</v>
      </c>
      <c r="AO5" s="300" t="s">
        <v>396</v>
      </c>
      <c r="AP5" s="300" t="s">
        <v>396</v>
      </c>
      <c r="AQ5" s="300" t="s">
        <v>396</v>
      </c>
      <c r="AR5" s="300" t="s">
        <v>396</v>
      </c>
      <c r="AS5" s="300" t="s">
        <v>396</v>
      </c>
      <c r="AT5" s="300" t="s">
        <v>396</v>
      </c>
      <c r="AU5" s="300" t="s">
        <v>396</v>
      </c>
      <c r="AV5" s="300" t="s">
        <v>396</v>
      </c>
      <c r="AW5" s="300" t="s">
        <v>396</v>
      </c>
      <c r="AX5" s="300" t="s">
        <v>396</v>
      </c>
      <c r="AY5" s="300" t="s">
        <v>396</v>
      </c>
      <c r="AZ5" s="300" t="s">
        <v>396</v>
      </c>
      <c r="BA5" s="300" t="s">
        <v>396</v>
      </c>
      <c r="BB5" s="300" t="s">
        <v>396</v>
      </c>
      <c r="BC5" s="300" t="s">
        <v>396</v>
      </c>
      <c r="BD5" s="300" t="s">
        <v>396</v>
      </c>
      <c r="BE5" s="300" t="s">
        <v>396</v>
      </c>
      <c r="BF5" s="300" t="s">
        <v>396</v>
      </c>
      <c r="BG5" s="300" t="s">
        <v>396</v>
      </c>
      <c r="BH5" s="300" t="s">
        <v>396</v>
      </c>
      <c r="BI5" s="300" t="s">
        <v>396</v>
      </c>
      <c r="BJ5" s="300" t="s">
        <v>396</v>
      </c>
      <c r="BK5" s="300" t="s">
        <v>396</v>
      </c>
      <c r="BL5" s="300" t="s">
        <v>396</v>
      </c>
      <c r="BM5" s="300" t="s">
        <v>396</v>
      </c>
      <c r="BN5" s="300" t="s">
        <v>396</v>
      </c>
      <c r="BO5" s="300" t="s">
        <v>396</v>
      </c>
      <c r="BP5" s="300" t="s">
        <v>396</v>
      </c>
      <c r="BQ5" s="300" t="s">
        <v>396</v>
      </c>
      <c r="BR5" s="300" t="s">
        <v>396</v>
      </c>
      <c r="BS5" s="300" t="s">
        <v>396</v>
      </c>
      <c r="BT5" s="300" t="s">
        <v>396</v>
      </c>
      <c r="BU5" s="300" t="s">
        <v>396</v>
      </c>
      <c r="BV5" s="300" t="s">
        <v>396</v>
      </c>
      <c r="BW5" s="300" t="s">
        <v>396</v>
      </c>
      <c r="BX5" s="300" t="s">
        <v>396</v>
      </c>
      <c r="BY5" s="300" t="s">
        <v>396</v>
      </c>
      <c r="BZ5" s="300" t="s">
        <v>396</v>
      </c>
      <c r="CA5" s="300" t="s">
        <v>396</v>
      </c>
      <c r="CB5" s="300" t="s">
        <v>396</v>
      </c>
      <c r="CC5" s="300" t="s">
        <v>396</v>
      </c>
      <c r="CD5" s="300" t="s">
        <v>396</v>
      </c>
      <c r="CE5" s="300" t="s">
        <v>396</v>
      </c>
      <c r="CF5" s="300" t="s">
        <v>396</v>
      </c>
      <c r="CG5" s="300" t="s">
        <v>396</v>
      </c>
      <c r="CH5" s="300" t="s">
        <v>396</v>
      </c>
      <c r="CI5" s="300" t="s">
        <v>395</v>
      </c>
      <c r="CJ5" s="300" t="s">
        <v>395</v>
      </c>
      <c r="CK5" s="300" t="s">
        <v>395</v>
      </c>
      <c r="CL5" s="300" t="s">
        <v>395</v>
      </c>
      <c r="CM5" s="300" t="s">
        <v>395</v>
      </c>
      <c r="CN5" s="300" t="s">
        <v>395</v>
      </c>
      <c r="CO5" s="300" t="s">
        <v>395</v>
      </c>
      <c r="CP5" s="300" t="s">
        <v>395</v>
      </c>
      <c r="CQ5" s="300" t="s">
        <v>395</v>
      </c>
      <c r="CR5" s="300" t="s">
        <v>522</v>
      </c>
      <c r="CS5" s="300" t="s">
        <v>522</v>
      </c>
      <c r="CT5" s="300" t="s">
        <v>522</v>
      </c>
      <c r="CU5" s="300" t="s">
        <v>395</v>
      </c>
      <c r="CV5" s="300" t="s">
        <v>395</v>
      </c>
      <c r="CW5" s="300" t="s">
        <v>395</v>
      </c>
      <c r="CX5" s="300" t="s">
        <v>396</v>
      </c>
      <c r="CY5" s="300" t="s">
        <v>396</v>
      </c>
      <c r="CZ5" s="300" t="s">
        <v>396</v>
      </c>
      <c r="DA5" s="300" t="s">
        <v>396</v>
      </c>
      <c r="DB5" s="300" t="s">
        <v>396</v>
      </c>
      <c r="DC5" s="300" t="s">
        <v>396</v>
      </c>
      <c r="DD5" s="300" t="s">
        <v>396</v>
      </c>
      <c r="DE5" s="300" t="s">
        <v>396</v>
      </c>
      <c r="DF5" s="300" t="s">
        <v>396</v>
      </c>
      <c r="DG5" s="300" t="s">
        <v>396</v>
      </c>
      <c r="DH5" s="300" t="s">
        <v>396</v>
      </c>
      <c r="DI5" s="300" t="s">
        <v>396</v>
      </c>
      <c r="DJ5" s="300" t="s">
        <v>396</v>
      </c>
      <c r="DK5" s="300" t="s">
        <v>522</v>
      </c>
      <c r="DL5" s="300" t="s">
        <v>396</v>
      </c>
      <c r="DM5" s="300" t="s">
        <v>396</v>
      </c>
      <c r="DN5" s="300" t="s">
        <v>396</v>
      </c>
      <c r="DO5" s="300" t="s">
        <v>396</v>
      </c>
      <c r="DP5" s="300" t="s">
        <v>396</v>
      </c>
      <c r="DQ5" s="300" t="s">
        <v>396</v>
      </c>
      <c r="DR5" s="466" t="s">
        <v>396</v>
      </c>
      <c r="DS5" s="466" t="s">
        <v>396</v>
      </c>
      <c r="DT5" s="300" t="s">
        <v>522</v>
      </c>
      <c r="DU5" s="300" t="s">
        <v>522</v>
      </c>
      <c r="DV5" s="300" t="s">
        <v>522</v>
      </c>
      <c r="DW5" s="300" t="s">
        <v>522</v>
      </c>
      <c r="DX5" s="300" t="s">
        <v>522</v>
      </c>
      <c r="DY5" s="300" t="s">
        <v>522</v>
      </c>
      <c r="DZ5" s="300" t="s">
        <v>522</v>
      </c>
      <c r="EA5" s="300" t="s">
        <v>522</v>
      </c>
      <c r="EB5" s="300" t="s">
        <v>522</v>
      </c>
      <c r="EC5" s="300" t="s">
        <v>522</v>
      </c>
      <c r="ED5" s="300" t="s">
        <v>522</v>
      </c>
      <c r="EE5" s="300" t="s">
        <v>522</v>
      </c>
      <c r="EF5" s="300" t="s">
        <v>522</v>
      </c>
      <c r="EG5" s="300" t="s">
        <v>522</v>
      </c>
      <c r="EH5" s="300" t="s">
        <v>522</v>
      </c>
      <c r="EI5" s="300" t="s">
        <v>522</v>
      </c>
      <c r="EJ5" s="300" t="s">
        <v>522</v>
      </c>
      <c r="EK5" s="300" t="s">
        <v>522</v>
      </c>
      <c r="EL5" s="300" t="s">
        <v>522</v>
      </c>
      <c r="EM5" s="300" t="s">
        <v>522</v>
      </c>
      <c r="EN5" s="300" t="s">
        <v>522</v>
      </c>
      <c r="EO5" s="300" t="s">
        <v>522</v>
      </c>
      <c r="EP5" s="300" t="s">
        <v>522</v>
      </c>
      <c r="EQ5" s="300" t="s">
        <v>522</v>
      </c>
      <c r="ER5" s="300" t="s">
        <v>522</v>
      </c>
      <c r="ES5" s="300" t="s">
        <v>522</v>
      </c>
      <c r="ET5" s="300" t="s">
        <v>522</v>
      </c>
      <c r="EU5" s="300" t="s">
        <v>522</v>
      </c>
      <c r="EV5" s="300" t="s">
        <v>522</v>
      </c>
      <c r="EW5" s="300" t="s">
        <v>522</v>
      </c>
      <c r="EX5" s="300" t="s">
        <v>522</v>
      </c>
      <c r="EY5" s="300" t="s">
        <v>522</v>
      </c>
      <c r="EZ5" s="300" t="s">
        <v>522</v>
      </c>
      <c r="FA5" s="300" t="s">
        <v>522</v>
      </c>
      <c r="FB5" s="300" t="s">
        <v>522</v>
      </c>
      <c r="FC5" s="300" t="s">
        <v>522</v>
      </c>
      <c r="FD5" s="300" t="s">
        <v>522</v>
      </c>
      <c r="FE5" s="300" t="s">
        <v>522</v>
      </c>
      <c r="FF5" s="300" t="s">
        <v>522</v>
      </c>
      <c r="FG5" s="300" t="s">
        <v>522</v>
      </c>
      <c r="FH5" s="300" t="s">
        <v>522</v>
      </c>
      <c r="FI5" s="300" t="s">
        <v>522</v>
      </c>
      <c r="FJ5" s="300" t="s">
        <v>522</v>
      </c>
      <c r="FK5" s="300" t="s">
        <v>522</v>
      </c>
      <c r="FL5" s="300" t="s">
        <v>522</v>
      </c>
      <c r="FM5" s="300" t="s">
        <v>522</v>
      </c>
      <c r="FN5" s="300" t="s">
        <v>522</v>
      </c>
      <c r="FO5" s="300" t="s">
        <v>522</v>
      </c>
      <c r="FP5" s="300" t="s">
        <v>522</v>
      </c>
      <c r="FQ5" s="300" t="s">
        <v>522</v>
      </c>
      <c r="FR5" s="300" t="s">
        <v>522</v>
      </c>
      <c r="FS5" s="300" t="s">
        <v>522</v>
      </c>
      <c r="FT5" s="300" t="s">
        <v>522</v>
      </c>
      <c r="FU5" s="300" t="s">
        <v>522</v>
      </c>
      <c r="FV5" s="300" t="s">
        <v>522</v>
      </c>
      <c r="FW5" s="300" t="s">
        <v>522</v>
      </c>
      <c r="FX5" s="300" t="s">
        <v>522</v>
      </c>
      <c r="FY5" s="300" t="s">
        <v>522</v>
      </c>
      <c r="FZ5" s="300" t="s">
        <v>522</v>
      </c>
      <c r="GA5" s="300" t="s">
        <v>522</v>
      </c>
      <c r="GB5" s="300" t="s">
        <v>522</v>
      </c>
      <c r="GC5" s="300" t="s">
        <v>522</v>
      </c>
      <c r="GD5" s="300" t="s">
        <v>678</v>
      </c>
      <c r="GE5" s="300" t="s">
        <v>678</v>
      </c>
      <c r="GF5" s="300" t="s">
        <v>678</v>
      </c>
      <c r="GG5" s="300" t="s">
        <v>678</v>
      </c>
      <c r="GH5" s="300" t="s">
        <v>678</v>
      </c>
      <c r="GI5" s="300" t="s">
        <v>678</v>
      </c>
      <c r="GJ5" s="300" t="s">
        <v>678</v>
      </c>
      <c r="GK5" s="300" t="s">
        <v>678</v>
      </c>
      <c r="GL5" s="300" t="s">
        <v>678</v>
      </c>
      <c r="GM5" s="300" t="s">
        <v>678</v>
      </c>
      <c r="GN5" s="300" t="s">
        <v>678</v>
      </c>
      <c r="GO5" s="300" t="s">
        <v>678</v>
      </c>
      <c r="GP5" s="300" t="s">
        <v>678</v>
      </c>
      <c r="GQ5" s="300" t="s">
        <v>678</v>
      </c>
      <c r="GR5" s="300" t="s">
        <v>678</v>
      </c>
      <c r="GS5" s="300" t="s">
        <v>678</v>
      </c>
      <c r="GT5" s="300" t="s">
        <v>678</v>
      </c>
      <c r="GU5" s="300" t="s">
        <v>678</v>
      </c>
      <c r="GV5" s="300" t="s">
        <v>678</v>
      </c>
      <c r="GW5" s="300" t="s">
        <v>678</v>
      </c>
      <c r="GX5" s="300" t="s">
        <v>678</v>
      </c>
      <c r="GY5" s="300" t="s">
        <v>678</v>
      </c>
      <c r="GZ5" s="300" t="s">
        <v>678</v>
      </c>
      <c r="HA5" s="300" t="s">
        <v>678</v>
      </c>
      <c r="HB5" s="300" t="s">
        <v>678</v>
      </c>
      <c r="HC5" s="300" t="s">
        <v>678</v>
      </c>
      <c r="HD5" s="300" t="s">
        <v>678</v>
      </c>
      <c r="HE5" s="300" t="s">
        <v>678</v>
      </c>
      <c r="HF5" s="300" t="s">
        <v>678</v>
      </c>
      <c r="HG5" s="300" t="s">
        <v>678</v>
      </c>
      <c r="HH5" s="300" t="s">
        <v>678</v>
      </c>
      <c r="HI5" s="300" t="s">
        <v>678</v>
      </c>
      <c r="HJ5" s="300" t="s">
        <v>678</v>
      </c>
      <c r="HK5" s="300" t="s">
        <v>678</v>
      </c>
      <c r="HL5" s="300" t="s">
        <v>678</v>
      </c>
      <c r="HM5" s="300" t="s">
        <v>678</v>
      </c>
      <c r="HN5" s="300" t="s">
        <v>678</v>
      </c>
      <c r="HO5" s="300" t="s">
        <v>678</v>
      </c>
      <c r="HP5" s="300" t="s">
        <v>678</v>
      </c>
      <c r="HQ5" s="300" t="s">
        <v>678</v>
      </c>
      <c r="HR5" s="300" t="s">
        <v>678</v>
      </c>
      <c r="HS5" s="300" t="s">
        <v>678</v>
      </c>
      <c r="HT5" s="300" t="s">
        <v>678</v>
      </c>
      <c r="HU5" s="300" t="s">
        <v>678</v>
      </c>
      <c r="HV5" s="300" t="s">
        <v>678</v>
      </c>
      <c r="HW5" s="300" t="s">
        <v>678</v>
      </c>
      <c r="HX5" s="300" t="s">
        <v>678</v>
      </c>
      <c r="HY5" s="300" t="s">
        <v>678</v>
      </c>
    </row>
    <row r="6" spans="1:233" outlineLevel="1">
      <c r="A6" s="297" t="s">
        <v>533</v>
      </c>
      <c r="B6" s="301">
        <v>201</v>
      </c>
      <c r="C6" s="173" t="s">
        <v>529</v>
      </c>
      <c r="D6" s="107">
        <v>1</v>
      </c>
      <c r="E6" s="107">
        <v>1</v>
      </c>
      <c r="F6" s="107">
        <v>1</v>
      </c>
      <c r="G6" s="107">
        <v>1</v>
      </c>
      <c r="H6" s="107">
        <v>5</v>
      </c>
      <c r="I6" s="107">
        <v>1</v>
      </c>
      <c r="J6" s="107">
        <v>1</v>
      </c>
      <c r="K6" s="107">
        <v>1</v>
      </c>
      <c r="L6" s="107">
        <v>1</v>
      </c>
      <c r="M6" s="107">
        <v>1</v>
      </c>
      <c r="N6" s="107">
        <v>1</v>
      </c>
      <c r="O6" s="107">
        <v>1</v>
      </c>
      <c r="P6" s="107">
        <v>1</v>
      </c>
      <c r="Q6" s="107">
        <v>1</v>
      </c>
      <c r="R6" s="107">
        <v>1</v>
      </c>
      <c r="S6" s="107">
        <v>1</v>
      </c>
      <c r="T6" s="107">
        <v>1</v>
      </c>
      <c r="U6" s="107">
        <v>1</v>
      </c>
      <c r="V6" s="107">
        <v>1</v>
      </c>
      <c r="W6" s="107">
        <v>1</v>
      </c>
      <c r="X6" s="107">
        <v>1</v>
      </c>
      <c r="Y6" s="107">
        <v>1</v>
      </c>
      <c r="Z6" s="107">
        <v>1</v>
      </c>
      <c r="AA6" s="107">
        <v>1</v>
      </c>
      <c r="AB6" s="107">
        <v>1</v>
      </c>
      <c r="AC6" s="107">
        <v>1</v>
      </c>
      <c r="AD6" s="107">
        <v>1</v>
      </c>
      <c r="AE6" s="107">
        <v>1</v>
      </c>
      <c r="AF6" s="107">
        <v>1</v>
      </c>
      <c r="AG6" s="107">
        <v>1</v>
      </c>
      <c r="AH6" s="107">
        <v>1</v>
      </c>
      <c r="AI6" s="107">
        <v>1</v>
      </c>
      <c r="AJ6" s="107">
        <v>1</v>
      </c>
      <c r="AK6" s="107">
        <v>1</v>
      </c>
      <c r="AL6" s="107">
        <v>1</v>
      </c>
      <c r="AM6" s="107">
        <v>1</v>
      </c>
      <c r="AN6" s="107">
        <v>1</v>
      </c>
      <c r="AO6" s="107">
        <v>1</v>
      </c>
      <c r="AP6" s="107">
        <v>1</v>
      </c>
      <c r="AQ6" s="107">
        <v>1</v>
      </c>
      <c r="AR6" s="107">
        <v>1</v>
      </c>
      <c r="AS6" s="107">
        <v>1</v>
      </c>
      <c r="AT6" s="107">
        <v>1</v>
      </c>
      <c r="AU6" s="107">
        <v>1</v>
      </c>
      <c r="AV6" s="107">
        <v>1</v>
      </c>
      <c r="AW6" s="107">
        <v>1</v>
      </c>
      <c r="AX6" s="107">
        <v>1</v>
      </c>
      <c r="AY6" s="107">
        <v>1</v>
      </c>
      <c r="AZ6" s="107">
        <v>1</v>
      </c>
      <c r="BA6" s="107">
        <v>1</v>
      </c>
      <c r="BB6" s="107">
        <v>1</v>
      </c>
      <c r="BC6" s="107">
        <v>1</v>
      </c>
      <c r="BD6" s="107">
        <v>1</v>
      </c>
      <c r="BE6" s="107">
        <v>1</v>
      </c>
      <c r="BF6" s="107">
        <v>1</v>
      </c>
      <c r="BG6" s="107">
        <v>1</v>
      </c>
      <c r="BH6" s="107">
        <v>1</v>
      </c>
      <c r="BI6" s="107">
        <v>1</v>
      </c>
      <c r="BJ6" s="107">
        <v>1</v>
      </c>
      <c r="BK6" s="107">
        <v>1</v>
      </c>
      <c r="BL6" s="107">
        <v>1</v>
      </c>
      <c r="BM6" s="107">
        <v>1</v>
      </c>
      <c r="BN6" s="107">
        <v>1</v>
      </c>
      <c r="BO6" s="107">
        <v>1</v>
      </c>
      <c r="BP6" s="107">
        <v>1</v>
      </c>
      <c r="BQ6" s="107">
        <v>1</v>
      </c>
      <c r="BR6" s="107">
        <v>1</v>
      </c>
      <c r="BS6" s="107">
        <v>1</v>
      </c>
      <c r="BT6" s="107">
        <v>1</v>
      </c>
      <c r="BU6" s="107">
        <v>1</v>
      </c>
      <c r="BV6" s="107">
        <v>1</v>
      </c>
      <c r="BW6" s="107">
        <v>1</v>
      </c>
      <c r="BX6" s="107">
        <v>1</v>
      </c>
      <c r="BY6" s="107">
        <v>1</v>
      </c>
      <c r="BZ6" s="107">
        <v>1</v>
      </c>
      <c r="CA6" s="107">
        <v>1</v>
      </c>
      <c r="CB6" s="107">
        <v>1</v>
      </c>
      <c r="CC6" s="107">
        <v>1</v>
      </c>
      <c r="CD6" s="107">
        <v>1</v>
      </c>
      <c r="CE6" s="107">
        <v>1</v>
      </c>
      <c r="CF6" s="107">
        <v>1</v>
      </c>
      <c r="CG6" s="107">
        <v>1</v>
      </c>
      <c r="CH6" s="107">
        <v>1</v>
      </c>
      <c r="CI6" s="107">
        <v>1</v>
      </c>
      <c r="CJ6" s="107">
        <v>1</v>
      </c>
      <c r="CK6" s="107">
        <v>1</v>
      </c>
      <c r="CL6" s="107">
        <v>1</v>
      </c>
      <c r="CM6" s="107">
        <v>1</v>
      </c>
      <c r="CN6" s="107">
        <v>1</v>
      </c>
      <c r="CO6" s="107">
        <v>1</v>
      </c>
      <c r="CP6" s="107">
        <v>1</v>
      </c>
      <c r="CQ6" s="107">
        <v>1</v>
      </c>
      <c r="CR6" s="107">
        <v>1</v>
      </c>
      <c r="CS6" s="107">
        <v>1</v>
      </c>
      <c r="CT6" s="107">
        <v>1</v>
      </c>
      <c r="CU6" s="107">
        <v>1</v>
      </c>
      <c r="CV6" s="107">
        <v>1</v>
      </c>
      <c r="CW6" s="107">
        <v>1</v>
      </c>
      <c r="CX6" s="107">
        <v>1</v>
      </c>
      <c r="CY6" s="107">
        <v>1</v>
      </c>
      <c r="CZ6" s="107">
        <v>1</v>
      </c>
      <c r="DA6" s="107">
        <v>1</v>
      </c>
      <c r="DB6" s="107">
        <v>1</v>
      </c>
      <c r="DC6" s="107">
        <v>1</v>
      </c>
      <c r="DD6" s="107">
        <v>1</v>
      </c>
      <c r="DE6" s="107">
        <v>1</v>
      </c>
      <c r="DF6" s="107">
        <v>1</v>
      </c>
      <c r="DG6" s="107">
        <v>1</v>
      </c>
      <c r="DH6" s="107">
        <v>1</v>
      </c>
      <c r="DI6" s="107">
        <v>1</v>
      </c>
      <c r="DJ6" s="107">
        <v>1</v>
      </c>
      <c r="DK6" s="107">
        <v>1</v>
      </c>
      <c r="DL6" s="107">
        <v>1</v>
      </c>
      <c r="DM6" s="107">
        <v>1</v>
      </c>
      <c r="DN6" s="107">
        <v>1</v>
      </c>
      <c r="DO6" s="107">
        <v>1</v>
      </c>
      <c r="DP6" s="107">
        <v>1</v>
      </c>
      <c r="DQ6" s="107">
        <v>1</v>
      </c>
      <c r="DR6" s="107">
        <v>1</v>
      </c>
      <c r="DS6" s="107">
        <v>1</v>
      </c>
      <c r="DT6" s="107">
        <v>1</v>
      </c>
      <c r="DU6" s="107">
        <v>1</v>
      </c>
      <c r="DV6" s="107">
        <v>1</v>
      </c>
      <c r="DW6" s="107">
        <v>1</v>
      </c>
      <c r="DX6" s="107">
        <v>1</v>
      </c>
      <c r="DY6" s="107">
        <v>1</v>
      </c>
      <c r="DZ6" s="107">
        <v>1</v>
      </c>
      <c r="EA6" s="107">
        <v>1</v>
      </c>
      <c r="EB6" s="107">
        <v>1</v>
      </c>
      <c r="EC6" s="107">
        <v>1</v>
      </c>
      <c r="ED6" s="107">
        <v>1</v>
      </c>
      <c r="EE6" s="107">
        <v>1</v>
      </c>
      <c r="EF6" s="107">
        <v>1</v>
      </c>
      <c r="EG6" s="107">
        <v>1</v>
      </c>
      <c r="EH6" s="107">
        <v>1</v>
      </c>
      <c r="EI6" s="107">
        <v>1</v>
      </c>
      <c r="EJ6" s="107">
        <v>1</v>
      </c>
      <c r="EK6" s="107">
        <v>1</v>
      </c>
      <c r="EL6" s="107">
        <v>1</v>
      </c>
      <c r="EM6" s="107">
        <v>1</v>
      </c>
      <c r="EN6" s="107">
        <v>1</v>
      </c>
      <c r="EO6" s="107">
        <v>1</v>
      </c>
      <c r="EP6" s="107">
        <v>1</v>
      </c>
      <c r="EQ6" s="107">
        <v>1</v>
      </c>
      <c r="ER6" s="107">
        <v>1</v>
      </c>
      <c r="ES6" s="107">
        <v>1</v>
      </c>
      <c r="ET6" s="107">
        <v>1</v>
      </c>
      <c r="EU6" s="107">
        <v>1</v>
      </c>
      <c r="EV6" s="107">
        <v>1</v>
      </c>
      <c r="EW6" s="107">
        <v>1</v>
      </c>
      <c r="EX6" s="107">
        <v>1</v>
      </c>
      <c r="EY6" s="107">
        <v>1</v>
      </c>
      <c r="EZ6" s="107">
        <v>1</v>
      </c>
      <c r="FA6" s="107">
        <v>1</v>
      </c>
      <c r="FB6" s="107">
        <v>1</v>
      </c>
      <c r="FC6" s="107">
        <v>1</v>
      </c>
      <c r="FD6" s="107">
        <v>1</v>
      </c>
      <c r="FE6" s="107">
        <v>1</v>
      </c>
      <c r="FF6" s="107">
        <v>1</v>
      </c>
      <c r="FG6" s="107">
        <v>1</v>
      </c>
      <c r="FH6" s="107">
        <v>1</v>
      </c>
      <c r="FI6" s="107">
        <v>1</v>
      </c>
      <c r="FJ6" s="107">
        <v>1</v>
      </c>
      <c r="FK6" s="107">
        <v>1</v>
      </c>
      <c r="FL6" s="107">
        <v>1</v>
      </c>
      <c r="FM6" s="107">
        <v>1</v>
      </c>
      <c r="FN6" s="107">
        <v>1</v>
      </c>
      <c r="FO6" s="107">
        <v>1</v>
      </c>
      <c r="FP6" s="107">
        <v>1</v>
      </c>
      <c r="FQ6" s="107">
        <v>1</v>
      </c>
      <c r="FR6" s="107">
        <v>1</v>
      </c>
      <c r="FS6" s="107">
        <v>1</v>
      </c>
      <c r="FT6" s="107">
        <v>1</v>
      </c>
      <c r="FU6" s="107">
        <v>1</v>
      </c>
      <c r="FV6" s="107">
        <v>1</v>
      </c>
      <c r="FW6" s="107">
        <v>1</v>
      </c>
      <c r="FX6" s="107">
        <v>1</v>
      </c>
      <c r="FY6" s="107">
        <v>1</v>
      </c>
      <c r="FZ6" s="107">
        <v>1</v>
      </c>
      <c r="GA6" s="107">
        <v>1</v>
      </c>
      <c r="GB6" s="107">
        <v>1</v>
      </c>
      <c r="GC6" s="107">
        <v>1</v>
      </c>
      <c r="GD6" s="107">
        <v>1</v>
      </c>
      <c r="GE6" s="107">
        <v>1</v>
      </c>
      <c r="GF6" s="107">
        <v>1</v>
      </c>
      <c r="GG6" s="107">
        <v>1</v>
      </c>
      <c r="GH6" s="107">
        <v>1</v>
      </c>
      <c r="GI6" s="107">
        <v>1</v>
      </c>
      <c r="GJ6" s="107">
        <v>1</v>
      </c>
      <c r="GK6" s="107">
        <v>1</v>
      </c>
      <c r="GL6" s="107">
        <v>1</v>
      </c>
      <c r="GM6" s="107">
        <v>1</v>
      </c>
      <c r="GN6" s="107">
        <v>1</v>
      </c>
      <c r="GO6" s="107">
        <v>1</v>
      </c>
      <c r="GP6" s="107">
        <v>1</v>
      </c>
      <c r="GQ6" s="107">
        <v>1</v>
      </c>
      <c r="GR6" s="107">
        <v>1</v>
      </c>
      <c r="GS6" s="107">
        <v>1</v>
      </c>
      <c r="GT6" s="107">
        <v>1</v>
      </c>
      <c r="GU6" s="107">
        <v>1</v>
      </c>
      <c r="GV6" s="107">
        <v>1</v>
      </c>
      <c r="GW6" s="107">
        <v>1</v>
      </c>
      <c r="GX6" s="107">
        <v>1</v>
      </c>
      <c r="GY6" s="107">
        <v>1</v>
      </c>
      <c r="GZ6" s="107">
        <v>1</v>
      </c>
      <c r="HA6" s="107">
        <v>1</v>
      </c>
      <c r="HB6" s="107">
        <v>1</v>
      </c>
      <c r="HC6" s="107">
        <v>1</v>
      </c>
      <c r="HD6" s="107">
        <v>1</v>
      </c>
      <c r="HE6" s="107">
        <v>1</v>
      </c>
      <c r="HF6" s="107">
        <v>1</v>
      </c>
      <c r="HG6" s="107">
        <v>1</v>
      </c>
      <c r="HH6" s="107">
        <v>1</v>
      </c>
      <c r="HI6" s="107">
        <v>1</v>
      </c>
      <c r="HJ6" s="107">
        <v>1</v>
      </c>
      <c r="HK6" s="107">
        <v>1</v>
      </c>
      <c r="HL6" s="107">
        <v>1</v>
      </c>
      <c r="HM6" s="107">
        <v>1</v>
      </c>
      <c r="HN6" s="107">
        <v>1</v>
      </c>
      <c r="HO6" s="107">
        <v>1</v>
      </c>
      <c r="HP6" s="107">
        <v>1</v>
      </c>
      <c r="HQ6" s="107">
        <v>1</v>
      </c>
      <c r="HR6" s="107">
        <v>1</v>
      </c>
      <c r="HS6" s="107">
        <v>1</v>
      </c>
      <c r="HT6" s="107">
        <v>1</v>
      </c>
      <c r="HU6" s="107">
        <v>1</v>
      </c>
      <c r="HV6" s="107">
        <v>1</v>
      </c>
      <c r="HW6" s="107">
        <v>1</v>
      </c>
      <c r="HX6" s="107">
        <v>1</v>
      </c>
      <c r="HY6" s="107">
        <v>1</v>
      </c>
    </row>
    <row r="7" spans="1:233" outlineLevel="1">
      <c r="A7" s="297"/>
      <c r="B7" s="301">
        <v>202</v>
      </c>
      <c r="C7" s="173" t="s">
        <v>534</v>
      </c>
      <c r="D7" s="302">
        <v>1</v>
      </c>
      <c r="E7" s="302">
        <v>1</v>
      </c>
      <c r="F7" s="302">
        <v>1</v>
      </c>
      <c r="G7" s="302">
        <v>1</v>
      </c>
      <c r="H7" s="302">
        <v>1</v>
      </c>
      <c r="I7" s="302">
        <v>1</v>
      </c>
      <c r="J7" s="302">
        <v>1</v>
      </c>
      <c r="K7" s="302">
        <v>1</v>
      </c>
      <c r="L7" s="302">
        <v>1</v>
      </c>
      <c r="M7" s="302">
        <v>1</v>
      </c>
      <c r="N7" s="302">
        <v>1</v>
      </c>
      <c r="O7" s="302">
        <v>1</v>
      </c>
      <c r="P7" s="302">
        <v>1</v>
      </c>
      <c r="Q7" s="302">
        <v>1</v>
      </c>
      <c r="R7" s="302">
        <v>1</v>
      </c>
      <c r="S7" s="302">
        <v>1</v>
      </c>
      <c r="T7" s="302">
        <v>1</v>
      </c>
      <c r="U7" s="302">
        <v>1</v>
      </c>
      <c r="V7" s="302">
        <v>1</v>
      </c>
      <c r="W7" s="302">
        <v>1</v>
      </c>
      <c r="X7" s="302">
        <v>1</v>
      </c>
      <c r="Y7" s="302">
        <v>1</v>
      </c>
      <c r="Z7" s="302">
        <v>1</v>
      </c>
      <c r="AA7" s="302">
        <v>1</v>
      </c>
      <c r="AB7" s="302">
        <v>1</v>
      </c>
      <c r="AC7" s="302">
        <v>1</v>
      </c>
      <c r="AD7" s="302">
        <v>1</v>
      </c>
      <c r="AE7" s="302">
        <v>1</v>
      </c>
      <c r="AF7" s="302">
        <v>1</v>
      </c>
      <c r="AG7" s="302">
        <v>1</v>
      </c>
      <c r="AH7" s="302">
        <v>1</v>
      </c>
      <c r="AI7" s="302">
        <v>1</v>
      </c>
      <c r="AJ7" s="302">
        <v>1</v>
      </c>
      <c r="AK7" s="302">
        <v>1</v>
      </c>
      <c r="AL7" s="302">
        <v>1</v>
      </c>
      <c r="AM7" s="302">
        <v>1</v>
      </c>
      <c r="AN7" s="302">
        <v>1</v>
      </c>
      <c r="AO7" s="302">
        <v>1</v>
      </c>
      <c r="AP7" s="302">
        <v>1</v>
      </c>
      <c r="AQ7" s="302">
        <v>1</v>
      </c>
      <c r="AR7" s="302">
        <v>1</v>
      </c>
      <c r="AS7" s="302">
        <v>1</v>
      </c>
      <c r="AT7" s="302">
        <v>1</v>
      </c>
      <c r="AU7" s="302">
        <v>1</v>
      </c>
      <c r="AV7" s="302">
        <v>1</v>
      </c>
      <c r="AW7" s="302">
        <v>1</v>
      </c>
      <c r="AX7" s="302">
        <v>1</v>
      </c>
      <c r="AY7" s="302">
        <v>1</v>
      </c>
      <c r="AZ7" s="302">
        <v>1</v>
      </c>
      <c r="BA7" s="302">
        <v>1</v>
      </c>
      <c r="BB7" s="302">
        <v>1</v>
      </c>
      <c r="BC7" s="302">
        <v>1</v>
      </c>
      <c r="BD7" s="302">
        <v>1</v>
      </c>
      <c r="BE7" s="302">
        <v>1</v>
      </c>
      <c r="BF7" s="302">
        <v>1</v>
      </c>
      <c r="BG7" s="302">
        <v>1</v>
      </c>
      <c r="BH7" s="302">
        <v>1</v>
      </c>
      <c r="BI7" s="302">
        <v>1</v>
      </c>
      <c r="BJ7" s="302">
        <v>1</v>
      </c>
      <c r="BK7" s="302">
        <v>1</v>
      </c>
      <c r="BL7" s="302">
        <v>1</v>
      </c>
      <c r="BM7" s="302">
        <v>1</v>
      </c>
      <c r="BN7" s="302">
        <v>1</v>
      </c>
      <c r="BO7" s="302">
        <v>1</v>
      </c>
      <c r="BP7" s="302">
        <v>1</v>
      </c>
      <c r="BQ7" s="302">
        <v>1</v>
      </c>
      <c r="BR7" s="302">
        <v>1</v>
      </c>
      <c r="BS7" s="302">
        <v>1</v>
      </c>
      <c r="BT7" s="302">
        <v>1</v>
      </c>
      <c r="BU7" s="302">
        <v>1</v>
      </c>
      <c r="BV7" s="302">
        <v>1</v>
      </c>
      <c r="BW7" s="302">
        <v>1</v>
      </c>
      <c r="BX7" s="302">
        <v>1</v>
      </c>
      <c r="BY7" s="302">
        <v>1</v>
      </c>
      <c r="BZ7" s="302">
        <v>1</v>
      </c>
      <c r="CA7" s="302">
        <v>1</v>
      </c>
      <c r="CB7" s="302">
        <v>1</v>
      </c>
      <c r="CC7" s="302">
        <v>1</v>
      </c>
      <c r="CD7" s="302">
        <v>1</v>
      </c>
      <c r="CE7" s="302">
        <v>1</v>
      </c>
      <c r="CF7" s="302">
        <v>1</v>
      </c>
      <c r="CG7" s="302">
        <v>1</v>
      </c>
      <c r="CH7" s="302">
        <v>1</v>
      </c>
      <c r="CI7" s="302">
        <v>1</v>
      </c>
      <c r="CJ7" s="302">
        <v>1</v>
      </c>
      <c r="CK7" s="302">
        <v>1</v>
      </c>
      <c r="CL7" s="302">
        <v>1</v>
      </c>
      <c r="CM7" s="302">
        <v>1</v>
      </c>
      <c r="CN7" s="302">
        <v>1</v>
      </c>
      <c r="CO7" s="302">
        <v>1</v>
      </c>
      <c r="CP7" s="302">
        <v>1</v>
      </c>
      <c r="CQ7" s="302">
        <v>1</v>
      </c>
      <c r="CR7" s="302">
        <v>1</v>
      </c>
      <c r="CS7" s="302">
        <v>1</v>
      </c>
      <c r="CT7" s="302">
        <v>1</v>
      </c>
      <c r="CU7" s="302">
        <v>1</v>
      </c>
      <c r="CV7" s="302">
        <v>1</v>
      </c>
      <c r="CW7" s="302">
        <v>1</v>
      </c>
      <c r="CX7" s="302">
        <v>1</v>
      </c>
      <c r="CY7" s="302">
        <v>1</v>
      </c>
      <c r="CZ7" s="302">
        <v>1</v>
      </c>
      <c r="DA7" s="302">
        <v>1</v>
      </c>
      <c r="DB7" s="302">
        <v>1</v>
      </c>
      <c r="DC7" s="302">
        <v>1</v>
      </c>
      <c r="DD7" s="302">
        <v>1</v>
      </c>
      <c r="DE7" s="302">
        <v>1</v>
      </c>
      <c r="DF7" s="302">
        <v>1</v>
      </c>
      <c r="DG7" s="302">
        <v>1</v>
      </c>
      <c r="DH7" s="302">
        <v>1</v>
      </c>
      <c r="DI7" s="302">
        <v>1</v>
      </c>
      <c r="DJ7" s="302">
        <v>1</v>
      </c>
      <c r="DK7" s="302">
        <v>1</v>
      </c>
      <c r="DL7" s="302">
        <v>1</v>
      </c>
      <c r="DM7" s="302">
        <v>1</v>
      </c>
      <c r="DN7" s="302">
        <v>1</v>
      </c>
      <c r="DO7" s="302">
        <v>1</v>
      </c>
      <c r="DP7" s="302">
        <v>1</v>
      </c>
      <c r="DQ7" s="302">
        <v>1</v>
      </c>
      <c r="DR7" s="302">
        <v>1</v>
      </c>
      <c r="DS7" s="302">
        <v>1</v>
      </c>
      <c r="DT7" s="302">
        <v>1</v>
      </c>
      <c r="DU7" s="302">
        <v>1</v>
      </c>
      <c r="DV7" s="302">
        <v>1</v>
      </c>
      <c r="DW7" s="302">
        <v>1</v>
      </c>
      <c r="DX7" s="302">
        <v>1</v>
      </c>
      <c r="DY7" s="302">
        <v>1</v>
      </c>
      <c r="DZ7" s="302">
        <v>1</v>
      </c>
      <c r="EA7" s="302">
        <v>1</v>
      </c>
      <c r="EB7" s="302">
        <v>1</v>
      </c>
      <c r="EC7" s="302">
        <v>1</v>
      </c>
      <c r="ED7" s="302">
        <v>1</v>
      </c>
      <c r="EE7" s="302">
        <v>1</v>
      </c>
      <c r="EF7" s="302">
        <v>1</v>
      </c>
      <c r="EG7" s="302">
        <v>1</v>
      </c>
      <c r="EH7" s="302">
        <v>1</v>
      </c>
      <c r="EI7" s="302">
        <v>1</v>
      </c>
      <c r="EJ7" s="302">
        <v>1</v>
      </c>
      <c r="EK7" s="302">
        <v>1</v>
      </c>
      <c r="EL7" s="302">
        <v>1</v>
      </c>
      <c r="EM7" s="302">
        <v>1</v>
      </c>
      <c r="EN7" s="302">
        <v>1</v>
      </c>
      <c r="EO7" s="302">
        <v>1</v>
      </c>
      <c r="EP7" s="302">
        <v>1</v>
      </c>
      <c r="EQ7" s="302">
        <v>1</v>
      </c>
      <c r="ER7" s="302">
        <v>1</v>
      </c>
      <c r="ES7" s="302">
        <v>1</v>
      </c>
      <c r="ET7" s="302">
        <v>1</v>
      </c>
      <c r="EU7" s="302">
        <v>1</v>
      </c>
      <c r="EV7" s="302">
        <v>1</v>
      </c>
      <c r="EW7" s="302">
        <v>1</v>
      </c>
      <c r="EX7" s="302">
        <v>1</v>
      </c>
      <c r="EY7" s="302">
        <v>1</v>
      </c>
      <c r="EZ7" s="302">
        <v>1</v>
      </c>
      <c r="FA7" s="302">
        <v>1</v>
      </c>
      <c r="FB7" s="302">
        <v>1</v>
      </c>
      <c r="FC7" s="302">
        <v>1</v>
      </c>
      <c r="FD7" s="302">
        <v>1</v>
      </c>
      <c r="FE7" s="302">
        <v>1</v>
      </c>
      <c r="FF7" s="302">
        <v>1</v>
      </c>
      <c r="FG7" s="302">
        <v>1</v>
      </c>
      <c r="FH7" s="302">
        <v>1</v>
      </c>
      <c r="FI7" s="302">
        <v>1</v>
      </c>
      <c r="FJ7" s="302">
        <v>1</v>
      </c>
      <c r="FK7" s="302">
        <v>1</v>
      </c>
      <c r="FL7" s="302">
        <v>1</v>
      </c>
      <c r="FM7" s="302">
        <v>1</v>
      </c>
      <c r="FN7" s="302">
        <v>1</v>
      </c>
      <c r="FO7" s="302">
        <v>1</v>
      </c>
      <c r="FP7" s="302">
        <v>1</v>
      </c>
      <c r="FQ7" s="302">
        <v>1</v>
      </c>
      <c r="FR7" s="302">
        <v>1</v>
      </c>
      <c r="FS7" s="302">
        <v>1</v>
      </c>
      <c r="FT7" s="302">
        <v>1</v>
      </c>
      <c r="FU7" s="302">
        <v>1</v>
      </c>
      <c r="FV7" s="302">
        <v>1</v>
      </c>
      <c r="FW7" s="302">
        <v>1</v>
      </c>
      <c r="FX7" s="302">
        <v>1</v>
      </c>
      <c r="FY7" s="302">
        <v>1</v>
      </c>
      <c r="FZ7" s="302">
        <v>1</v>
      </c>
      <c r="GA7" s="302">
        <v>1</v>
      </c>
      <c r="GB7" s="302">
        <v>1</v>
      </c>
      <c r="GC7" s="302">
        <v>1</v>
      </c>
      <c r="GD7" s="302">
        <v>1</v>
      </c>
      <c r="GE7" s="302">
        <v>1</v>
      </c>
      <c r="GF7" s="302">
        <v>1</v>
      </c>
      <c r="GG7" s="302">
        <v>1</v>
      </c>
      <c r="GH7" s="302">
        <v>1</v>
      </c>
      <c r="GI7" s="302">
        <v>1</v>
      </c>
      <c r="GJ7" s="302">
        <v>1</v>
      </c>
      <c r="GK7" s="302">
        <v>1</v>
      </c>
      <c r="GL7" s="302">
        <v>1</v>
      </c>
      <c r="GM7" s="302">
        <v>1</v>
      </c>
      <c r="GN7" s="302">
        <v>1</v>
      </c>
      <c r="GO7" s="302">
        <v>1</v>
      </c>
      <c r="GP7" s="302">
        <v>1</v>
      </c>
      <c r="GQ7" s="302">
        <v>1</v>
      </c>
      <c r="GR7" s="302">
        <v>1</v>
      </c>
      <c r="GS7" s="302">
        <v>1</v>
      </c>
      <c r="GT7" s="302">
        <v>1</v>
      </c>
      <c r="GU7" s="302">
        <v>1</v>
      </c>
      <c r="GV7" s="302">
        <v>1</v>
      </c>
      <c r="GW7" s="302">
        <v>1</v>
      </c>
      <c r="GX7" s="302">
        <v>1</v>
      </c>
      <c r="GY7" s="302">
        <v>1</v>
      </c>
      <c r="GZ7" s="302">
        <v>1</v>
      </c>
      <c r="HA7" s="302">
        <v>1</v>
      </c>
      <c r="HB7" s="302">
        <v>1</v>
      </c>
      <c r="HC7" s="302">
        <v>1</v>
      </c>
      <c r="HD7" s="302">
        <v>1</v>
      </c>
      <c r="HE7" s="302">
        <v>1</v>
      </c>
      <c r="HF7" s="302">
        <v>1</v>
      </c>
      <c r="HG7" s="302">
        <v>1</v>
      </c>
      <c r="HH7" s="302">
        <v>1</v>
      </c>
      <c r="HI7" s="302">
        <v>1</v>
      </c>
      <c r="HJ7" s="302">
        <v>1</v>
      </c>
      <c r="HK7" s="302">
        <v>1</v>
      </c>
      <c r="HL7" s="302">
        <v>1</v>
      </c>
      <c r="HM7" s="302">
        <v>1</v>
      </c>
      <c r="HN7" s="302">
        <v>1</v>
      </c>
      <c r="HO7" s="302">
        <v>1</v>
      </c>
      <c r="HP7" s="302">
        <v>1</v>
      </c>
      <c r="HQ7" s="302">
        <v>1</v>
      </c>
      <c r="HR7" s="302">
        <v>1</v>
      </c>
      <c r="HS7" s="302">
        <v>1</v>
      </c>
      <c r="HT7" s="302">
        <v>1</v>
      </c>
      <c r="HU7" s="302">
        <v>1</v>
      </c>
      <c r="HV7" s="302">
        <v>1</v>
      </c>
      <c r="HW7" s="302">
        <v>1</v>
      </c>
      <c r="HX7" s="302">
        <v>1</v>
      </c>
      <c r="HY7" s="302">
        <v>1</v>
      </c>
    </row>
    <row r="8" spans="1:233" outlineLevel="1">
      <c r="A8" s="297"/>
      <c r="B8" s="301">
        <v>203</v>
      </c>
      <c r="C8" s="173" t="s">
        <v>535</v>
      </c>
      <c r="D8" s="108">
        <v>0</v>
      </c>
      <c r="E8" s="108">
        <v>0</v>
      </c>
      <c r="F8" s="108">
        <v>0</v>
      </c>
      <c r="G8" s="108">
        <v>0</v>
      </c>
      <c r="H8" s="108">
        <v>0</v>
      </c>
      <c r="I8" s="108">
        <v>0</v>
      </c>
      <c r="J8" s="108">
        <v>0</v>
      </c>
      <c r="K8" s="108">
        <v>0</v>
      </c>
      <c r="L8" s="108">
        <v>0</v>
      </c>
      <c r="M8" s="108">
        <v>0</v>
      </c>
      <c r="N8" s="108">
        <v>0</v>
      </c>
      <c r="O8" s="108">
        <v>0</v>
      </c>
      <c r="P8" s="108">
        <v>0</v>
      </c>
      <c r="Q8" s="108">
        <v>0</v>
      </c>
      <c r="R8" s="108">
        <v>0</v>
      </c>
      <c r="S8" s="108">
        <v>0</v>
      </c>
      <c r="T8" s="108">
        <v>0</v>
      </c>
      <c r="U8" s="108">
        <v>0</v>
      </c>
      <c r="V8" s="108">
        <v>0</v>
      </c>
      <c r="W8" s="108">
        <v>0</v>
      </c>
      <c r="X8" s="108">
        <v>0</v>
      </c>
      <c r="Y8" s="108">
        <v>0</v>
      </c>
      <c r="Z8" s="108">
        <v>0</v>
      </c>
      <c r="AA8" s="108">
        <v>0</v>
      </c>
      <c r="AB8" s="108">
        <v>0</v>
      </c>
      <c r="AC8" s="108">
        <v>0</v>
      </c>
      <c r="AD8" s="108">
        <v>0</v>
      </c>
      <c r="AE8" s="108">
        <v>0</v>
      </c>
      <c r="AF8" s="108">
        <v>0</v>
      </c>
      <c r="AG8" s="108">
        <v>0</v>
      </c>
      <c r="AH8" s="108">
        <v>0</v>
      </c>
      <c r="AI8" s="108">
        <v>0</v>
      </c>
      <c r="AJ8" s="108">
        <v>0</v>
      </c>
      <c r="AK8" s="108">
        <v>0</v>
      </c>
      <c r="AL8" s="108">
        <v>0</v>
      </c>
      <c r="AM8" s="108">
        <v>0</v>
      </c>
      <c r="AN8" s="108">
        <v>0</v>
      </c>
      <c r="AO8" s="108">
        <v>0</v>
      </c>
      <c r="AP8" s="108">
        <v>0</v>
      </c>
      <c r="AQ8" s="108">
        <v>0</v>
      </c>
      <c r="AR8" s="108">
        <v>0</v>
      </c>
      <c r="AS8" s="108">
        <v>0</v>
      </c>
      <c r="AT8" s="108">
        <v>0</v>
      </c>
      <c r="AU8" s="108">
        <v>0</v>
      </c>
      <c r="AV8" s="108">
        <v>0</v>
      </c>
      <c r="AW8" s="108">
        <v>0</v>
      </c>
      <c r="AX8" s="108">
        <v>0</v>
      </c>
      <c r="AY8" s="108">
        <v>0</v>
      </c>
      <c r="AZ8" s="108">
        <v>0</v>
      </c>
      <c r="BA8" s="108">
        <v>0</v>
      </c>
      <c r="BB8" s="108">
        <v>0</v>
      </c>
      <c r="BC8" s="108">
        <v>0</v>
      </c>
      <c r="BD8" s="108">
        <v>0</v>
      </c>
      <c r="BE8" s="108">
        <v>0</v>
      </c>
      <c r="BF8" s="108">
        <v>0</v>
      </c>
      <c r="BG8" s="108">
        <v>0</v>
      </c>
      <c r="BH8" s="108">
        <v>0</v>
      </c>
      <c r="BI8" s="108">
        <v>0</v>
      </c>
      <c r="BJ8" s="108">
        <v>0</v>
      </c>
      <c r="BK8" s="108">
        <v>0</v>
      </c>
      <c r="BL8" s="108">
        <v>0</v>
      </c>
      <c r="BM8" s="108">
        <v>0</v>
      </c>
      <c r="BN8" s="108">
        <v>0</v>
      </c>
      <c r="BO8" s="108">
        <v>0</v>
      </c>
      <c r="BP8" s="108">
        <v>0</v>
      </c>
      <c r="BQ8" s="108">
        <v>0</v>
      </c>
      <c r="BR8" s="108">
        <v>0</v>
      </c>
      <c r="BS8" s="108">
        <v>0</v>
      </c>
      <c r="BT8" s="108">
        <v>0</v>
      </c>
      <c r="BU8" s="108">
        <v>0</v>
      </c>
      <c r="BV8" s="108">
        <v>0</v>
      </c>
      <c r="BW8" s="108">
        <v>0</v>
      </c>
      <c r="BX8" s="108">
        <v>0</v>
      </c>
      <c r="BY8" s="108">
        <v>0</v>
      </c>
      <c r="BZ8" s="108">
        <v>0</v>
      </c>
      <c r="CA8" s="108">
        <v>0</v>
      </c>
      <c r="CB8" s="108">
        <v>0</v>
      </c>
      <c r="CC8" s="108">
        <v>0</v>
      </c>
      <c r="CD8" s="108">
        <v>0</v>
      </c>
      <c r="CE8" s="108">
        <v>0</v>
      </c>
      <c r="CF8" s="108">
        <v>0</v>
      </c>
      <c r="CG8" s="108">
        <v>0</v>
      </c>
      <c r="CH8" s="108">
        <v>0</v>
      </c>
      <c r="CI8" s="108">
        <v>0</v>
      </c>
      <c r="CJ8" s="108">
        <v>0</v>
      </c>
      <c r="CK8" s="108">
        <v>0</v>
      </c>
      <c r="CL8" s="108">
        <v>0</v>
      </c>
      <c r="CM8" s="108">
        <v>0</v>
      </c>
      <c r="CN8" s="108">
        <v>0</v>
      </c>
      <c r="CO8" s="108">
        <v>0</v>
      </c>
      <c r="CP8" s="108">
        <v>0</v>
      </c>
      <c r="CQ8" s="108">
        <v>0</v>
      </c>
      <c r="CR8" s="108">
        <v>0</v>
      </c>
      <c r="CS8" s="108">
        <v>0</v>
      </c>
      <c r="CT8" s="108">
        <v>0</v>
      </c>
      <c r="CU8" s="108">
        <v>0</v>
      </c>
      <c r="CV8" s="108">
        <v>0</v>
      </c>
      <c r="CW8" s="108">
        <v>0</v>
      </c>
      <c r="CX8" s="108">
        <v>0</v>
      </c>
      <c r="CY8" s="108">
        <v>0</v>
      </c>
      <c r="CZ8" s="108">
        <v>0</v>
      </c>
      <c r="DA8" s="108">
        <v>0</v>
      </c>
      <c r="DB8" s="108">
        <v>0</v>
      </c>
      <c r="DC8" s="108">
        <v>0</v>
      </c>
      <c r="DD8" s="108">
        <v>0</v>
      </c>
      <c r="DE8" s="108">
        <v>0</v>
      </c>
      <c r="DF8" s="108">
        <v>0</v>
      </c>
      <c r="DG8" s="108">
        <v>0</v>
      </c>
      <c r="DH8" s="108">
        <v>0</v>
      </c>
      <c r="DI8" s="108">
        <v>0</v>
      </c>
      <c r="DJ8" s="108">
        <v>0</v>
      </c>
      <c r="DK8" s="108">
        <v>0</v>
      </c>
      <c r="DL8" s="108">
        <v>0</v>
      </c>
      <c r="DM8" s="108">
        <v>0</v>
      </c>
      <c r="DN8" s="108">
        <v>0</v>
      </c>
      <c r="DO8" s="108">
        <v>0</v>
      </c>
      <c r="DP8" s="108">
        <v>0</v>
      </c>
      <c r="DQ8" s="108">
        <v>0</v>
      </c>
      <c r="DR8" s="108">
        <v>0</v>
      </c>
      <c r="DS8" s="108">
        <v>0</v>
      </c>
      <c r="DT8" s="108">
        <v>0</v>
      </c>
      <c r="DU8" s="108">
        <v>0</v>
      </c>
      <c r="DV8" s="108">
        <v>0</v>
      </c>
      <c r="DW8" s="108">
        <v>0</v>
      </c>
      <c r="DX8" s="108">
        <v>0</v>
      </c>
      <c r="DY8" s="108">
        <v>0</v>
      </c>
      <c r="DZ8" s="108">
        <v>0</v>
      </c>
      <c r="EA8" s="108">
        <v>0</v>
      </c>
      <c r="EB8" s="108">
        <v>0</v>
      </c>
      <c r="EC8" s="108">
        <v>0</v>
      </c>
      <c r="ED8" s="108">
        <v>0</v>
      </c>
      <c r="EE8" s="108">
        <v>0</v>
      </c>
      <c r="EF8" s="108">
        <v>0</v>
      </c>
      <c r="EG8" s="108">
        <v>0</v>
      </c>
      <c r="EH8" s="108">
        <v>0</v>
      </c>
      <c r="EI8" s="108">
        <v>0</v>
      </c>
      <c r="EJ8" s="108">
        <v>0</v>
      </c>
      <c r="EK8" s="108">
        <v>0</v>
      </c>
      <c r="EL8" s="108">
        <v>0</v>
      </c>
      <c r="EM8" s="108">
        <v>0</v>
      </c>
      <c r="EN8" s="108">
        <v>0</v>
      </c>
      <c r="EO8" s="108">
        <v>0</v>
      </c>
      <c r="EP8" s="108">
        <v>0</v>
      </c>
      <c r="EQ8" s="108">
        <v>0</v>
      </c>
      <c r="ER8" s="108">
        <v>0</v>
      </c>
      <c r="ES8" s="108">
        <v>0</v>
      </c>
      <c r="ET8" s="108">
        <v>0</v>
      </c>
      <c r="EU8" s="108">
        <v>0</v>
      </c>
      <c r="EV8" s="108">
        <v>0</v>
      </c>
      <c r="EW8" s="108">
        <v>0</v>
      </c>
      <c r="EX8" s="108">
        <v>0</v>
      </c>
      <c r="EY8" s="108">
        <v>0</v>
      </c>
      <c r="EZ8" s="108">
        <v>0</v>
      </c>
      <c r="FA8" s="108">
        <v>0</v>
      </c>
      <c r="FB8" s="108">
        <v>0</v>
      </c>
      <c r="FC8" s="108">
        <v>0</v>
      </c>
      <c r="FD8" s="108">
        <v>0</v>
      </c>
      <c r="FE8" s="108">
        <v>0</v>
      </c>
      <c r="FF8" s="108">
        <v>0</v>
      </c>
      <c r="FG8" s="108">
        <v>0</v>
      </c>
      <c r="FH8" s="108">
        <v>0</v>
      </c>
      <c r="FI8" s="108">
        <v>0</v>
      </c>
      <c r="FJ8" s="108">
        <v>0</v>
      </c>
      <c r="FK8" s="108">
        <v>0</v>
      </c>
      <c r="FL8" s="108">
        <v>0</v>
      </c>
      <c r="FM8" s="108">
        <v>0</v>
      </c>
      <c r="FN8" s="108">
        <v>0</v>
      </c>
      <c r="FO8" s="108">
        <v>0</v>
      </c>
      <c r="FP8" s="108">
        <v>0</v>
      </c>
      <c r="FQ8" s="108">
        <v>0</v>
      </c>
      <c r="FR8" s="108">
        <v>0</v>
      </c>
      <c r="FS8" s="108">
        <v>0</v>
      </c>
      <c r="FT8" s="108">
        <v>0</v>
      </c>
      <c r="FU8" s="108">
        <v>0</v>
      </c>
      <c r="FV8" s="108">
        <v>0</v>
      </c>
      <c r="FW8" s="108">
        <v>0</v>
      </c>
      <c r="FX8" s="108">
        <v>0</v>
      </c>
      <c r="FY8" s="108">
        <v>0</v>
      </c>
      <c r="FZ8" s="108">
        <v>0</v>
      </c>
      <c r="GA8" s="108">
        <v>0</v>
      </c>
      <c r="GB8" s="108">
        <v>0</v>
      </c>
      <c r="GC8" s="108">
        <v>0</v>
      </c>
      <c r="GD8" s="108">
        <v>0</v>
      </c>
      <c r="GE8" s="108">
        <v>0</v>
      </c>
      <c r="GF8" s="108">
        <v>0</v>
      </c>
      <c r="GG8" s="108">
        <v>0</v>
      </c>
      <c r="GH8" s="108">
        <v>0</v>
      </c>
      <c r="GI8" s="108">
        <v>0</v>
      </c>
      <c r="GJ8" s="108">
        <v>0</v>
      </c>
      <c r="GK8" s="108">
        <v>0</v>
      </c>
      <c r="GL8" s="108">
        <v>0</v>
      </c>
      <c r="GM8" s="108">
        <v>0</v>
      </c>
      <c r="GN8" s="108">
        <v>0</v>
      </c>
      <c r="GO8" s="108">
        <v>0</v>
      </c>
      <c r="GP8" s="108">
        <v>0</v>
      </c>
      <c r="GQ8" s="108">
        <v>0</v>
      </c>
      <c r="GR8" s="108">
        <v>0</v>
      </c>
      <c r="GS8" s="108">
        <v>0</v>
      </c>
      <c r="GT8" s="108">
        <v>0</v>
      </c>
      <c r="GU8" s="108">
        <v>0</v>
      </c>
      <c r="GV8" s="108">
        <v>0</v>
      </c>
      <c r="GW8" s="108">
        <v>0</v>
      </c>
      <c r="GX8" s="108">
        <v>0</v>
      </c>
      <c r="GY8" s="108">
        <v>0</v>
      </c>
      <c r="GZ8" s="108">
        <v>0</v>
      </c>
      <c r="HA8" s="108">
        <v>0</v>
      </c>
      <c r="HB8" s="108">
        <v>0</v>
      </c>
      <c r="HC8" s="108">
        <v>0</v>
      </c>
      <c r="HD8" s="108">
        <v>0</v>
      </c>
      <c r="HE8" s="108">
        <v>0</v>
      </c>
      <c r="HF8" s="108">
        <v>0</v>
      </c>
      <c r="HG8" s="108">
        <v>0</v>
      </c>
      <c r="HH8" s="108">
        <v>0</v>
      </c>
      <c r="HI8" s="108">
        <v>0</v>
      </c>
      <c r="HJ8" s="108">
        <v>0</v>
      </c>
      <c r="HK8" s="108">
        <v>0</v>
      </c>
      <c r="HL8" s="108">
        <v>0</v>
      </c>
      <c r="HM8" s="108">
        <v>0</v>
      </c>
      <c r="HN8" s="108">
        <v>0</v>
      </c>
      <c r="HO8" s="108">
        <v>0</v>
      </c>
      <c r="HP8" s="108">
        <v>0</v>
      </c>
      <c r="HQ8" s="108">
        <v>0</v>
      </c>
      <c r="HR8" s="108">
        <v>0</v>
      </c>
      <c r="HS8" s="108">
        <v>0</v>
      </c>
      <c r="HT8" s="108">
        <v>0</v>
      </c>
      <c r="HU8" s="108">
        <v>0</v>
      </c>
      <c r="HV8" s="108">
        <v>0</v>
      </c>
      <c r="HW8" s="108">
        <v>0</v>
      </c>
      <c r="HX8" s="108">
        <v>0</v>
      </c>
      <c r="HY8" s="108">
        <v>0</v>
      </c>
    </row>
    <row r="9" spans="1:233" outlineLevel="1">
      <c r="A9" s="297"/>
      <c r="B9" s="301">
        <v>205</v>
      </c>
      <c r="C9" s="173" t="s">
        <v>536</v>
      </c>
      <c r="D9" s="107" t="s">
        <v>537</v>
      </c>
      <c r="E9" s="107" t="s">
        <v>537</v>
      </c>
      <c r="F9" s="107" t="s">
        <v>537</v>
      </c>
      <c r="G9" s="107" t="s">
        <v>537</v>
      </c>
      <c r="H9" s="107" t="s">
        <v>537</v>
      </c>
      <c r="I9" s="107" t="s">
        <v>537</v>
      </c>
      <c r="J9" s="107" t="s">
        <v>537</v>
      </c>
      <c r="K9" s="107" t="s">
        <v>537</v>
      </c>
      <c r="L9" s="107" t="s">
        <v>537</v>
      </c>
      <c r="M9" s="107" t="s">
        <v>537</v>
      </c>
      <c r="N9" s="107" t="s">
        <v>537</v>
      </c>
      <c r="O9" s="107" t="s">
        <v>537</v>
      </c>
      <c r="P9" s="107" t="s">
        <v>537</v>
      </c>
      <c r="Q9" s="107" t="s">
        <v>537</v>
      </c>
      <c r="R9" s="107" t="s">
        <v>537</v>
      </c>
      <c r="S9" s="107" t="s">
        <v>537</v>
      </c>
      <c r="T9" s="107" t="s">
        <v>537</v>
      </c>
      <c r="U9" s="107" t="s">
        <v>537</v>
      </c>
      <c r="V9" s="107" t="s">
        <v>537</v>
      </c>
      <c r="W9" s="107" t="s">
        <v>537</v>
      </c>
      <c r="X9" s="107" t="s">
        <v>537</v>
      </c>
      <c r="Y9" s="107" t="s">
        <v>537</v>
      </c>
      <c r="Z9" s="107" t="s">
        <v>537</v>
      </c>
      <c r="AA9" s="107" t="s">
        <v>537</v>
      </c>
      <c r="AB9" s="107" t="s">
        <v>537</v>
      </c>
      <c r="AC9" s="107" t="s">
        <v>537</v>
      </c>
      <c r="AD9" s="107" t="s">
        <v>537</v>
      </c>
      <c r="AE9" s="107" t="s">
        <v>537</v>
      </c>
      <c r="AF9" s="107" t="s">
        <v>537</v>
      </c>
      <c r="AG9" s="107" t="s">
        <v>537</v>
      </c>
      <c r="AH9" s="107" t="s">
        <v>537</v>
      </c>
      <c r="AI9" s="107" t="s">
        <v>537</v>
      </c>
      <c r="AJ9" s="107" t="s">
        <v>537</v>
      </c>
      <c r="AK9" s="107" t="s">
        <v>537</v>
      </c>
      <c r="AL9" s="107" t="s">
        <v>537</v>
      </c>
      <c r="AM9" s="107" t="s">
        <v>537</v>
      </c>
      <c r="AN9" s="107" t="s">
        <v>537</v>
      </c>
      <c r="AO9" s="107" t="s">
        <v>537</v>
      </c>
      <c r="AP9" s="107" t="s">
        <v>537</v>
      </c>
      <c r="AQ9" s="107" t="s">
        <v>537</v>
      </c>
      <c r="AR9" s="107" t="s">
        <v>537</v>
      </c>
      <c r="AS9" s="107" t="s">
        <v>537</v>
      </c>
      <c r="AT9" s="107" t="s">
        <v>537</v>
      </c>
      <c r="AU9" s="107" t="s">
        <v>537</v>
      </c>
      <c r="AV9" s="107" t="s">
        <v>537</v>
      </c>
      <c r="AW9" s="107" t="s">
        <v>537</v>
      </c>
      <c r="AX9" s="107" t="s">
        <v>537</v>
      </c>
      <c r="AY9" s="107" t="s">
        <v>537</v>
      </c>
      <c r="AZ9" s="107" t="s">
        <v>537</v>
      </c>
      <c r="BA9" s="107" t="s">
        <v>537</v>
      </c>
      <c r="BB9" s="107" t="s">
        <v>537</v>
      </c>
      <c r="BC9" s="107" t="s">
        <v>537</v>
      </c>
      <c r="BD9" s="107" t="s">
        <v>537</v>
      </c>
      <c r="BE9" s="107" t="s">
        <v>537</v>
      </c>
      <c r="BF9" s="107" t="s">
        <v>537</v>
      </c>
      <c r="BG9" s="107" t="s">
        <v>537</v>
      </c>
      <c r="BH9" s="107" t="s">
        <v>537</v>
      </c>
      <c r="BI9" s="107" t="s">
        <v>537</v>
      </c>
      <c r="BJ9" s="107" t="s">
        <v>537</v>
      </c>
      <c r="BK9" s="107" t="s">
        <v>537</v>
      </c>
      <c r="BL9" s="107" t="s">
        <v>537</v>
      </c>
      <c r="BM9" s="107" t="s">
        <v>537</v>
      </c>
      <c r="BN9" s="107" t="s">
        <v>537</v>
      </c>
      <c r="BO9" s="107" t="s">
        <v>537</v>
      </c>
      <c r="BP9" s="107" t="s">
        <v>537</v>
      </c>
      <c r="BQ9" s="107" t="s">
        <v>537</v>
      </c>
      <c r="BR9" s="107" t="s">
        <v>537</v>
      </c>
      <c r="BS9" s="107" t="s">
        <v>537</v>
      </c>
      <c r="BT9" s="107" t="s">
        <v>537</v>
      </c>
      <c r="BU9" s="107" t="s">
        <v>537</v>
      </c>
      <c r="BV9" s="107" t="s">
        <v>537</v>
      </c>
      <c r="BW9" s="107" t="s">
        <v>537</v>
      </c>
      <c r="BX9" s="107" t="s">
        <v>537</v>
      </c>
      <c r="BY9" s="107" t="s">
        <v>537</v>
      </c>
      <c r="BZ9" s="107" t="s">
        <v>537</v>
      </c>
      <c r="CA9" s="107" t="s">
        <v>537</v>
      </c>
      <c r="CB9" s="107" t="s">
        <v>537</v>
      </c>
      <c r="CC9" s="107" t="s">
        <v>537</v>
      </c>
      <c r="CD9" s="107" t="s">
        <v>537</v>
      </c>
      <c r="CE9" s="107" t="s">
        <v>537</v>
      </c>
      <c r="CF9" s="107" t="s">
        <v>537</v>
      </c>
      <c r="CG9" s="107" t="s">
        <v>537</v>
      </c>
      <c r="CH9" s="107" t="s">
        <v>537</v>
      </c>
      <c r="CI9" s="107" t="s">
        <v>537</v>
      </c>
      <c r="CJ9" s="107" t="s">
        <v>537</v>
      </c>
      <c r="CK9" s="107" t="s">
        <v>537</v>
      </c>
      <c r="CL9" s="107" t="s">
        <v>537</v>
      </c>
      <c r="CM9" s="107" t="s">
        <v>537</v>
      </c>
      <c r="CN9" s="107" t="s">
        <v>537</v>
      </c>
      <c r="CO9" s="107" t="s">
        <v>537</v>
      </c>
      <c r="CP9" s="107" t="s">
        <v>537</v>
      </c>
      <c r="CQ9" s="107" t="s">
        <v>537</v>
      </c>
      <c r="CR9" s="107" t="s">
        <v>537</v>
      </c>
      <c r="CS9" s="107" t="s">
        <v>537</v>
      </c>
      <c r="CT9" s="107" t="s">
        <v>537</v>
      </c>
      <c r="CU9" s="107" t="s">
        <v>537</v>
      </c>
      <c r="CV9" s="107" t="s">
        <v>537</v>
      </c>
      <c r="CW9" s="107" t="s">
        <v>537</v>
      </c>
      <c r="CX9" s="107" t="s">
        <v>537</v>
      </c>
      <c r="CY9" s="107" t="s">
        <v>537</v>
      </c>
      <c r="CZ9" s="107" t="s">
        <v>537</v>
      </c>
      <c r="DA9" s="107" t="s">
        <v>537</v>
      </c>
      <c r="DB9" s="107" t="s">
        <v>537</v>
      </c>
      <c r="DC9" s="107" t="s">
        <v>537</v>
      </c>
      <c r="DD9" s="107" t="s">
        <v>537</v>
      </c>
      <c r="DE9" s="107" t="s">
        <v>537</v>
      </c>
      <c r="DF9" s="107" t="s">
        <v>537</v>
      </c>
      <c r="DG9" s="107" t="s">
        <v>537</v>
      </c>
      <c r="DH9" s="107" t="s">
        <v>537</v>
      </c>
      <c r="DI9" s="107" t="s">
        <v>537</v>
      </c>
      <c r="DJ9" s="107" t="s">
        <v>537</v>
      </c>
      <c r="DK9" s="107" t="s">
        <v>537</v>
      </c>
      <c r="DL9" s="107" t="s">
        <v>537</v>
      </c>
      <c r="DM9" s="107" t="s">
        <v>537</v>
      </c>
      <c r="DN9" s="107" t="s">
        <v>537</v>
      </c>
      <c r="DO9" s="107" t="s">
        <v>537</v>
      </c>
      <c r="DP9" s="107" t="s">
        <v>537</v>
      </c>
      <c r="DQ9" s="107" t="s">
        <v>537</v>
      </c>
      <c r="DR9" s="107" t="s">
        <v>537</v>
      </c>
      <c r="DS9" s="107" t="s">
        <v>537</v>
      </c>
      <c r="DT9" s="107" t="s">
        <v>537</v>
      </c>
      <c r="DU9" s="107" t="s">
        <v>537</v>
      </c>
      <c r="DV9" s="107" t="s">
        <v>537</v>
      </c>
      <c r="DW9" s="107" t="s">
        <v>537</v>
      </c>
      <c r="DX9" s="107" t="s">
        <v>537</v>
      </c>
      <c r="DY9" s="107" t="s">
        <v>537</v>
      </c>
      <c r="DZ9" s="107" t="s">
        <v>537</v>
      </c>
      <c r="EA9" s="107" t="s">
        <v>537</v>
      </c>
      <c r="EB9" s="107" t="s">
        <v>537</v>
      </c>
      <c r="EC9" s="107" t="s">
        <v>537</v>
      </c>
      <c r="ED9" s="107" t="s">
        <v>537</v>
      </c>
      <c r="EE9" s="107" t="s">
        <v>537</v>
      </c>
      <c r="EF9" s="107" t="s">
        <v>537</v>
      </c>
      <c r="EG9" s="107" t="s">
        <v>537</v>
      </c>
      <c r="EH9" s="107" t="s">
        <v>537</v>
      </c>
      <c r="EI9" s="107" t="s">
        <v>537</v>
      </c>
      <c r="EJ9" s="107" t="s">
        <v>537</v>
      </c>
      <c r="EK9" s="107" t="s">
        <v>537</v>
      </c>
      <c r="EL9" s="107" t="s">
        <v>537</v>
      </c>
      <c r="EM9" s="107" t="s">
        <v>537</v>
      </c>
      <c r="EN9" s="107" t="s">
        <v>537</v>
      </c>
      <c r="EO9" s="107" t="s">
        <v>537</v>
      </c>
      <c r="EP9" s="107" t="s">
        <v>537</v>
      </c>
      <c r="EQ9" s="107" t="s">
        <v>537</v>
      </c>
      <c r="ER9" s="107" t="s">
        <v>537</v>
      </c>
      <c r="ES9" s="107" t="s">
        <v>537</v>
      </c>
      <c r="ET9" s="107" t="s">
        <v>537</v>
      </c>
      <c r="EU9" s="107" t="s">
        <v>537</v>
      </c>
      <c r="EV9" s="107" t="s">
        <v>537</v>
      </c>
      <c r="EW9" s="107" t="s">
        <v>537</v>
      </c>
      <c r="EX9" s="107" t="s">
        <v>537</v>
      </c>
      <c r="EY9" s="107" t="s">
        <v>537</v>
      </c>
      <c r="EZ9" s="107" t="s">
        <v>537</v>
      </c>
      <c r="FA9" s="107" t="s">
        <v>537</v>
      </c>
      <c r="FB9" s="107" t="s">
        <v>537</v>
      </c>
      <c r="FC9" s="107" t="s">
        <v>537</v>
      </c>
      <c r="FD9" s="107" t="s">
        <v>537</v>
      </c>
      <c r="FE9" s="107" t="s">
        <v>537</v>
      </c>
      <c r="FF9" s="107" t="s">
        <v>537</v>
      </c>
      <c r="FG9" s="107" t="s">
        <v>537</v>
      </c>
      <c r="FH9" s="107" t="s">
        <v>537</v>
      </c>
      <c r="FI9" s="107" t="s">
        <v>537</v>
      </c>
      <c r="FJ9" s="107" t="s">
        <v>537</v>
      </c>
      <c r="FK9" s="107" t="s">
        <v>537</v>
      </c>
      <c r="FL9" s="107" t="s">
        <v>537</v>
      </c>
      <c r="FM9" s="107" t="s">
        <v>537</v>
      </c>
      <c r="FN9" s="107" t="s">
        <v>537</v>
      </c>
      <c r="FO9" s="107" t="s">
        <v>537</v>
      </c>
      <c r="FP9" s="107" t="s">
        <v>537</v>
      </c>
      <c r="FQ9" s="107" t="s">
        <v>537</v>
      </c>
      <c r="FR9" s="107" t="s">
        <v>537</v>
      </c>
      <c r="FS9" s="107" t="s">
        <v>537</v>
      </c>
      <c r="FT9" s="107" t="s">
        <v>537</v>
      </c>
      <c r="FU9" s="107" t="s">
        <v>537</v>
      </c>
      <c r="FV9" s="107" t="s">
        <v>537</v>
      </c>
      <c r="FW9" s="107" t="s">
        <v>537</v>
      </c>
      <c r="FX9" s="107" t="s">
        <v>537</v>
      </c>
      <c r="FY9" s="107" t="s">
        <v>537</v>
      </c>
      <c r="FZ9" s="107" t="s">
        <v>537</v>
      </c>
      <c r="GA9" s="107" t="s">
        <v>537</v>
      </c>
      <c r="GB9" s="107" t="s">
        <v>537</v>
      </c>
      <c r="GC9" s="107" t="s">
        <v>537</v>
      </c>
      <c r="GD9" s="107" t="s">
        <v>537</v>
      </c>
      <c r="GE9" s="107" t="s">
        <v>537</v>
      </c>
      <c r="GF9" s="107" t="s">
        <v>537</v>
      </c>
      <c r="GG9" s="107" t="s">
        <v>537</v>
      </c>
      <c r="GH9" s="107" t="s">
        <v>537</v>
      </c>
      <c r="GI9" s="107" t="s">
        <v>537</v>
      </c>
      <c r="GJ9" s="107" t="s">
        <v>537</v>
      </c>
      <c r="GK9" s="107" t="s">
        <v>537</v>
      </c>
      <c r="GL9" s="107" t="s">
        <v>537</v>
      </c>
      <c r="GM9" s="107" t="s">
        <v>537</v>
      </c>
      <c r="GN9" s="107" t="s">
        <v>537</v>
      </c>
      <c r="GO9" s="107" t="s">
        <v>537</v>
      </c>
      <c r="GP9" s="107" t="s">
        <v>537</v>
      </c>
      <c r="GQ9" s="107" t="s">
        <v>537</v>
      </c>
      <c r="GR9" s="107" t="s">
        <v>537</v>
      </c>
      <c r="GS9" s="107" t="s">
        <v>537</v>
      </c>
      <c r="GT9" s="107" t="s">
        <v>537</v>
      </c>
      <c r="GU9" s="107" t="s">
        <v>537</v>
      </c>
      <c r="GV9" s="107" t="s">
        <v>537</v>
      </c>
      <c r="GW9" s="107" t="s">
        <v>537</v>
      </c>
      <c r="GX9" s="107" t="s">
        <v>537</v>
      </c>
      <c r="GY9" s="107" t="s">
        <v>537</v>
      </c>
      <c r="GZ9" s="107" t="s">
        <v>537</v>
      </c>
      <c r="HA9" s="107" t="s">
        <v>537</v>
      </c>
      <c r="HB9" s="107" t="s">
        <v>537</v>
      </c>
      <c r="HC9" s="107" t="s">
        <v>537</v>
      </c>
      <c r="HD9" s="107" t="s">
        <v>537</v>
      </c>
      <c r="HE9" s="107" t="s">
        <v>537</v>
      </c>
      <c r="HF9" s="107" t="s">
        <v>537</v>
      </c>
      <c r="HG9" s="107" t="s">
        <v>537</v>
      </c>
      <c r="HH9" s="107" t="s">
        <v>537</v>
      </c>
      <c r="HI9" s="107" t="s">
        <v>537</v>
      </c>
      <c r="HJ9" s="107" t="s">
        <v>537</v>
      </c>
      <c r="HK9" s="107" t="s">
        <v>537</v>
      </c>
      <c r="HL9" s="107" t="s">
        <v>537</v>
      </c>
      <c r="HM9" s="107" t="s">
        <v>537</v>
      </c>
      <c r="HN9" s="107" t="s">
        <v>537</v>
      </c>
      <c r="HO9" s="107" t="s">
        <v>537</v>
      </c>
      <c r="HP9" s="107" t="s">
        <v>537</v>
      </c>
      <c r="HQ9" s="107" t="s">
        <v>537</v>
      </c>
      <c r="HR9" s="107" t="s">
        <v>537</v>
      </c>
      <c r="HS9" s="107" t="s">
        <v>537</v>
      </c>
      <c r="HT9" s="107" t="s">
        <v>537</v>
      </c>
      <c r="HU9" s="107" t="s">
        <v>537</v>
      </c>
      <c r="HV9" s="107" t="s">
        <v>537</v>
      </c>
      <c r="HW9" s="107" t="s">
        <v>537</v>
      </c>
      <c r="HX9" s="107" t="s">
        <v>537</v>
      </c>
      <c r="HY9" s="107" t="s">
        <v>537</v>
      </c>
    </row>
    <row r="10" spans="1:233" outlineLevel="1">
      <c r="A10" s="297"/>
      <c r="B10" s="301">
        <v>206</v>
      </c>
      <c r="C10" s="173" t="s">
        <v>538</v>
      </c>
      <c r="D10" s="107" t="s">
        <v>539</v>
      </c>
      <c r="E10" s="107" t="s">
        <v>539</v>
      </c>
      <c r="F10" s="107" t="s">
        <v>539</v>
      </c>
      <c r="G10" s="107" t="s">
        <v>539</v>
      </c>
      <c r="H10" s="107" t="s">
        <v>539</v>
      </c>
      <c r="I10" s="107" t="s">
        <v>539</v>
      </c>
      <c r="J10" s="107" t="s">
        <v>539</v>
      </c>
      <c r="K10" s="107" t="s">
        <v>539</v>
      </c>
      <c r="L10" s="107" t="s">
        <v>539</v>
      </c>
      <c r="M10" s="107" t="s">
        <v>539</v>
      </c>
      <c r="N10" s="107" t="s">
        <v>539</v>
      </c>
      <c r="O10" s="107" t="s">
        <v>539</v>
      </c>
      <c r="P10" s="107" t="s">
        <v>539</v>
      </c>
      <c r="Q10" s="107" t="s">
        <v>539</v>
      </c>
      <c r="R10" s="107" t="s">
        <v>539</v>
      </c>
      <c r="S10" s="107" t="s">
        <v>539</v>
      </c>
      <c r="T10" s="107" t="s">
        <v>539</v>
      </c>
      <c r="U10" s="107" t="s">
        <v>539</v>
      </c>
      <c r="V10" s="107" t="s">
        <v>539</v>
      </c>
      <c r="W10" s="107" t="s">
        <v>539</v>
      </c>
      <c r="X10" s="107" t="s">
        <v>539</v>
      </c>
      <c r="Y10" s="107" t="s">
        <v>539</v>
      </c>
      <c r="Z10" s="107" t="s">
        <v>539</v>
      </c>
      <c r="AA10" s="107" t="s">
        <v>539</v>
      </c>
      <c r="AB10" s="107" t="s">
        <v>539</v>
      </c>
      <c r="AC10" s="107" t="s">
        <v>539</v>
      </c>
      <c r="AD10" s="107" t="s">
        <v>539</v>
      </c>
      <c r="AE10" s="107" t="s">
        <v>539</v>
      </c>
      <c r="AF10" s="107" t="s">
        <v>539</v>
      </c>
      <c r="AG10" s="107" t="s">
        <v>539</v>
      </c>
      <c r="AH10" s="107" t="s">
        <v>539</v>
      </c>
      <c r="AI10" s="107" t="s">
        <v>539</v>
      </c>
      <c r="AJ10" s="107" t="s">
        <v>539</v>
      </c>
      <c r="AK10" s="107" t="s">
        <v>539</v>
      </c>
      <c r="AL10" s="107" t="s">
        <v>539</v>
      </c>
      <c r="AM10" s="107" t="s">
        <v>539</v>
      </c>
      <c r="AN10" s="107" t="s">
        <v>539</v>
      </c>
      <c r="AO10" s="107" t="s">
        <v>539</v>
      </c>
      <c r="AP10" s="107" t="s">
        <v>539</v>
      </c>
      <c r="AQ10" s="107" t="s">
        <v>539</v>
      </c>
      <c r="AR10" s="107" t="s">
        <v>539</v>
      </c>
      <c r="AS10" s="107" t="s">
        <v>539</v>
      </c>
      <c r="AT10" s="107" t="s">
        <v>539</v>
      </c>
      <c r="AU10" s="107" t="s">
        <v>539</v>
      </c>
      <c r="AV10" s="107" t="s">
        <v>539</v>
      </c>
      <c r="AW10" s="107" t="s">
        <v>539</v>
      </c>
      <c r="AX10" s="107" t="s">
        <v>539</v>
      </c>
      <c r="AY10" s="107" t="s">
        <v>539</v>
      </c>
      <c r="AZ10" s="107" t="s">
        <v>539</v>
      </c>
      <c r="BA10" s="107" t="s">
        <v>539</v>
      </c>
      <c r="BB10" s="107" t="s">
        <v>539</v>
      </c>
      <c r="BC10" s="107" t="s">
        <v>539</v>
      </c>
      <c r="BD10" s="107" t="s">
        <v>539</v>
      </c>
      <c r="BE10" s="107" t="s">
        <v>539</v>
      </c>
      <c r="BF10" s="107" t="s">
        <v>539</v>
      </c>
      <c r="BG10" s="107" t="s">
        <v>539</v>
      </c>
      <c r="BH10" s="107" t="s">
        <v>539</v>
      </c>
      <c r="BI10" s="107" t="s">
        <v>539</v>
      </c>
      <c r="BJ10" s="107" t="s">
        <v>539</v>
      </c>
      <c r="BK10" s="107" t="s">
        <v>539</v>
      </c>
      <c r="BL10" s="107" t="s">
        <v>539</v>
      </c>
      <c r="BM10" s="107" t="s">
        <v>539</v>
      </c>
      <c r="BN10" s="107" t="s">
        <v>539</v>
      </c>
      <c r="BO10" s="107" t="s">
        <v>539</v>
      </c>
      <c r="BP10" s="107" t="s">
        <v>539</v>
      </c>
      <c r="BQ10" s="107" t="s">
        <v>539</v>
      </c>
      <c r="BR10" s="107" t="s">
        <v>539</v>
      </c>
      <c r="BS10" s="107" t="s">
        <v>539</v>
      </c>
      <c r="BT10" s="107" t="s">
        <v>539</v>
      </c>
      <c r="BU10" s="107" t="s">
        <v>539</v>
      </c>
      <c r="BV10" s="107" t="s">
        <v>539</v>
      </c>
      <c r="BW10" s="107" t="s">
        <v>539</v>
      </c>
      <c r="BX10" s="107" t="s">
        <v>539</v>
      </c>
      <c r="BY10" s="107" t="s">
        <v>539</v>
      </c>
      <c r="BZ10" s="107" t="s">
        <v>539</v>
      </c>
      <c r="CA10" s="107" t="s">
        <v>539</v>
      </c>
      <c r="CB10" s="107" t="s">
        <v>539</v>
      </c>
      <c r="CC10" s="107" t="s">
        <v>539</v>
      </c>
      <c r="CD10" s="107" t="s">
        <v>539</v>
      </c>
      <c r="CE10" s="107" t="s">
        <v>539</v>
      </c>
      <c r="CF10" s="107" t="s">
        <v>539</v>
      </c>
      <c r="CG10" s="107" t="s">
        <v>539</v>
      </c>
      <c r="CH10" s="107" t="s">
        <v>539</v>
      </c>
      <c r="CI10" s="107" t="s">
        <v>539</v>
      </c>
      <c r="CJ10" s="107" t="s">
        <v>539</v>
      </c>
      <c r="CK10" s="107" t="s">
        <v>539</v>
      </c>
      <c r="CL10" s="107" t="s">
        <v>539</v>
      </c>
      <c r="CM10" s="107" t="s">
        <v>539</v>
      </c>
      <c r="CN10" s="107" t="s">
        <v>539</v>
      </c>
      <c r="CO10" s="107" t="s">
        <v>539</v>
      </c>
      <c r="CP10" s="107" t="s">
        <v>539</v>
      </c>
      <c r="CQ10" s="107" t="s">
        <v>539</v>
      </c>
      <c r="CR10" s="107" t="s">
        <v>539</v>
      </c>
      <c r="CS10" s="107" t="s">
        <v>539</v>
      </c>
      <c r="CT10" s="107" t="s">
        <v>539</v>
      </c>
      <c r="CU10" s="107" t="s">
        <v>539</v>
      </c>
      <c r="CV10" s="107" t="s">
        <v>539</v>
      </c>
      <c r="CW10" s="107" t="s">
        <v>539</v>
      </c>
      <c r="CX10" s="107" t="s">
        <v>539</v>
      </c>
      <c r="CY10" s="107" t="s">
        <v>539</v>
      </c>
      <c r="CZ10" s="107" t="s">
        <v>539</v>
      </c>
      <c r="DA10" s="107" t="s">
        <v>539</v>
      </c>
      <c r="DB10" s="107" t="s">
        <v>539</v>
      </c>
      <c r="DC10" s="107" t="s">
        <v>539</v>
      </c>
      <c r="DD10" s="107" t="s">
        <v>539</v>
      </c>
      <c r="DE10" s="107" t="s">
        <v>539</v>
      </c>
      <c r="DF10" s="107" t="s">
        <v>539</v>
      </c>
      <c r="DG10" s="107" t="s">
        <v>539</v>
      </c>
      <c r="DH10" s="107" t="s">
        <v>539</v>
      </c>
      <c r="DI10" s="107" t="s">
        <v>539</v>
      </c>
      <c r="DJ10" s="107" t="s">
        <v>539</v>
      </c>
      <c r="DK10" s="107" t="s">
        <v>539</v>
      </c>
      <c r="DL10" s="107" t="s">
        <v>539</v>
      </c>
      <c r="DM10" s="107" t="s">
        <v>539</v>
      </c>
      <c r="DN10" s="107" t="s">
        <v>539</v>
      </c>
      <c r="DO10" s="107" t="s">
        <v>539</v>
      </c>
      <c r="DP10" s="107" t="s">
        <v>539</v>
      </c>
      <c r="DQ10" s="107" t="s">
        <v>539</v>
      </c>
      <c r="DR10" s="107" t="s">
        <v>539</v>
      </c>
      <c r="DS10" s="107" t="s">
        <v>539</v>
      </c>
      <c r="DT10" s="107" t="s">
        <v>539</v>
      </c>
      <c r="DU10" s="107" t="s">
        <v>539</v>
      </c>
      <c r="DV10" s="107" t="s">
        <v>539</v>
      </c>
      <c r="DW10" s="107" t="s">
        <v>539</v>
      </c>
      <c r="DX10" s="107" t="s">
        <v>539</v>
      </c>
      <c r="DY10" s="107" t="s">
        <v>539</v>
      </c>
      <c r="DZ10" s="107" t="s">
        <v>539</v>
      </c>
      <c r="EA10" s="107" t="s">
        <v>539</v>
      </c>
      <c r="EB10" s="107" t="s">
        <v>539</v>
      </c>
      <c r="EC10" s="107" t="s">
        <v>539</v>
      </c>
      <c r="ED10" s="107" t="s">
        <v>539</v>
      </c>
      <c r="EE10" s="107" t="s">
        <v>539</v>
      </c>
      <c r="EF10" s="107" t="s">
        <v>539</v>
      </c>
      <c r="EG10" s="107" t="s">
        <v>539</v>
      </c>
      <c r="EH10" s="107" t="s">
        <v>539</v>
      </c>
      <c r="EI10" s="107" t="s">
        <v>539</v>
      </c>
      <c r="EJ10" s="107" t="s">
        <v>539</v>
      </c>
      <c r="EK10" s="107" t="s">
        <v>539</v>
      </c>
      <c r="EL10" s="107" t="s">
        <v>539</v>
      </c>
      <c r="EM10" s="107" t="s">
        <v>539</v>
      </c>
      <c r="EN10" s="107" t="s">
        <v>539</v>
      </c>
      <c r="EO10" s="107" t="s">
        <v>539</v>
      </c>
      <c r="EP10" s="107" t="s">
        <v>539</v>
      </c>
      <c r="EQ10" s="107" t="s">
        <v>539</v>
      </c>
      <c r="ER10" s="107" t="s">
        <v>539</v>
      </c>
      <c r="ES10" s="107" t="s">
        <v>539</v>
      </c>
      <c r="ET10" s="107" t="s">
        <v>539</v>
      </c>
      <c r="EU10" s="107" t="s">
        <v>539</v>
      </c>
      <c r="EV10" s="107" t="s">
        <v>539</v>
      </c>
      <c r="EW10" s="107" t="s">
        <v>539</v>
      </c>
      <c r="EX10" s="107" t="s">
        <v>539</v>
      </c>
      <c r="EY10" s="107" t="s">
        <v>539</v>
      </c>
      <c r="EZ10" s="107" t="s">
        <v>539</v>
      </c>
      <c r="FA10" s="107" t="s">
        <v>539</v>
      </c>
      <c r="FB10" s="107" t="s">
        <v>539</v>
      </c>
      <c r="FC10" s="107" t="s">
        <v>539</v>
      </c>
      <c r="FD10" s="107" t="s">
        <v>539</v>
      </c>
      <c r="FE10" s="107" t="s">
        <v>539</v>
      </c>
      <c r="FF10" s="107" t="s">
        <v>539</v>
      </c>
      <c r="FG10" s="107" t="s">
        <v>539</v>
      </c>
      <c r="FH10" s="107" t="s">
        <v>539</v>
      </c>
      <c r="FI10" s="107" t="s">
        <v>539</v>
      </c>
      <c r="FJ10" s="107" t="s">
        <v>539</v>
      </c>
      <c r="FK10" s="107" t="s">
        <v>539</v>
      </c>
      <c r="FL10" s="107" t="s">
        <v>539</v>
      </c>
      <c r="FM10" s="107" t="s">
        <v>539</v>
      </c>
      <c r="FN10" s="107" t="s">
        <v>539</v>
      </c>
      <c r="FO10" s="107" t="s">
        <v>539</v>
      </c>
      <c r="FP10" s="107" t="s">
        <v>539</v>
      </c>
      <c r="FQ10" s="107" t="s">
        <v>539</v>
      </c>
      <c r="FR10" s="107" t="s">
        <v>539</v>
      </c>
      <c r="FS10" s="107" t="s">
        <v>539</v>
      </c>
      <c r="FT10" s="107" t="s">
        <v>539</v>
      </c>
      <c r="FU10" s="107" t="s">
        <v>539</v>
      </c>
      <c r="FV10" s="107" t="s">
        <v>539</v>
      </c>
      <c r="FW10" s="107" t="s">
        <v>539</v>
      </c>
      <c r="FX10" s="107" t="s">
        <v>539</v>
      </c>
      <c r="FY10" s="107" t="s">
        <v>539</v>
      </c>
      <c r="FZ10" s="107" t="s">
        <v>539</v>
      </c>
      <c r="GA10" s="107" t="s">
        <v>539</v>
      </c>
      <c r="GB10" s="107" t="s">
        <v>539</v>
      </c>
      <c r="GC10" s="107" t="s">
        <v>539</v>
      </c>
      <c r="GD10" s="107" t="s">
        <v>539</v>
      </c>
      <c r="GE10" s="107" t="s">
        <v>539</v>
      </c>
      <c r="GF10" s="107" t="s">
        <v>539</v>
      </c>
      <c r="GG10" s="107" t="s">
        <v>539</v>
      </c>
      <c r="GH10" s="107" t="s">
        <v>539</v>
      </c>
      <c r="GI10" s="107" t="s">
        <v>539</v>
      </c>
      <c r="GJ10" s="107" t="s">
        <v>539</v>
      </c>
      <c r="GK10" s="107" t="s">
        <v>539</v>
      </c>
      <c r="GL10" s="107" t="s">
        <v>539</v>
      </c>
      <c r="GM10" s="107" t="s">
        <v>539</v>
      </c>
      <c r="GN10" s="107" t="s">
        <v>539</v>
      </c>
      <c r="GO10" s="107" t="s">
        <v>539</v>
      </c>
      <c r="GP10" s="107" t="s">
        <v>539</v>
      </c>
      <c r="GQ10" s="107" t="s">
        <v>539</v>
      </c>
      <c r="GR10" s="107" t="s">
        <v>539</v>
      </c>
      <c r="GS10" s="107" t="s">
        <v>539</v>
      </c>
      <c r="GT10" s="107" t="s">
        <v>539</v>
      </c>
      <c r="GU10" s="107" t="s">
        <v>539</v>
      </c>
      <c r="GV10" s="107" t="s">
        <v>539</v>
      </c>
      <c r="GW10" s="107" t="s">
        <v>539</v>
      </c>
      <c r="GX10" s="107" t="s">
        <v>539</v>
      </c>
      <c r="GY10" s="107" t="s">
        <v>539</v>
      </c>
      <c r="GZ10" s="107" t="s">
        <v>539</v>
      </c>
      <c r="HA10" s="107" t="s">
        <v>539</v>
      </c>
      <c r="HB10" s="107" t="s">
        <v>539</v>
      </c>
      <c r="HC10" s="107" t="s">
        <v>539</v>
      </c>
      <c r="HD10" s="107" t="s">
        <v>539</v>
      </c>
      <c r="HE10" s="107" t="s">
        <v>539</v>
      </c>
      <c r="HF10" s="107" t="s">
        <v>539</v>
      </c>
      <c r="HG10" s="107" t="s">
        <v>539</v>
      </c>
      <c r="HH10" s="107" t="s">
        <v>539</v>
      </c>
      <c r="HI10" s="107" t="s">
        <v>539</v>
      </c>
      <c r="HJ10" s="107" t="s">
        <v>539</v>
      </c>
      <c r="HK10" s="107" t="s">
        <v>539</v>
      </c>
      <c r="HL10" s="107" t="s">
        <v>539</v>
      </c>
      <c r="HM10" s="107" t="s">
        <v>539</v>
      </c>
      <c r="HN10" s="107" t="s">
        <v>539</v>
      </c>
      <c r="HO10" s="107" t="s">
        <v>539</v>
      </c>
      <c r="HP10" s="107" t="s">
        <v>539</v>
      </c>
      <c r="HQ10" s="107" t="s">
        <v>539</v>
      </c>
      <c r="HR10" s="107" t="s">
        <v>539</v>
      </c>
      <c r="HS10" s="107" t="s">
        <v>539</v>
      </c>
      <c r="HT10" s="107" t="s">
        <v>539</v>
      </c>
      <c r="HU10" s="107" t="s">
        <v>539</v>
      </c>
      <c r="HV10" s="107" t="s">
        <v>539</v>
      </c>
      <c r="HW10" s="107" t="s">
        <v>539</v>
      </c>
      <c r="HX10" s="107" t="s">
        <v>539</v>
      </c>
      <c r="HY10" s="107" t="s">
        <v>539</v>
      </c>
    </row>
    <row r="11" spans="1:233" outlineLevel="1">
      <c r="A11" s="297" t="s">
        <v>540</v>
      </c>
      <c r="B11" s="301">
        <v>302</v>
      </c>
      <c r="C11" s="173" t="s">
        <v>541</v>
      </c>
      <c r="D11" s="303">
        <v>87</v>
      </c>
      <c r="E11" s="303">
        <v>45</v>
      </c>
      <c r="F11" s="303">
        <v>45</v>
      </c>
      <c r="G11" s="303">
        <v>41</v>
      </c>
      <c r="H11" s="303">
        <v>41</v>
      </c>
      <c r="I11" s="303">
        <v>87</v>
      </c>
      <c r="J11" s="303">
        <v>87</v>
      </c>
      <c r="K11" s="303">
        <v>87</v>
      </c>
      <c r="L11" s="303">
        <v>87</v>
      </c>
      <c r="M11" s="303">
        <v>87</v>
      </c>
      <c r="N11" s="303">
        <v>87</v>
      </c>
      <c r="O11" s="303">
        <v>41</v>
      </c>
      <c r="P11" s="303">
        <v>41</v>
      </c>
      <c r="Q11" s="303">
        <v>87</v>
      </c>
      <c r="R11" s="303">
        <v>87</v>
      </c>
      <c r="S11" s="303">
        <v>87</v>
      </c>
      <c r="T11" s="303">
        <v>41</v>
      </c>
      <c r="U11" s="303">
        <v>87</v>
      </c>
      <c r="V11" s="303">
        <v>87</v>
      </c>
      <c r="W11" s="303">
        <v>87</v>
      </c>
      <c r="X11" s="303">
        <v>41</v>
      </c>
      <c r="Y11" s="303">
        <v>87</v>
      </c>
      <c r="Z11" s="303">
        <v>45</v>
      </c>
      <c r="AA11" s="303">
        <v>45</v>
      </c>
      <c r="AB11" s="303">
        <v>45</v>
      </c>
      <c r="AC11" s="303">
        <v>41</v>
      </c>
      <c r="AD11" s="303">
        <v>41</v>
      </c>
      <c r="AE11" s="303">
        <v>87</v>
      </c>
      <c r="AF11" s="303">
        <v>87</v>
      </c>
      <c r="AG11" s="303">
        <v>87</v>
      </c>
      <c r="AH11" s="303">
        <v>41</v>
      </c>
      <c r="AI11" s="303">
        <v>41</v>
      </c>
      <c r="AJ11" s="303">
        <v>41</v>
      </c>
      <c r="AK11" s="303">
        <v>41</v>
      </c>
      <c r="AL11" s="303">
        <v>41</v>
      </c>
      <c r="AM11" s="303">
        <v>41</v>
      </c>
      <c r="AN11" s="303">
        <v>87</v>
      </c>
      <c r="AO11" s="303">
        <v>87</v>
      </c>
      <c r="AP11" s="303">
        <v>87</v>
      </c>
      <c r="AQ11" s="303">
        <v>41</v>
      </c>
      <c r="AR11" s="303">
        <v>87</v>
      </c>
      <c r="AS11" s="303">
        <v>87</v>
      </c>
      <c r="AT11" s="303">
        <v>87</v>
      </c>
      <c r="AU11" s="303">
        <v>41</v>
      </c>
      <c r="AV11" s="303">
        <v>41</v>
      </c>
      <c r="AW11" s="303">
        <v>87</v>
      </c>
      <c r="AX11" s="303">
        <v>87</v>
      </c>
      <c r="AY11" s="303">
        <v>87</v>
      </c>
      <c r="AZ11" s="303">
        <v>41</v>
      </c>
      <c r="BA11" s="303">
        <v>87</v>
      </c>
      <c r="BB11" s="303">
        <v>87</v>
      </c>
      <c r="BC11" s="303">
        <v>87</v>
      </c>
      <c r="BD11" s="303">
        <v>41</v>
      </c>
      <c r="BE11" s="303">
        <v>87</v>
      </c>
      <c r="BF11" s="303">
        <v>87</v>
      </c>
      <c r="BG11" s="303">
        <v>87</v>
      </c>
      <c r="BH11" s="303">
        <v>41</v>
      </c>
      <c r="BI11" s="303">
        <v>87</v>
      </c>
      <c r="BJ11" s="303">
        <v>87</v>
      </c>
      <c r="BK11" s="303">
        <v>87</v>
      </c>
      <c r="BL11" s="303">
        <v>41</v>
      </c>
      <c r="BM11" s="303">
        <v>87</v>
      </c>
      <c r="BN11" s="303">
        <v>87</v>
      </c>
      <c r="BO11" s="303">
        <v>87</v>
      </c>
      <c r="BP11" s="303">
        <v>41</v>
      </c>
      <c r="BQ11" s="303">
        <v>87</v>
      </c>
      <c r="BR11" s="303">
        <v>87</v>
      </c>
      <c r="BS11" s="303">
        <v>87</v>
      </c>
      <c r="BT11" s="303">
        <v>41</v>
      </c>
      <c r="BU11" s="303">
        <v>45</v>
      </c>
      <c r="BV11" s="303">
        <v>45</v>
      </c>
      <c r="BW11" s="303">
        <v>45</v>
      </c>
      <c r="BX11" s="303">
        <v>45</v>
      </c>
      <c r="BY11" s="303">
        <v>45</v>
      </c>
      <c r="BZ11" s="303">
        <v>45</v>
      </c>
      <c r="CA11" s="303">
        <v>45</v>
      </c>
      <c r="CB11" s="303">
        <v>45</v>
      </c>
      <c r="CC11" s="303">
        <v>45</v>
      </c>
      <c r="CD11" s="303">
        <v>45</v>
      </c>
      <c r="CE11" s="303">
        <v>45</v>
      </c>
      <c r="CF11" s="303">
        <v>45</v>
      </c>
      <c r="CG11" s="303">
        <v>45</v>
      </c>
      <c r="CH11" s="303">
        <v>45</v>
      </c>
      <c r="CI11" s="303">
        <v>41</v>
      </c>
      <c r="CJ11" s="303">
        <v>41</v>
      </c>
      <c r="CK11" s="303">
        <v>41</v>
      </c>
      <c r="CL11" s="303">
        <v>41</v>
      </c>
      <c r="CM11" s="303">
        <v>41</v>
      </c>
      <c r="CN11" s="303">
        <v>41</v>
      </c>
      <c r="CO11" s="303">
        <v>41</v>
      </c>
      <c r="CP11" s="303">
        <v>41</v>
      </c>
      <c r="CQ11" s="303">
        <v>41</v>
      </c>
      <c r="CR11" s="303">
        <v>41</v>
      </c>
      <c r="CS11" s="303">
        <v>41</v>
      </c>
      <c r="CT11" s="303">
        <v>41</v>
      </c>
      <c r="CU11" s="303">
        <v>41</v>
      </c>
      <c r="CV11" s="303">
        <v>41</v>
      </c>
      <c r="CW11" s="303">
        <v>41</v>
      </c>
      <c r="CX11" s="303">
        <v>41</v>
      </c>
      <c r="CY11" s="303">
        <v>41</v>
      </c>
      <c r="CZ11" s="303">
        <v>41</v>
      </c>
      <c r="DA11" s="303">
        <v>41</v>
      </c>
      <c r="DB11" s="303">
        <v>41</v>
      </c>
      <c r="DC11" s="303">
        <v>41</v>
      </c>
      <c r="DD11" s="303">
        <v>41</v>
      </c>
      <c r="DE11" s="303">
        <v>41</v>
      </c>
      <c r="DF11" s="303">
        <v>87</v>
      </c>
      <c r="DG11" s="303">
        <v>87</v>
      </c>
      <c r="DH11" s="303">
        <v>87</v>
      </c>
      <c r="DI11" s="303">
        <v>87</v>
      </c>
      <c r="DJ11" s="303">
        <v>87</v>
      </c>
      <c r="DK11" s="303">
        <v>41</v>
      </c>
      <c r="DL11" s="303">
        <v>41</v>
      </c>
      <c r="DM11" s="303">
        <v>41</v>
      </c>
      <c r="DN11" s="303">
        <v>41</v>
      </c>
      <c r="DO11" s="303">
        <v>41</v>
      </c>
      <c r="DP11" s="303">
        <v>41</v>
      </c>
      <c r="DQ11" s="303">
        <v>41</v>
      </c>
      <c r="DR11" s="303">
        <v>87</v>
      </c>
      <c r="DS11" s="303">
        <v>87</v>
      </c>
      <c r="DT11" s="303">
        <v>41</v>
      </c>
      <c r="DU11" s="303">
        <v>41</v>
      </c>
      <c r="DV11" s="303">
        <v>41</v>
      </c>
      <c r="DW11" s="303">
        <v>41</v>
      </c>
      <c r="DX11" s="303">
        <v>41</v>
      </c>
      <c r="DY11" s="303">
        <v>41</v>
      </c>
      <c r="DZ11" s="303">
        <v>45</v>
      </c>
      <c r="EA11" s="303">
        <v>45</v>
      </c>
      <c r="EB11" s="303">
        <v>45</v>
      </c>
      <c r="EC11" s="303">
        <v>45</v>
      </c>
      <c r="ED11" s="303">
        <v>45</v>
      </c>
      <c r="EE11" s="303">
        <v>45</v>
      </c>
      <c r="EF11" s="303">
        <v>45</v>
      </c>
      <c r="EG11" s="303">
        <v>45</v>
      </c>
      <c r="EH11" s="303">
        <v>45</v>
      </c>
      <c r="EI11" s="303">
        <v>45</v>
      </c>
      <c r="EJ11" s="303">
        <v>45</v>
      </c>
      <c r="EK11" s="303">
        <v>45</v>
      </c>
      <c r="EL11" s="303">
        <v>45</v>
      </c>
      <c r="EM11" s="303">
        <v>45</v>
      </c>
      <c r="EN11" s="303">
        <v>45</v>
      </c>
      <c r="EO11" s="303">
        <v>45</v>
      </c>
      <c r="EP11" s="303">
        <v>45</v>
      </c>
      <c r="EQ11" s="303">
        <v>45</v>
      </c>
      <c r="ER11" s="303">
        <v>45</v>
      </c>
      <c r="ES11" s="303">
        <v>45</v>
      </c>
      <c r="ET11" s="303">
        <v>45</v>
      </c>
      <c r="EU11" s="303">
        <v>45</v>
      </c>
      <c r="EV11" s="303">
        <v>45</v>
      </c>
      <c r="EW11" s="303">
        <v>45</v>
      </c>
      <c r="EX11" s="303">
        <v>45</v>
      </c>
      <c r="EY11" s="303">
        <v>45</v>
      </c>
      <c r="EZ11" s="303">
        <v>45</v>
      </c>
      <c r="FA11" s="303">
        <v>45</v>
      </c>
      <c r="FB11" s="303">
        <v>45</v>
      </c>
      <c r="FC11" s="303">
        <v>45</v>
      </c>
      <c r="FD11" s="303">
        <v>45</v>
      </c>
      <c r="FE11" s="303">
        <v>45</v>
      </c>
      <c r="FF11" s="303">
        <v>45</v>
      </c>
      <c r="FG11" s="303">
        <v>45</v>
      </c>
      <c r="FH11" s="303">
        <v>45</v>
      </c>
      <c r="FI11" s="303">
        <v>45</v>
      </c>
      <c r="FJ11" s="303">
        <v>45</v>
      </c>
      <c r="FK11" s="303">
        <v>45</v>
      </c>
      <c r="FL11" s="303">
        <v>45</v>
      </c>
      <c r="FM11" s="303">
        <v>45</v>
      </c>
      <c r="FN11" s="303">
        <v>41</v>
      </c>
      <c r="FO11" s="303">
        <v>41</v>
      </c>
      <c r="FP11" s="303">
        <v>41</v>
      </c>
      <c r="FQ11" s="303">
        <v>41</v>
      </c>
      <c r="FR11" s="303">
        <v>41</v>
      </c>
      <c r="FS11" s="303">
        <v>41</v>
      </c>
      <c r="FT11" s="303">
        <v>41</v>
      </c>
      <c r="FU11" s="303">
        <v>41</v>
      </c>
      <c r="FV11" s="303">
        <v>41</v>
      </c>
      <c r="FW11" s="303">
        <v>41</v>
      </c>
      <c r="FX11" s="303">
        <v>41</v>
      </c>
      <c r="FY11" s="303">
        <v>41</v>
      </c>
      <c r="FZ11" s="303">
        <v>41</v>
      </c>
      <c r="GA11" s="303">
        <v>41</v>
      </c>
      <c r="GB11" s="303">
        <v>41</v>
      </c>
      <c r="GC11" s="303">
        <v>41</v>
      </c>
      <c r="GD11" s="303">
        <v>41</v>
      </c>
      <c r="GE11" s="303">
        <v>41</v>
      </c>
      <c r="GF11" s="303">
        <v>41</v>
      </c>
      <c r="GG11" s="303">
        <v>41</v>
      </c>
      <c r="GH11" s="303">
        <v>41</v>
      </c>
      <c r="GI11" s="303">
        <v>41</v>
      </c>
      <c r="GJ11" s="303">
        <v>41</v>
      </c>
      <c r="GK11" s="303">
        <v>41</v>
      </c>
      <c r="GL11" s="303">
        <v>41</v>
      </c>
      <c r="GM11" s="303">
        <v>41</v>
      </c>
      <c r="GN11" s="303">
        <v>41</v>
      </c>
      <c r="GO11" s="303">
        <v>41</v>
      </c>
      <c r="GP11" s="303">
        <v>41</v>
      </c>
      <c r="GQ11" s="303">
        <v>41</v>
      </c>
      <c r="GR11" s="303">
        <v>41</v>
      </c>
      <c r="GS11" s="303">
        <v>41</v>
      </c>
      <c r="GT11" s="303">
        <v>41</v>
      </c>
      <c r="GU11" s="303">
        <v>41</v>
      </c>
      <c r="GV11" s="303">
        <v>41</v>
      </c>
      <c r="GW11" s="303">
        <v>41</v>
      </c>
      <c r="GX11" s="303">
        <v>41</v>
      </c>
      <c r="GY11" s="303">
        <v>41</v>
      </c>
      <c r="GZ11" s="303">
        <v>41</v>
      </c>
      <c r="HA11" s="303">
        <v>41</v>
      </c>
      <c r="HB11" s="303">
        <v>41</v>
      </c>
      <c r="HC11" s="303">
        <v>41</v>
      </c>
      <c r="HD11" s="303">
        <v>41</v>
      </c>
      <c r="HE11" s="303">
        <v>41</v>
      </c>
      <c r="HF11" s="303">
        <v>41</v>
      </c>
      <c r="HG11" s="303">
        <v>41</v>
      </c>
      <c r="HH11" s="303">
        <v>41</v>
      </c>
      <c r="HI11" s="303">
        <v>41</v>
      </c>
      <c r="HJ11" s="303">
        <v>41</v>
      </c>
      <c r="HK11" s="303">
        <v>41</v>
      </c>
      <c r="HL11" s="303">
        <v>41</v>
      </c>
      <c r="HM11" s="303">
        <v>41</v>
      </c>
      <c r="HN11" s="303">
        <v>41</v>
      </c>
      <c r="HO11" s="303">
        <v>41</v>
      </c>
      <c r="HP11" s="303">
        <v>41</v>
      </c>
      <c r="HQ11" s="303">
        <v>41</v>
      </c>
      <c r="HR11" s="303">
        <v>41</v>
      </c>
      <c r="HS11" s="303">
        <v>41</v>
      </c>
      <c r="HT11" s="303">
        <v>41</v>
      </c>
      <c r="HU11" s="303">
        <v>41</v>
      </c>
      <c r="HV11" s="303">
        <v>41</v>
      </c>
      <c r="HW11" s="303">
        <v>41</v>
      </c>
      <c r="HX11" s="303">
        <v>41</v>
      </c>
      <c r="HY11" s="303">
        <v>41</v>
      </c>
    </row>
    <row r="12" spans="1:233" outlineLevel="1">
      <c r="A12" s="297"/>
      <c r="B12" s="301">
        <v>304</v>
      </c>
      <c r="C12" s="173" t="s">
        <v>542</v>
      </c>
      <c r="D12" s="107">
        <v>1</v>
      </c>
      <c r="E12" s="107">
        <v>1</v>
      </c>
      <c r="F12" s="107">
        <v>1</v>
      </c>
      <c r="G12" s="107">
        <v>1</v>
      </c>
      <c r="H12" s="107">
        <v>1</v>
      </c>
      <c r="I12" s="107">
        <v>1</v>
      </c>
      <c r="J12" s="107">
        <v>1</v>
      </c>
      <c r="K12" s="107">
        <v>1</v>
      </c>
      <c r="L12" s="107">
        <v>1</v>
      </c>
      <c r="M12" s="107">
        <v>1</v>
      </c>
      <c r="N12" s="107">
        <v>1</v>
      </c>
      <c r="O12" s="107">
        <v>1</v>
      </c>
      <c r="P12" s="107">
        <v>1</v>
      </c>
      <c r="Q12" s="107">
        <v>1</v>
      </c>
      <c r="R12" s="107">
        <v>1</v>
      </c>
      <c r="S12" s="107">
        <v>1</v>
      </c>
      <c r="T12" s="107">
        <v>1</v>
      </c>
      <c r="U12" s="107">
        <v>1</v>
      </c>
      <c r="V12" s="107">
        <v>1</v>
      </c>
      <c r="W12" s="107">
        <v>1</v>
      </c>
      <c r="X12" s="107">
        <v>1</v>
      </c>
      <c r="Y12" s="107">
        <v>1</v>
      </c>
      <c r="Z12" s="107">
        <v>1</v>
      </c>
      <c r="AA12" s="107">
        <v>1</v>
      </c>
      <c r="AB12" s="107">
        <v>1</v>
      </c>
      <c r="AC12" s="107">
        <v>1</v>
      </c>
      <c r="AD12" s="107">
        <v>1</v>
      </c>
      <c r="AE12" s="107">
        <v>1</v>
      </c>
      <c r="AF12" s="107">
        <v>1</v>
      </c>
      <c r="AG12" s="107">
        <v>1</v>
      </c>
      <c r="AH12" s="107">
        <v>1</v>
      </c>
      <c r="AI12" s="107">
        <v>1</v>
      </c>
      <c r="AJ12" s="107">
        <v>1</v>
      </c>
      <c r="AK12" s="107">
        <v>1</v>
      </c>
      <c r="AL12" s="107">
        <v>1</v>
      </c>
      <c r="AM12" s="107">
        <v>1</v>
      </c>
      <c r="AN12" s="107">
        <v>1</v>
      </c>
      <c r="AO12" s="107">
        <v>1</v>
      </c>
      <c r="AP12" s="107">
        <v>1</v>
      </c>
      <c r="AQ12" s="107">
        <v>1</v>
      </c>
      <c r="AR12" s="107">
        <v>1</v>
      </c>
      <c r="AS12" s="107">
        <v>1</v>
      </c>
      <c r="AT12" s="107">
        <v>1</v>
      </c>
      <c r="AU12" s="107">
        <v>1</v>
      </c>
      <c r="AV12" s="107">
        <v>1</v>
      </c>
      <c r="AW12" s="107">
        <v>1</v>
      </c>
      <c r="AX12" s="107">
        <v>1</v>
      </c>
      <c r="AY12" s="107">
        <v>1</v>
      </c>
      <c r="AZ12" s="107">
        <v>1</v>
      </c>
      <c r="BA12" s="107">
        <v>1</v>
      </c>
      <c r="BB12" s="107">
        <v>1</v>
      </c>
      <c r="BC12" s="107">
        <v>1</v>
      </c>
      <c r="BD12" s="107">
        <v>1</v>
      </c>
      <c r="BE12" s="107">
        <v>1</v>
      </c>
      <c r="BF12" s="107">
        <v>1</v>
      </c>
      <c r="BG12" s="107">
        <v>1</v>
      </c>
      <c r="BH12" s="107">
        <v>1</v>
      </c>
      <c r="BI12" s="107">
        <v>1</v>
      </c>
      <c r="BJ12" s="107">
        <v>1</v>
      </c>
      <c r="BK12" s="107">
        <v>1</v>
      </c>
      <c r="BL12" s="107">
        <v>1</v>
      </c>
      <c r="BM12" s="107">
        <v>1</v>
      </c>
      <c r="BN12" s="107">
        <v>1</v>
      </c>
      <c r="BO12" s="107">
        <v>1</v>
      </c>
      <c r="BP12" s="107">
        <v>1</v>
      </c>
      <c r="BQ12" s="107">
        <v>1</v>
      </c>
      <c r="BR12" s="107">
        <v>1</v>
      </c>
      <c r="BS12" s="107">
        <v>1</v>
      </c>
      <c r="BT12" s="107">
        <v>1</v>
      </c>
      <c r="BU12" s="107">
        <v>1</v>
      </c>
      <c r="BV12" s="107">
        <v>1</v>
      </c>
      <c r="BW12" s="107">
        <v>1</v>
      </c>
      <c r="BX12" s="107">
        <v>1</v>
      </c>
      <c r="BY12" s="107">
        <v>1</v>
      </c>
      <c r="BZ12" s="107">
        <v>1</v>
      </c>
      <c r="CA12" s="107">
        <v>1</v>
      </c>
      <c r="CB12" s="107">
        <v>1</v>
      </c>
      <c r="CC12" s="107">
        <v>1</v>
      </c>
      <c r="CD12" s="107">
        <v>1</v>
      </c>
      <c r="CE12" s="107">
        <v>1</v>
      </c>
      <c r="CF12" s="107">
        <v>1</v>
      </c>
      <c r="CG12" s="107">
        <v>1</v>
      </c>
      <c r="CH12" s="107">
        <v>1</v>
      </c>
      <c r="CI12" s="107">
        <v>1</v>
      </c>
      <c r="CJ12" s="107">
        <v>1</v>
      </c>
      <c r="CK12" s="107">
        <v>1</v>
      </c>
      <c r="CL12" s="107">
        <v>1</v>
      </c>
      <c r="CM12" s="107">
        <v>1</v>
      </c>
      <c r="CN12" s="107">
        <v>1</v>
      </c>
      <c r="CO12" s="107">
        <v>1</v>
      </c>
      <c r="CP12" s="107">
        <v>1</v>
      </c>
      <c r="CQ12" s="107">
        <v>1</v>
      </c>
      <c r="CR12" s="107">
        <v>1</v>
      </c>
      <c r="CS12" s="107">
        <v>1</v>
      </c>
      <c r="CT12" s="107">
        <v>1</v>
      </c>
      <c r="CU12" s="107">
        <v>1</v>
      </c>
      <c r="CV12" s="107">
        <v>1</v>
      </c>
      <c r="CW12" s="107">
        <v>1</v>
      </c>
      <c r="CX12" s="107">
        <v>1</v>
      </c>
      <c r="CY12" s="107">
        <v>1</v>
      </c>
      <c r="CZ12" s="107">
        <v>1</v>
      </c>
      <c r="DA12" s="107">
        <v>1</v>
      </c>
      <c r="DB12" s="107">
        <v>1</v>
      </c>
      <c r="DC12" s="107">
        <v>1</v>
      </c>
      <c r="DD12" s="107">
        <v>1</v>
      </c>
      <c r="DE12" s="107">
        <v>1</v>
      </c>
      <c r="DF12" s="107">
        <v>1</v>
      </c>
      <c r="DG12" s="107">
        <v>1</v>
      </c>
      <c r="DH12" s="107">
        <v>1</v>
      </c>
      <c r="DI12" s="107">
        <v>1</v>
      </c>
      <c r="DJ12" s="107">
        <v>1</v>
      </c>
      <c r="DK12" s="107">
        <v>1</v>
      </c>
      <c r="DL12" s="107">
        <v>1</v>
      </c>
      <c r="DM12" s="107">
        <v>1</v>
      </c>
      <c r="DN12" s="107">
        <v>1</v>
      </c>
      <c r="DO12" s="107">
        <v>1</v>
      </c>
      <c r="DP12" s="107">
        <v>1</v>
      </c>
      <c r="DQ12" s="107">
        <v>1</v>
      </c>
      <c r="DR12" s="107">
        <v>1</v>
      </c>
      <c r="DS12" s="107">
        <v>1</v>
      </c>
      <c r="DT12" s="107">
        <v>1</v>
      </c>
      <c r="DU12" s="107">
        <v>1</v>
      </c>
      <c r="DV12" s="107">
        <v>1</v>
      </c>
      <c r="DW12" s="107">
        <v>1</v>
      </c>
      <c r="DX12" s="107">
        <v>1</v>
      </c>
      <c r="DY12" s="107">
        <v>1</v>
      </c>
      <c r="DZ12" s="107">
        <v>1</v>
      </c>
      <c r="EA12" s="107">
        <v>1</v>
      </c>
      <c r="EB12" s="107">
        <v>1</v>
      </c>
      <c r="EC12" s="107">
        <v>1</v>
      </c>
      <c r="ED12" s="107">
        <v>1</v>
      </c>
      <c r="EE12" s="107">
        <v>1</v>
      </c>
      <c r="EF12" s="107">
        <v>1</v>
      </c>
      <c r="EG12" s="107">
        <v>1</v>
      </c>
      <c r="EH12" s="107">
        <v>1</v>
      </c>
      <c r="EI12" s="107">
        <v>1</v>
      </c>
      <c r="EJ12" s="107">
        <v>1</v>
      </c>
      <c r="EK12" s="107">
        <v>1</v>
      </c>
      <c r="EL12" s="107">
        <v>1</v>
      </c>
      <c r="EM12" s="107">
        <v>1</v>
      </c>
      <c r="EN12" s="107">
        <v>1</v>
      </c>
      <c r="EO12" s="107">
        <v>1</v>
      </c>
      <c r="EP12" s="107">
        <v>1</v>
      </c>
      <c r="EQ12" s="107">
        <v>1</v>
      </c>
      <c r="ER12" s="107">
        <v>1</v>
      </c>
      <c r="ES12" s="107">
        <v>1</v>
      </c>
      <c r="ET12" s="107">
        <v>1</v>
      </c>
      <c r="EU12" s="107">
        <v>1</v>
      </c>
      <c r="EV12" s="107">
        <v>1</v>
      </c>
      <c r="EW12" s="107">
        <v>1</v>
      </c>
      <c r="EX12" s="107">
        <v>1</v>
      </c>
      <c r="EY12" s="107">
        <v>1</v>
      </c>
      <c r="EZ12" s="107">
        <v>1</v>
      </c>
      <c r="FA12" s="107">
        <v>1</v>
      </c>
      <c r="FB12" s="107">
        <v>1</v>
      </c>
      <c r="FC12" s="107">
        <v>1</v>
      </c>
      <c r="FD12" s="107">
        <v>1</v>
      </c>
      <c r="FE12" s="107">
        <v>1</v>
      </c>
      <c r="FF12" s="107">
        <v>1</v>
      </c>
      <c r="FG12" s="107">
        <v>1</v>
      </c>
      <c r="FH12" s="107">
        <v>1</v>
      </c>
      <c r="FI12" s="107">
        <v>1</v>
      </c>
      <c r="FJ12" s="107">
        <v>1</v>
      </c>
      <c r="FK12" s="107">
        <v>1</v>
      </c>
      <c r="FL12" s="107">
        <v>1</v>
      </c>
      <c r="FM12" s="107">
        <v>1</v>
      </c>
      <c r="FN12" s="107">
        <v>1</v>
      </c>
      <c r="FO12" s="107">
        <v>1</v>
      </c>
      <c r="FP12" s="107">
        <v>1</v>
      </c>
      <c r="FQ12" s="107">
        <v>1</v>
      </c>
      <c r="FR12" s="107">
        <v>1</v>
      </c>
      <c r="FS12" s="107">
        <v>1</v>
      </c>
      <c r="FT12" s="107">
        <v>1</v>
      </c>
      <c r="FU12" s="107">
        <v>1</v>
      </c>
      <c r="FV12" s="107">
        <v>1</v>
      </c>
      <c r="FW12" s="107">
        <v>1</v>
      </c>
      <c r="FX12" s="107">
        <v>1</v>
      </c>
      <c r="FY12" s="107">
        <v>1</v>
      </c>
      <c r="FZ12" s="107">
        <v>1</v>
      </c>
      <c r="GA12" s="107">
        <v>1</v>
      </c>
      <c r="GB12" s="107">
        <v>1</v>
      </c>
      <c r="GC12" s="107">
        <v>1</v>
      </c>
      <c r="GD12" s="107">
        <v>1</v>
      </c>
      <c r="GE12" s="107">
        <v>1</v>
      </c>
      <c r="GF12" s="107">
        <v>1</v>
      </c>
      <c r="GG12" s="107">
        <v>1</v>
      </c>
      <c r="GH12" s="107">
        <v>1</v>
      </c>
      <c r="GI12" s="107">
        <v>1</v>
      </c>
      <c r="GJ12" s="107">
        <v>1</v>
      </c>
      <c r="GK12" s="107">
        <v>1</v>
      </c>
      <c r="GL12" s="107">
        <v>1</v>
      </c>
      <c r="GM12" s="107">
        <v>1</v>
      </c>
      <c r="GN12" s="107">
        <v>1</v>
      </c>
      <c r="GO12" s="107">
        <v>1</v>
      </c>
      <c r="GP12" s="107">
        <v>1</v>
      </c>
      <c r="GQ12" s="107">
        <v>1</v>
      </c>
      <c r="GR12" s="107">
        <v>1</v>
      </c>
      <c r="GS12" s="107">
        <v>1</v>
      </c>
      <c r="GT12" s="107">
        <v>1</v>
      </c>
      <c r="GU12" s="107">
        <v>1</v>
      </c>
      <c r="GV12" s="107">
        <v>1</v>
      </c>
      <c r="GW12" s="107">
        <v>1</v>
      </c>
      <c r="GX12" s="107">
        <v>1</v>
      </c>
      <c r="GY12" s="107">
        <v>1</v>
      </c>
      <c r="GZ12" s="107">
        <v>1</v>
      </c>
      <c r="HA12" s="107">
        <v>1</v>
      </c>
      <c r="HB12" s="107">
        <v>1</v>
      </c>
      <c r="HC12" s="107">
        <v>1</v>
      </c>
      <c r="HD12" s="107">
        <v>1</v>
      </c>
      <c r="HE12" s="107">
        <v>1</v>
      </c>
      <c r="HF12" s="107">
        <v>1</v>
      </c>
      <c r="HG12" s="107">
        <v>1</v>
      </c>
      <c r="HH12" s="107">
        <v>1</v>
      </c>
      <c r="HI12" s="107">
        <v>1</v>
      </c>
      <c r="HJ12" s="107">
        <v>1</v>
      </c>
      <c r="HK12" s="107">
        <v>1</v>
      </c>
      <c r="HL12" s="107">
        <v>1</v>
      </c>
      <c r="HM12" s="107">
        <v>1</v>
      </c>
      <c r="HN12" s="107">
        <v>1</v>
      </c>
      <c r="HO12" s="107">
        <v>1</v>
      </c>
      <c r="HP12" s="107">
        <v>1</v>
      </c>
      <c r="HQ12" s="107">
        <v>1</v>
      </c>
      <c r="HR12" s="107">
        <v>1</v>
      </c>
      <c r="HS12" s="107">
        <v>1</v>
      </c>
      <c r="HT12" s="107">
        <v>1</v>
      </c>
      <c r="HU12" s="107">
        <v>1</v>
      </c>
      <c r="HV12" s="107">
        <v>1</v>
      </c>
      <c r="HW12" s="107">
        <v>1</v>
      </c>
      <c r="HX12" s="107">
        <v>1</v>
      </c>
      <c r="HY12" s="107">
        <v>1</v>
      </c>
    </row>
    <row r="13" spans="1:233" ht="16.5" customHeight="1" outlineLevel="1">
      <c r="A13" s="297" t="s">
        <v>531</v>
      </c>
      <c r="B13" s="301">
        <v>400</v>
      </c>
      <c r="C13" s="173" t="s">
        <v>543</v>
      </c>
      <c r="D13" s="107">
        <v>1</v>
      </c>
      <c r="E13" s="107">
        <v>1</v>
      </c>
      <c r="F13" s="107">
        <v>1</v>
      </c>
      <c r="G13" s="107">
        <v>1</v>
      </c>
      <c r="H13" s="107">
        <v>1</v>
      </c>
      <c r="I13" s="107">
        <v>1</v>
      </c>
      <c r="J13" s="107">
        <v>1</v>
      </c>
      <c r="K13" s="107">
        <v>1</v>
      </c>
      <c r="L13" s="107">
        <v>1</v>
      </c>
      <c r="M13" s="107">
        <v>1</v>
      </c>
      <c r="N13" s="107">
        <v>1</v>
      </c>
      <c r="O13" s="107">
        <v>1</v>
      </c>
      <c r="P13" s="107">
        <v>1</v>
      </c>
      <c r="Q13" s="107">
        <v>1</v>
      </c>
      <c r="R13" s="107">
        <v>1</v>
      </c>
      <c r="S13" s="107">
        <v>1</v>
      </c>
      <c r="T13" s="107">
        <v>1</v>
      </c>
      <c r="U13" s="107">
        <v>1</v>
      </c>
      <c r="V13" s="107">
        <v>1</v>
      </c>
      <c r="W13" s="107">
        <v>1</v>
      </c>
      <c r="X13" s="107">
        <v>1</v>
      </c>
      <c r="Y13" s="107">
        <v>1</v>
      </c>
      <c r="Z13" s="107">
        <v>1</v>
      </c>
      <c r="AA13" s="107">
        <v>1</v>
      </c>
      <c r="AB13" s="107">
        <v>1</v>
      </c>
      <c r="AC13" s="107">
        <v>1</v>
      </c>
      <c r="AD13" s="107">
        <v>1</v>
      </c>
      <c r="AE13" s="107">
        <v>1</v>
      </c>
      <c r="AF13" s="107">
        <v>1</v>
      </c>
      <c r="AG13" s="107">
        <v>1</v>
      </c>
      <c r="AH13" s="107">
        <v>1</v>
      </c>
      <c r="AI13" s="107">
        <v>1</v>
      </c>
      <c r="AJ13" s="107">
        <v>1</v>
      </c>
      <c r="AK13" s="107">
        <v>1</v>
      </c>
      <c r="AL13" s="107">
        <v>1</v>
      </c>
      <c r="AM13" s="107">
        <v>1</v>
      </c>
      <c r="AN13" s="107">
        <v>1</v>
      </c>
      <c r="AO13" s="107">
        <v>1</v>
      </c>
      <c r="AP13" s="107">
        <v>1</v>
      </c>
      <c r="AQ13" s="107">
        <v>1</v>
      </c>
      <c r="AR13" s="107">
        <v>1</v>
      </c>
      <c r="AS13" s="107">
        <v>1</v>
      </c>
      <c r="AT13" s="107">
        <v>1</v>
      </c>
      <c r="AU13" s="107">
        <v>1</v>
      </c>
      <c r="AV13" s="107">
        <v>1</v>
      </c>
      <c r="AW13" s="107">
        <v>1</v>
      </c>
      <c r="AX13" s="107">
        <v>1</v>
      </c>
      <c r="AY13" s="107">
        <v>1</v>
      </c>
      <c r="AZ13" s="107">
        <v>1</v>
      </c>
      <c r="BA13" s="107">
        <v>1</v>
      </c>
      <c r="BB13" s="107">
        <v>1</v>
      </c>
      <c r="BC13" s="107">
        <v>1</v>
      </c>
      <c r="BD13" s="107">
        <v>1</v>
      </c>
      <c r="BE13" s="107">
        <v>1</v>
      </c>
      <c r="BF13" s="107">
        <v>1</v>
      </c>
      <c r="BG13" s="107">
        <v>1</v>
      </c>
      <c r="BH13" s="107">
        <v>1</v>
      </c>
      <c r="BI13" s="107">
        <v>1</v>
      </c>
      <c r="BJ13" s="107">
        <v>1</v>
      </c>
      <c r="BK13" s="107">
        <v>1</v>
      </c>
      <c r="BL13" s="107">
        <v>1</v>
      </c>
      <c r="BM13" s="107">
        <v>1</v>
      </c>
      <c r="BN13" s="107">
        <v>1</v>
      </c>
      <c r="BO13" s="107">
        <v>1</v>
      </c>
      <c r="BP13" s="107">
        <v>1</v>
      </c>
      <c r="BQ13" s="107">
        <v>1</v>
      </c>
      <c r="BR13" s="107">
        <v>1</v>
      </c>
      <c r="BS13" s="107">
        <v>1</v>
      </c>
      <c r="BT13" s="107">
        <v>1</v>
      </c>
      <c r="BU13" s="107">
        <v>1</v>
      </c>
      <c r="BV13" s="107">
        <v>1</v>
      </c>
      <c r="BW13" s="107">
        <v>1</v>
      </c>
      <c r="BX13" s="107">
        <v>1</v>
      </c>
      <c r="BY13" s="107">
        <v>1</v>
      </c>
      <c r="BZ13" s="107">
        <v>1</v>
      </c>
      <c r="CA13" s="107">
        <v>1</v>
      </c>
      <c r="CB13" s="107">
        <v>1</v>
      </c>
      <c r="CC13" s="107">
        <v>1</v>
      </c>
      <c r="CD13" s="107">
        <v>1</v>
      </c>
      <c r="CE13" s="107">
        <v>1</v>
      </c>
      <c r="CF13" s="107">
        <v>1</v>
      </c>
      <c r="CG13" s="107">
        <v>1</v>
      </c>
      <c r="CH13" s="107">
        <v>1</v>
      </c>
      <c r="CI13" s="107">
        <v>1</v>
      </c>
      <c r="CJ13" s="107">
        <v>1</v>
      </c>
      <c r="CK13" s="107">
        <v>1</v>
      </c>
      <c r="CL13" s="107">
        <v>1</v>
      </c>
      <c r="CM13" s="107">
        <v>1</v>
      </c>
      <c r="CN13" s="107">
        <v>1</v>
      </c>
      <c r="CO13" s="107">
        <v>1</v>
      </c>
      <c r="CP13" s="107">
        <v>1</v>
      </c>
      <c r="CQ13" s="107">
        <v>1</v>
      </c>
      <c r="CR13" s="107">
        <v>1</v>
      </c>
      <c r="CS13" s="107">
        <v>1</v>
      </c>
      <c r="CT13" s="107">
        <v>1</v>
      </c>
      <c r="CU13" s="107">
        <v>1</v>
      </c>
      <c r="CV13" s="107">
        <v>1</v>
      </c>
      <c r="CW13" s="107">
        <v>1</v>
      </c>
      <c r="CX13" s="107">
        <v>1</v>
      </c>
      <c r="CY13" s="107">
        <v>1</v>
      </c>
      <c r="CZ13" s="107">
        <v>1</v>
      </c>
      <c r="DA13" s="107">
        <v>1</v>
      </c>
      <c r="DB13" s="107">
        <v>1</v>
      </c>
      <c r="DC13" s="107">
        <v>1</v>
      </c>
      <c r="DD13" s="107">
        <v>1</v>
      </c>
      <c r="DE13" s="107">
        <v>1</v>
      </c>
      <c r="DF13" s="107">
        <v>1</v>
      </c>
      <c r="DG13" s="107">
        <v>1</v>
      </c>
      <c r="DH13" s="107">
        <v>1</v>
      </c>
      <c r="DI13" s="107">
        <v>1</v>
      </c>
      <c r="DJ13" s="107">
        <v>1</v>
      </c>
      <c r="DK13" s="107">
        <v>1</v>
      </c>
      <c r="DL13" s="107">
        <v>1</v>
      </c>
      <c r="DM13" s="107">
        <v>1</v>
      </c>
      <c r="DN13" s="107">
        <v>1</v>
      </c>
      <c r="DO13" s="107">
        <v>1</v>
      </c>
      <c r="DP13" s="107">
        <v>1</v>
      </c>
      <c r="DQ13" s="107">
        <v>1</v>
      </c>
      <c r="DR13" s="107">
        <v>1</v>
      </c>
      <c r="DS13" s="107">
        <v>1</v>
      </c>
      <c r="DT13" s="107">
        <v>1</v>
      </c>
      <c r="DU13" s="107">
        <v>1</v>
      </c>
      <c r="DV13" s="107">
        <v>1</v>
      </c>
      <c r="DW13" s="107">
        <v>1</v>
      </c>
      <c r="DX13" s="107">
        <v>1</v>
      </c>
      <c r="DY13" s="107">
        <v>1</v>
      </c>
      <c r="DZ13" s="107">
        <v>1</v>
      </c>
      <c r="EA13" s="107">
        <v>1</v>
      </c>
      <c r="EB13" s="107">
        <v>1</v>
      </c>
      <c r="EC13" s="107">
        <v>1</v>
      </c>
      <c r="ED13" s="107">
        <v>1</v>
      </c>
      <c r="EE13" s="107">
        <v>1</v>
      </c>
      <c r="EF13" s="107">
        <v>1</v>
      </c>
      <c r="EG13" s="107">
        <v>1</v>
      </c>
      <c r="EH13" s="107">
        <v>1</v>
      </c>
      <c r="EI13" s="107">
        <v>1</v>
      </c>
      <c r="EJ13" s="107">
        <v>1</v>
      </c>
      <c r="EK13" s="107">
        <v>1</v>
      </c>
      <c r="EL13" s="107">
        <v>1</v>
      </c>
      <c r="EM13" s="107">
        <v>1</v>
      </c>
      <c r="EN13" s="107">
        <v>1</v>
      </c>
      <c r="EO13" s="107">
        <v>1</v>
      </c>
      <c r="EP13" s="107">
        <v>1</v>
      </c>
      <c r="EQ13" s="107">
        <v>1</v>
      </c>
      <c r="ER13" s="107">
        <v>1</v>
      </c>
      <c r="ES13" s="107">
        <v>1</v>
      </c>
      <c r="ET13" s="107">
        <v>1</v>
      </c>
      <c r="EU13" s="107">
        <v>1</v>
      </c>
      <c r="EV13" s="107">
        <v>1</v>
      </c>
      <c r="EW13" s="107">
        <v>1</v>
      </c>
      <c r="EX13" s="107">
        <v>1</v>
      </c>
      <c r="EY13" s="107">
        <v>1</v>
      </c>
      <c r="EZ13" s="107">
        <v>1</v>
      </c>
      <c r="FA13" s="107">
        <v>1</v>
      </c>
      <c r="FB13" s="107">
        <v>1</v>
      </c>
      <c r="FC13" s="107">
        <v>1</v>
      </c>
      <c r="FD13" s="107">
        <v>1</v>
      </c>
      <c r="FE13" s="107">
        <v>1</v>
      </c>
      <c r="FF13" s="107">
        <v>1</v>
      </c>
      <c r="FG13" s="107">
        <v>1</v>
      </c>
      <c r="FH13" s="107">
        <v>1</v>
      </c>
      <c r="FI13" s="107">
        <v>1</v>
      </c>
      <c r="FJ13" s="107">
        <v>1</v>
      </c>
      <c r="FK13" s="107">
        <v>1</v>
      </c>
      <c r="FL13" s="107">
        <v>1</v>
      </c>
      <c r="FM13" s="107">
        <v>1</v>
      </c>
      <c r="FN13" s="107">
        <v>1</v>
      </c>
      <c r="FO13" s="107">
        <v>1</v>
      </c>
      <c r="FP13" s="107">
        <v>1</v>
      </c>
      <c r="FQ13" s="107">
        <v>1</v>
      </c>
      <c r="FR13" s="107">
        <v>1</v>
      </c>
      <c r="FS13" s="107">
        <v>1</v>
      </c>
      <c r="FT13" s="107">
        <v>1</v>
      </c>
      <c r="FU13" s="107">
        <v>1</v>
      </c>
      <c r="FV13" s="107">
        <v>1</v>
      </c>
      <c r="FW13" s="107">
        <v>1</v>
      </c>
      <c r="FX13" s="107">
        <v>1</v>
      </c>
      <c r="FY13" s="107">
        <v>1</v>
      </c>
      <c r="FZ13" s="107">
        <v>1</v>
      </c>
      <c r="GA13" s="107">
        <v>1</v>
      </c>
      <c r="GB13" s="107">
        <v>1</v>
      </c>
      <c r="GC13" s="107">
        <v>1</v>
      </c>
      <c r="GD13" s="107">
        <v>1</v>
      </c>
      <c r="GE13" s="107">
        <v>1</v>
      </c>
      <c r="GF13" s="107">
        <v>1</v>
      </c>
      <c r="GG13" s="107">
        <v>1</v>
      </c>
      <c r="GH13" s="107">
        <v>1</v>
      </c>
      <c r="GI13" s="107">
        <v>1</v>
      </c>
      <c r="GJ13" s="107">
        <v>1</v>
      </c>
      <c r="GK13" s="107">
        <v>1</v>
      </c>
      <c r="GL13" s="107">
        <v>1</v>
      </c>
      <c r="GM13" s="107">
        <v>1</v>
      </c>
      <c r="GN13" s="107">
        <v>1</v>
      </c>
      <c r="GO13" s="107">
        <v>1</v>
      </c>
      <c r="GP13" s="107">
        <v>1</v>
      </c>
      <c r="GQ13" s="107">
        <v>1</v>
      </c>
      <c r="GR13" s="107">
        <v>1</v>
      </c>
      <c r="GS13" s="107">
        <v>1</v>
      </c>
      <c r="GT13" s="107">
        <v>1</v>
      </c>
      <c r="GU13" s="107">
        <v>1</v>
      </c>
      <c r="GV13" s="107">
        <v>1</v>
      </c>
      <c r="GW13" s="107">
        <v>1</v>
      </c>
      <c r="GX13" s="107">
        <v>1</v>
      </c>
      <c r="GY13" s="107">
        <v>1</v>
      </c>
      <c r="GZ13" s="107">
        <v>1</v>
      </c>
      <c r="HA13" s="107">
        <v>1</v>
      </c>
      <c r="HB13" s="107">
        <v>1</v>
      </c>
      <c r="HC13" s="107">
        <v>1</v>
      </c>
      <c r="HD13" s="107">
        <v>1</v>
      </c>
      <c r="HE13" s="107">
        <v>1</v>
      </c>
      <c r="HF13" s="107">
        <v>1</v>
      </c>
      <c r="HG13" s="107">
        <v>1</v>
      </c>
      <c r="HH13" s="107">
        <v>1</v>
      </c>
      <c r="HI13" s="107">
        <v>1</v>
      </c>
      <c r="HJ13" s="107">
        <v>1</v>
      </c>
      <c r="HK13" s="107">
        <v>1</v>
      </c>
      <c r="HL13" s="107">
        <v>1</v>
      </c>
      <c r="HM13" s="107">
        <v>1</v>
      </c>
      <c r="HN13" s="107">
        <v>1</v>
      </c>
      <c r="HO13" s="107">
        <v>1</v>
      </c>
      <c r="HP13" s="107">
        <v>1</v>
      </c>
      <c r="HQ13" s="107">
        <v>1</v>
      </c>
      <c r="HR13" s="107">
        <v>1</v>
      </c>
      <c r="HS13" s="107">
        <v>1</v>
      </c>
      <c r="HT13" s="107">
        <v>1</v>
      </c>
      <c r="HU13" s="107">
        <v>1</v>
      </c>
      <c r="HV13" s="107">
        <v>1</v>
      </c>
      <c r="HW13" s="107">
        <v>1</v>
      </c>
      <c r="HX13" s="107">
        <v>1</v>
      </c>
      <c r="HY13" s="107">
        <v>1</v>
      </c>
    </row>
    <row r="14" spans="1:233" ht="172.5" customHeight="1">
      <c r="A14" s="297"/>
      <c r="B14" s="301">
        <v>402</v>
      </c>
      <c r="C14" s="173" t="s">
        <v>544</v>
      </c>
      <c r="D14" s="109" t="s">
        <v>732</v>
      </c>
      <c r="E14" s="109" t="s">
        <v>732</v>
      </c>
      <c r="F14" s="109" t="s">
        <v>732</v>
      </c>
      <c r="G14" s="109" t="s">
        <v>732</v>
      </c>
      <c r="H14" s="109" t="s">
        <v>731</v>
      </c>
      <c r="I14" s="109" t="s">
        <v>731</v>
      </c>
      <c r="J14" s="109" t="s">
        <v>731</v>
      </c>
      <c r="K14" s="109" t="s">
        <v>731</v>
      </c>
      <c r="L14" s="109" t="s">
        <v>731</v>
      </c>
      <c r="M14" s="109" t="s">
        <v>731</v>
      </c>
      <c r="N14" s="109" t="s">
        <v>731</v>
      </c>
      <c r="O14" s="109" t="s">
        <v>731</v>
      </c>
      <c r="P14" s="109" t="s">
        <v>731</v>
      </c>
      <c r="Q14" s="109" t="s">
        <v>411</v>
      </c>
      <c r="R14" s="109" t="s">
        <v>411</v>
      </c>
      <c r="S14" s="109" t="s">
        <v>411</v>
      </c>
      <c r="T14" s="109" t="s">
        <v>411</v>
      </c>
      <c r="U14" s="487" t="s">
        <v>1076</v>
      </c>
      <c r="V14" s="487" t="s">
        <v>1076</v>
      </c>
      <c r="W14" s="487" t="s">
        <v>1076</v>
      </c>
      <c r="X14" s="487" t="s">
        <v>1076</v>
      </c>
      <c r="Y14" s="109" t="s">
        <v>412</v>
      </c>
      <c r="Z14" s="109" t="s">
        <v>412</v>
      </c>
      <c r="AA14" s="109" t="s">
        <v>412</v>
      </c>
      <c r="AB14" s="109" t="s">
        <v>412</v>
      </c>
      <c r="AC14" s="109" t="s">
        <v>638</v>
      </c>
      <c r="AD14" s="109" t="s">
        <v>737</v>
      </c>
      <c r="AE14" s="487" t="s">
        <v>414</v>
      </c>
      <c r="AF14" s="487" t="s">
        <v>414</v>
      </c>
      <c r="AG14" s="487" t="s">
        <v>414</v>
      </c>
      <c r="AH14" s="109" t="s">
        <v>414</v>
      </c>
      <c r="AI14" s="109" t="s">
        <v>413</v>
      </c>
      <c r="AJ14" s="487" t="s">
        <v>161</v>
      </c>
      <c r="AK14" s="487" t="s">
        <v>161</v>
      </c>
      <c r="AL14" s="487" t="s">
        <v>161</v>
      </c>
      <c r="AM14" s="487" t="s">
        <v>161</v>
      </c>
      <c r="AN14" s="109" t="s">
        <v>418</v>
      </c>
      <c r="AO14" s="109" t="s">
        <v>418</v>
      </c>
      <c r="AP14" s="109" t="s">
        <v>418</v>
      </c>
      <c r="AQ14" s="109" t="s">
        <v>418</v>
      </c>
      <c r="AR14" s="109" t="s">
        <v>418</v>
      </c>
      <c r="AS14" s="109" t="s">
        <v>418</v>
      </c>
      <c r="AT14" s="109" t="s">
        <v>418</v>
      </c>
      <c r="AU14" s="109" t="s">
        <v>418</v>
      </c>
      <c r="AV14" s="109" t="s">
        <v>418</v>
      </c>
      <c r="AW14" s="109" t="s">
        <v>35</v>
      </c>
      <c r="AX14" s="109" t="s">
        <v>35</v>
      </c>
      <c r="AY14" s="109" t="s">
        <v>35</v>
      </c>
      <c r="AZ14" s="109" t="s">
        <v>35</v>
      </c>
      <c r="BA14" s="109" t="s">
        <v>35</v>
      </c>
      <c r="BB14" s="109" t="s">
        <v>35</v>
      </c>
      <c r="BC14" s="109" t="s">
        <v>35</v>
      </c>
      <c r="BD14" s="109" t="s">
        <v>35</v>
      </c>
      <c r="BE14" s="109" t="s">
        <v>133</v>
      </c>
      <c r="BF14" s="109" t="s">
        <v>133</v>
      </c>
      <c r="BG14" s="109" t="s">
        <v>133</v>
      </c>
      <c r="BH14" s="109" t="s">
        <v>133</v>
      </c>
      <c r="BI14" s="109" t="s">
        <v>133</v>
      </c>
      <c r="BJ14" s="109" t="s">
        <v>133</v>
      </c>
      <c r="BK14" s="109" t="s">
        <v>133</v>
      </c>
      <c r="BL14" s="109" t="s">
        <v>133</v>
      </c>
      <c r="BM14" s="109" t="s">
        <v>134</v>
      </c>
      <c r="BN14" s="109" t="s">
        <v>134</v>
      </c>
      <c r="BO14" s="109" t="s">
        <v>134</v>
      </c>
      <c r="BP14" s="109" t="s">
        <v>134</v>
      </c>
      <c r="BQ14" s="109" t="s">
        <v>134</v>
      </c>
      <c r="BR14" s="109" t="s">
        <v>134</v>
      </c>
      <c r="BS14" s="109" t="s">
        <v>134</v>
      </c>
      <c r="BT14" s="109" t="s">
        <v>134</v>
      </c>
      <c r="BU14" s="487" t="s">
        <v>788</v>
      </c>
      <c r="BV14" s="487" t="s">
        <v>788</v>
      </c>
      <c r="BW14" s="487" t="s">
        <v>788</v>
      </c>
      <c r="BX14" s="487" t="s">
        <v>788</v>
      </c>
      <c r="BY14" s="487" t="s">
        <v>1063</v>
      </c>
      <c r="BZ14" s="487" t="s">
        <v>1063</v>
      </c>
      <c r="CA14" s="487" t="s">
        <v>1063</v>
      </c>
      <c r="CB14" s="487" t="s">
        <v>1063</v>
      </c>
      <c r="CC14" s="487" t="s">
        <v>963</v>
      </c>
      <c r="CD14" s="487" t="s">
        <v>963</v>
      </c>
      <c r="CE14" s="487" t="s">
        <v>964</v>
      </c>
      <c r="CF14" s="487" t="s">
        <v>964</v>
      </c>
      <c r="CG14" s="487" t="s">
        <v>965</v>
      </c>
      <c r="CH14" s="487" t="s">
        <v>965</v>
      </c>
      <c r="CI14" s="109" t="s">
        <v>49</v>
      </c>
      <c r="CJ14" s="109" t="s">
        <v>26</v>
      </c>
      <c r="CK14" s="109" t="s">
        <v>346</v>
      </c>
      <c r="CL14" s="109" t="s">
        <v>346</v>
      </c>
      <c r="CM14" s="109" t="s">
        <v>346</v>
      </c>
      <c r="CN14" s="109" t="s">
        <v>346</v>
      </c>
      <c r="CO14" s="109" t="s">
        <v>346</v>
      </c>
      <c r="CP14" s="109" t="s">
        <v>731</v>
      </c>
      <c r="CQ14" s="109" t="s">
        <v>737</v>
      </c>
      <c r="CR14" s="109" t="s">
        <v>36</v>
      </c>
      <c r="CS14" s="109" t="s">
        <v>36</v>
      </c>
      <c r="CT14" s="109" t="s">
        <v>36</v>
      </c>
      <c r="CU14" s="109" t="s">
        <v>422</v>
      </c>
      <c r="CV14" s="109" t="s">
        <v>422</v>
      </c>
      <c r="CW14" s="109" t="s">
        <v>422</v>
      </c>
      <c r="CX14" s="109" t="s">
        <v>418</v>
      </c>
      <c r="CY14" s="109" t="s">
        <v>35</v>
      </c>
      <c r="CZ14" s="109" t="s">
        <v>133</v>
      </c>
      <c r="DA14" s="109" t="s">
        <v>134</v>
      </c>
      <c r="DB14" s="131" t="s">
        <v>170</v>
      </c>
      <c r="DC14" s="109" t="s">
        <v>170</v>
      </c>
      <c r="DD14" s="131" t="s">
        <v>371</v>
      </c>
      <c r="DE14" s="109" t="s">
        <v>371</v>
      </c>
      <c r="DF14" s="486" t="s">
        <v>795</v>
      </c>
      <c r="DG14" s="486" t="s">
        <v>795</v>
      </c>
      <c r="DH14" s="486" t="s">
        <v>795</v>
      </c>
      <c r="DI14" s="109" t="s">
        <v>693</v>
      </c>
      <c r="DJ14" s="109" t="s">
        <v>693</v>
      </c>
      <c r="DK14" s="109" t="s">
        <v>580</v>
      </c>
      <c r="DL14" s="109" t="s">
        <v>637</v>
      </c>
      <c r="DM14" s="109" t="s">
        <v>637</v>
      </c>
      <c r="DN14" s="109" t="s">
        <v>637</v>
      </c>
      <c r="DO14" s="109" t="s">
        <v>637</v>
      </c>
      <c r="DP14" s="109" t="s">
        <v>637</v>
      </c>
      <c r="DQ14" s="109" t="s">
        <v>637</v>
      </c>
      <c r="DR14" s="109" t="s">
        <v>637</v>
      </c>
      <c r="DS14" s="109" t="s">
        <v>637</v>
      </c>
      <c r="DT14" s="109" t="s">
        <v>341</v>
      </c>
      <c r="DU14" s="109" t="s">
        <v>341</v>
      </c>
      <c r="DV14" s="109" t="s">
        <v>341</v>
      </c>
      <c r="DW14" s="109" t="s">
        <v>341</v>
      </c>
      <c r="DX14" s="109" t="s">
        <v>341</v>
      </c>
      <c r="DY14" s="109" t="s">
        <v>341</v>
      </c>
      <c r="DZ14" s="109" t="s">
        <v>341</v>
      </c>
      <c r="EA14" s="109" t="s">
        <v>341</v>
      </c>
      <c r="EB14" s="109" t="s">
        <v>341</v>
      </c>
      <c r="EC14" s="109" t="s">
        <v>637</v>
      </c>
      <c r="ED14" s="109" t="s">
        <v>637</v>
      </c>
      <c r="EE14" s="109" t="s">
        <v>637</v>
      </c>
      <c r="EF14" s="109" t="s">
        <v>637</v>
      </c>
      <c r="EG14" s="109" t="s">
        <v>637</v>
      </c>
      <c r="EH14" s="109" t="s">
        <v>637</v>
      </c>
      <c r="EI14" s="109" t="s">
        <v>637</v>
      </c>
      <c r="EJ14" s="109" t="s">
        <v>341</v>
      </c>
      <c r="EK14" s="109" t="s">
        <v>341</v>
      </c>
      <c r="EL14" s="109" t="s">
        <v>341</v>
      </c>
      <c r="EM14" s="109" t="s">
        <v>341</v>
      </c>
      <c r="EN14" s="109" t="s">
        <v>341</v>
      </c>
      <c r="EO14" s="109" t="s">
        <v>341</v>
      </c>
      <c r="EP14" s="109" t="s">
        <v>341</v>
      </c>
      <c r="EQ14" s="109" t="s">
        <v>341</v>
      </c>
      <c r="ER14" s="109" t="s">
        <v>341</v>
      </c>
      <c r="ES14" s="109" t="s">
        <v>341</v>
      </c>
      <c r="ET14" s="109" t="s">
        <v>341</v>
      </c>
      <c r="EU14" s="109" t="s">
        <v>341</v>
      </c>
      <c r="EV14" s="109" t="s">
        <v>341</v>
      </c>
      <c r="EW14" s="109" t="s">
        <v>341</v>
      </c>
      <c r="EX14" s="109" t="s">
        <v>341</v>
      </c>
      <c r="EY14" s="109" t="s">
        <v>341</v>
      </c>
      <c r="EZ14" s="109" t="s">
        <v>341</v>
      </c>
      <c r="FA14" s="109" t="s">
        <v>341</v>
      </c>
      <c r="FB14" s="109" t="s">
        <v>341</v>
      </c>
      <c r="FC14" s="109" t="s">
        <v>341</v>
      </c>
      <c r="FD14" s="109" t="s">
        <v>341</v>
      </c>
      <c r="FE14" s="109" t="s">
        <v>341</v>
      </c>
      <c r="FF14" s="109" t="s">
        <v>341</v>
      </c>
      <c r="FG14" s="109" t="s">
        <v>341</v>
      </c>
      <c r="FH14" s="109" t="s">
        <v>341</v>
      </c>
      <c r="FI14" s="109" t="s">
        <v>341</v>
      </c>
      <c r="FJ14" s="109" t="s">
        <v>341</v>
      </c>
      <c r="FK14" s="109" t="s">
        <v>341</v>
      </c>
      <c r="FL14" s="109" t="s">
        <v>341</v>
      </c>
      <c r="FM14" s="109" t="s">
        <v>341</v>
      </c>
      <c r="FN14" s="109" t="s">
        <v>341</v>
      </c>
      <c r="FO14" s="109" t="s">
        <v>341</v>
      </c>
      <c r="FP14" s="109" t="s">
        <v>341</v>
      </c>
      <c r="FQ14" s="109" t="s">
        <v>341</v>
      </c>
      <c r="FR14" s="109" t="s">
        <v>341</v>
      </c>
      <c r="FS14" s="109" t="s">
        <v>341</v>
      </c>
      <c r="FT14" s="109" t="s">
        <v>341</v>
      </c>
      <c r="FU14" s="109" t="s">
        <v>341</v>
      </c>
      <c r="FV14" s="109" t="s">
        <v>341</v>
      </c>
      <c r="FW14" s="109" t="s">
        <v>341</v>
      </c>
      <c r="FX14" s="109" t="s">
        <v>341</v>
      </c>
      <c r="FY14" s="109" t="s">
        <v>341</v>
      </c>
      <c r="FZ14" s="109" t="s">
        <v>341</v>
      </c>
      <c r="GA14" s="109" t="s">
        <v>341</v>
      </c>
      <c r="GB14" s="109" t="s">
        <v>341</v>
      </c>
      <c r="GC14" s="109" t="s">
        <v>341</v>
      </c>
      <c r="GD14" s="109" t="s">
        <v>345</v>
      </c>
      <c r="GE14" s="109" t="s">
        <v>345</v>
      </c>
      <c r="GF14" s="109" t="s">
        <v>345</v>
      </c>
      <c r="GG14" s="109" t="s">
        <v>345</v>
      </c>
      <c r="GH14" s="109" t="s">
        <v>345</v>
      </c>
      <c r="GI14" s="109" t="s">
        <v>345</v>
      </c>
      <c r="GJ14" s="109" t="s">
        <v>345</v>
      </c>
      <c r="GK14" s="109" t="s">
        <v>345</v>
      </c>
      <c r="GL14" s="109" t="s">
        <v>345</v>
      </c>
      <c r="GM14" s="109" t="s">
        <v>345</v>
      </c>
      <c r="GN14" s="109" t="s">
        <v>345</v>
      </c>
      <c r="GO14" s="109" t="s">
        <v>345</v>
      </c>
      <c r="GP14" s="109" t="s">
        <v>345</v>
      </c>
      <c r="GQ14" s="109" t="s">
        <v>345</v>
      </c>
      <c r="GR14" s="109" t="s">
        <v>345</v>
      </c>
      <c r="GS14" s="109" t="s">
        <v>345</v>
      </c>
      <c r="GT14" s="109" t="s">
        <v>345</v>
      </c>
      <c r="GU14" s="109" t="s">
        <v>345</v>
      </c>
      <c r="GV14" s="109" t="s">
        <v>345</v>
      </c>
      <c r="GW14" s="109" t="s">
        <v>345</v>
      </c>
      <c r="GX14" s="109" t="s">
        <v>345</v>
      </c>
      <c r="GY14" s="109" t="s">
        <v>345</v>
      </c>
      <c r="GZ14" s="109" t="e">
        <v>#N/A</v>
      </c>
      <c r="HA14" s="109" t="s">
        <v>1444</v>
      </c>
      <c r="HB14" s="109" t="s">
        <v>1445</v>
      </c>
      <c r="HC14" s="109" t="s">
        <v>1446</v>
      </c>
      <c r="HD14" s="109" t="s">
        <v>1447</v>
      </c>
      <c r="HE14" s="109" t="s">
        <v>1448</v>
      </c>
      <c r="HF14" s="109" t="s">
        <v>1449</v>
      </c>
      <c r="HG14" s="109" t="s">
        <v>1450</v>
      </c>
      <c r="HH14" s="109" t="s">
        <v>1451</v>
      </c>
      <c r="HI14" s="109" t="s">
        <v>1452</v>
      </c>
      <c r="HJ14" s="109" t="s">
        <v>1453</v>
      </c>
      <c r="HK14" s="109" t="s">
        <v>1454</v>
      </c>
      <c r="HL14" s="109" t="s">
        <v>1455</v>
      </c>
      <c r="HM14" s="109" t="s">
        <v>1456</v>
      </c>
      <c r="HN14" s="109" t="s">
        <v>1457</v>
      </c>
      <c r="HO14" s="109" t="s">
        <v>1458</v>
      </c>
      <c r="HP14" s="109" t="s">
        <v>1459</v>
      </c>
      <c r="HQ14" s="109" t="s">
        <v>1460</v>
      </c>
      <c r="HR14" s="109" t="s">
        <v>1461</v>
      </c>
      <c r="HS14" s="109" t="s">
        <v>1462</v>
      </c>
      <c r="HT14" s="109" t="s">
        <v>1463</v>
      </c>
      <c r="HU14" s="109" t="s">
        <v>1464</v>
      </c>
      <c r="HV14" s="109" t="s">
        <v>1465</v>
      </c>
      <c r="HW14" s="109" t="s">
        <v>1466</v>
      </c>
      <c r="HX14" s="109" t="s">
        <v>1467</v>
      </c>
      <c r="HY14" s="109" t="s">
        <v>1468</v>
      </c>
    </row>
    <row r="15" spans="1:233" outlineLevel="1">
      <c r="A15" s="297"/>
      <c r="B15" s="301">
        <v>404</v>
      </c>
      <c r="C15" s="173" t="s">
        <v>545</v>
      </c>
      <c r="D15" s="109">
        <v>1</v>
      </c>
      <c r="E15" s="109">
        <v>1</v>
      </c>
      <c r="F15" s="109">
        <v>1</v>
      </c>
      <c r="G15" s="109">
        <v>1</v>
      </c>
      <c r="H15" s="109">
        <v>1</v>
      </c>
      <c r="I15" s="109">
        <v>1</v>
      </c>
      <c r="J15" s="109">
        <v>1</v>
      </c>
      <c r="K15" s="109">
        <v>1</v>
      </c>
      <c r="L15" s="109">
        <v>1</v>
      </c>
      <c r="M15" s="109">
        <v>1</v>
      </c>
      <c r="N15" s="109">
        <v>1</v>
      </c>
      <c r="O15" s="109">
        <v>1</v>
      </c>
      <c r="P15" s="109">
        <v>1</v>
      </c>
      <c r="Q15" s="109">
        <v>1</v>
      </c>
      <c r="R15" s="109">
        <v>1</v>
      </c>
      <c r="S15" s="109">
        <v>1</v>
      </c>
      <c r="T15" s="109">
        <v>1</v>
      </c>
      <c r="U15" s="109">
        <v>1</v>
      </c>
      <c r="V15" s="109">
        <v>1</v>
      </c>
      <c r="W15" s="109">
        <v>1</v>
      </c>
      <c r="X15" s="109">
        <v>1</v>
      </c>
      <c r="Y15" s="109">
        <v>1</v>
      </c>
      <c r="Z15" s="109">
        <v>1</v>
      </c>
      <c r="AA15" s="109">
        <v>1</v>
      </c>
      <c r="AB15" s="109">
        <v>1</v>
      </c>
      <c r="AC15" s="109">
        <v>1</v>
      </c>
      <c r="AD15" s="109">
        <v>1</v>
      </c>
      <c r="AE15" s="109">
        <v>1</v>
      </c>
      <c r="AF15" s="109">
        <v>1</v>
      </c>
      <c r="AG15" s="109">
        <v>1</v>
      </c>
      <c r="AH15" s="109">
        <v>1</v>
      </c>
      <c r="AI15" s="109">
        <v>1</v>
      </c>
      <c r="AJ15" s="109">
        <v>1</v>
      </c>
      <c r="AK15" s="109">
        <v>1</v>
      </c>
      <c r="AL15" s="109">
        <v>1</v>
      </c>
      <c r="AM15" s="109">
        <v>1</v>
      </c>
      <c r="AN15" s="109">
        <v>1</v>
      </c>
      <c r="AO15" s="109">
        <v>1</v>
      </c>
      <c r="AP15" s="109">
        <v>1</v>
      </c>
      <c r="AQ15" s="109">
        <v>1</v>
      </c>
      <c r="AR15" s="109">
        <v>1</v>
      </c>
      <c r="AS15" s="109">
        <v>1</v>
      </c>
      <c r="AT15" s="109">
        <v>1</v>
      </c>
      <c r="AU15" s="109">
        <v>1</v>
      </c>
      <c r="AV15" s="109">
        <v>1</v>
      </c>
      <c r="AW15" s="109">
        <v>1</v>
      </c>
      <c r="AX15" s="109">
        <v>1</v>
      </c>
      <c r="AY15" s="109">
        <v>1</v>
      </c>
      <c r="AZ15" s="109">
        <v>1</v>
      </c>
      <c r="BA15" s="109">
        <v>1</v>
      </c>
      <c r="BB15" s="109">
        <v>1</v>
      </c>
      <c r="BC15" s="109">
        <v>1</v>
      </c>
      <c r="BD15" s="109">
        <v>1</v>
      </c>
      <c r="BE15" s="109">
        <v>1</v>
      </c>
      <c r="BF15" s="109">
        <v>1</v>
      </c>
      <c r="BG15" s="109">
        <v>1</v>
      </c>
      <c r="BH15" s="109">
        <v>1</v>
      </c>
      <c r="BI15" s="109">
        <v>1</v>
      </c>
      <c r="BJ15" s="109">
        <v>1</v>
      </c>
      <c r="BK15" s="109">
        <v>1</v>
      </c>
      <c r="BL15" s="109">
        <v>1</v>
      </c>
      <c r="BM15" s="109">
        <v>1</v>
      </c>
      <c r="BN15" s="109">
        <v>1</v>
      </c>
      <c r="BO15" s="109">
        <v>1</v>
      </c>
      <c r="BP15" s="109">
        <v>1</v>
      </c>
      <c r="BQ15" s="109">
        <v>1</v>
      </c>
      <c r="BR15" s="109">
        <v>1</v>
      </c>
      <c r="BS15" s="109">
        <v>1</v>
      </c>
      <c r="BT15" s="109">
        <v>1</v>
      </c>
      <c r="BU15" s="109">
        <v>1</v>
      </c>
      <c r="BV15" s="109">
        <v>1</v>
      </c>
      <c r="BW15" s="109">
        <v>1</v>
      </c>
      <c r="BX15" s="109">
        <v>1</v>
      </c>
      <c r="BY15" s="109">
        <v>1</v>
      </c>
      <c r="BZ15" s="109">
        <v>1</v>
      </c>
      <c r="CA15" s="109">
        <v>1</v>
      </c>
      <c r="CB15" s="109">
        <v>1</v>
      </c>
      <c r="CC15" s="109">
        <v>1</v>
      </c>
      <c r="CD15" s="109">
        <v>1</v>
      </c>
      <c r="CE15" s="109">
        <v>1</v>
      </c>
      <c r="CF15" s="109">
        <v>1</v>
      </c>
      <c r="CG15" s="109">
        <v>1</v>
      </c>
      <c r="CH15" s="109">
        <v>1</v>
      </c>
      <c r="CI15" s="109">
        <v>1</v>
      </c>
      <c r="CJ15" s="109">
        <v>1</v>
      </c>
      <c r="CK15" s="109">
        <v>1</v>
      </c>
      <c r="CL15" s="109">
        <v>1</v>
      </c>
      <c r="CM15" s="109">
        <v>1</v>
      </c>
      <c r="CN15" s="109">
        <v>1</v>
      </c>
      <c r="CO15" s="109">
        <v>1</v>
      </c>
      <c r="CP15" s="109">
        <v>1</v>
      </c>
      <c r="CQ15" s="109">
        <v>1</v>
      </c>
      <c r="CR15" s="109">
        <v>1</v>
      </c>
      <c r="CS15" s="109">
        <v>1</v>
      </c>
      <c r="CT15" s="109">
        <v>1</v>
      </c>
      <c r="CU15" s="109">
        <v>1</v>
      </c>
      <c r="CV15" s="109">
        <v>1</v>
      </c>
      <c r="CW15" s="109">
        <v>1</v>
      </c>
      <c r="CX15" s="109">
        <v>1</v>
      </c>
      <c r="CY15" s="109">
        <v>1</v>
      </c>
      <c r="CZ15" s="109">
        <v>1</v>
      </c>
      <c r="DA15" s="109">
        <v>1</v>
      </c>
      <c r="DB15" s="109">
        <v>1</v>
      </c>
      <c r="DC15" s="109">
        <v>1</v>
      </c>
      <c r="DD15" s="109">
        <v>1</v>
      </c>
      <c r="DE15" s="109">
        <v>1</v>
      </c>
      <c r="DF15" s="109">
        <v>1</v>
      </c>
      <c r="DG15" s="109">
        <v>1</v>
      </c>
      <c r="DH15" s="109">
        <v>1</v>
      </c>
      <c r="DI15" s="109">
        <v>1</v>
      </c>
      <c r="DJ15" s="109">
        <v>1</v>
      </c>
      <c r="DK15" s="109">
        <v>1</v>
      </c>
      <c r="DL15" s="109">
        <v>1</v>
      </c>
      <c r="DM15" s="109">
        <v>1</v>
      </c>
      <c r="DN15" s="109">
        <v>1</v>
      </c>
      <c r="DO15" s="109">
        <v>1</v>
      </c>
      <c r="DP15" s="109">
        <v>1</v>
      </c>
      <c r="DQ15" s="109">
        <v>1</v>
      </c>
      <c r="DR15" s="109">
        <v>1</v>
      </c>
      <c r="DS15" s="109">
        <v>1</v>
      </c>
      <c r="DT15" s="109">
        <v>1</v>
      </c>
      <c r="DU15" s="109">
        <v>1</v>
      </c>
      <c r="DV15" s="109">
        <v>1</v>
      </c>
      <c r="DW15" s="109">
        <v>1</v>
      </c>
      <c r="DX15" s="109">
        <v>1</v>
      </c>
      <c r="DY15" s="109">
        <v>1</v>
      </c>
      <c r="DZ15" s="109">
        <v>1</v>
      </c>
      <c r="EA15" s="109">
        <v>1</v>
      </c>
      <c r="EB15" s="109">
        <v>1</v>
      </c>
      <c r="EC15" s="109">
        <v>1</v>
      </c>
      <c r="ED15" s="109">
        <v>1</v>
      </c>
      <c r="EE15" s="109">
        <v>1</v>
      </c>
      <c r="EF15" s="109">
        <v>1</v>
      </c>
      <c r="EG15" s="109">
        <v>1</v>
      </c>
      <c r="EH15" s="109">
        <v>1</v>
      </c>
      <c r="EI15" s="109">
        <v>1</v>
      </c>
      <c r="EJ15" s="109">
        <v>1</v>
      </c>
      <c r="EK15" s="109">
        <v>1</v>
      </c>
      <c r="EL15" s="109">
        <v>1</v>
      </c>
      <c r="EM15" s="109">
        <v>1</v>
      </c>
      <c r="EN15" s="109">
        <v>1</v>
      </c>
      <c r="EO15" s="109">
        <v>1</v>
      </c>
      <c r="EP15" s="109">
        <v>1</v>
      </c>
      <c r="EQ15" s="109">
        <v>1</v>
      </c>
      <c r="ER15" s="109">
        <v>1</v>
      </c>
      <c r="ES15" s="109">
        <v>1</v>
      </c>
      <c r="ET15" s="109">
        <v>1</v>
      </c>
      <c r="EU15" s="109">
        <v>1</v>
      </c>
      <c r="EV15" s="109">
        <v>1</v>
      </c>
      <c r="EW15" s="109">
        <v>1</v>
      </c>
      <c r="EX15" s="109">
        <v>1</v>
      </c>
      <c r="EY15" s="109">
        <v>1</v>
      </c>
      <c r="EZ15" s="109">
        <v>1</v>
      </c>
      <c r="FA15" s="109">
        <v>1</v>
      </c>
      <c r="FB15" s="109">
        <v>1</v>
      </c>
      <c r="FC15" s="109">
        <v>1</v>
      </c>
      <c r="FD15" s="109">
        <v>1</v>
      </c>
      <c r="FE15" s="109">
        <v>1</v>
      </c>
      <c r="FF15" s="109">
        <v>1</v>
      </c>
      <c r="FG15" s="109">
        <v>1</v>
      </c>
      <c r="FH15" s="109">
        <v>1</v>
      </c>
      <c r="FI15" s="109">
        <v>1</v>
      </c>
      <c r="FJ15" s="109">
        <v>1</v>
      </c>
      <c r="FK15" s="109">
        <v>1</v>
      </c>
      <c r="FL15" s="109">
        <v>1</v>
      </c>
      <c r="FM15" s="109">
        <v>1</v>
      </c>
      <c r="FN15" s="109">
        <v>1</v>
      </c>
      <c r="FO15" s="109">
        <v>1</v>
      </c>
      <c r="FP15" s="109">
        <v>1</v>
      </c>
      <c r="FQ15" s="109">
        <v>1</v>
      </c>
      <c r="FR15" s="109">
        <v>1</v>
      </c>
      <c r="FS15" s="109">
        <v>1</v>
      </c>
      <c r="FT15" s="109">
        <v>1</v>
      </c>
      <c r="FU15" s="109">
        <v>1</v>
      </c>
      <c r="FV15" s="109">
        <v>1</v>
      </c>
      <c r="FW15" s="109">
        <v>1</v>
      </c>
      <c r="FX15" s="109">
        <v>1</v>
      </c>
      <c r="FY15" s="109">
        <v>1</v>
      </c>
      <c r="FZ15" s="109">
        <v>1</v>
      </c>
      <c r="GA15" s="109">
        <v>1</v>
      </c>
      <c r="GB15" s="109">
        <v>1</v>
      </c>
      <c r="GC15" s="109">
        <v>1</v>
      </c>
      <c r="GD15" s="109">
        <v>1</v>
      </c>
      <c r="GE15" s="109">
        <v>1</v>
      </c>
      <c r="GF15" s="109">
        <v>1</v>
      </c>
      <c r="GG15" s="109">
        <v>1</v>
      </c>
      <c r="GH15" s="109">
        <v>1</v>
      </c>
      <c r="GI15" s="109">
        <v>1</v>
      </c>
      <c r="GJ15" s="109">
        <v>1</v>
      </c>
      <c r="GK15" s="109">
        <v>1</v>
      </c>
      <c r="GL15" s="109">
        <v>1</v>
      </c>
      <c r="GM15" s="109">
        <v>1</v>
      </c>
      <c r="GN15" s="109">
        <v>1</v>
      </c>
      <c r="GO15" s="109">
        <v>1</v>
      </c>
      <c r="GP15" s="109">
        <v>1</v>
      </c>
      <c r="GQ15" s="109">
        <v>1</v>
      </c>
      <c r="GR15" s="109">
        <v>1</v>
      </c>
      <c r="GS15" s="109">
        <v>1</v>
      </c>
      <c r="GT15" s="109">
        <v>1</v>
      </c>
      <c r="GU15" s="109">
        <v>1</v>
      </c>
      <c r="GV15" s="109">
        <v>1</v>
      </c>
      <c r="GW15" s="109">
        <v>1</v>
      </c>
      <c r="GX15" s="109">
        <v>1</v>
      </c>
      <c r="GY15" s="109">
        <v>1</v>
      </c>
      <c r="GZ15" s="109">
        <v>1</v>
      </c>
      <c r="HA15" s="109">
        <v>1</v>
      </c>
      <c r="HB15" s="109">
        <v>1</v>
      </c>
      <c r="HC15" s="109">
        <v>1</v>
      </c>
      <c r="HD15" s="109">
        <v>1</v>
      </c>
      <c r="HE15" s="109">
        <v>1</v>
      </c>
      <c r="HF15" s="109">
        <v>1</v>
      </c>
      <c r="HG15" s="109">
        <v>1</v>
      </c>
      <c r="HH15" s="109">
        <v>1</v>
      </c>
      <c r="HI15" s="109">
        <v>1</v>
      </c>
      <c r="HJ15" s="109">
        <v>1</v>
      </c>
      <c r="HK15" s="109">
        <v>1</v>
      </c>
      <c r="HL15" s="109">
        <v>1</v>
      </c>
      <c r="HM15" s="109">
        <v>1</v>
      </c>
      <c r="HN15" s="109">
        <v>1</v>
      </c>
      <c r="HO15" s="109">
        <v>1</v>
      </c>
      <c r="HP15" s="109">
        <v>1</v>
      </c>
      <c r="HQ15" s="109">
        <v>1</v>
      </c>
      <c r="HR15" s="109">
        <v>1</v>
      </c>
      <c r="HS15" s="109">
        <v>1</v>
      </c>
      <c r="HT15" s="109">
        <v>1</v>
      </c>
      <c r="HU15" s="109">
        <v>1</v>
      </c>
      <c r="HV15" s="109">
        <v>1</v>
      </c>
      <c r="HW15" s="109">
        <v>1</v>
      </c>
      <c r="HX15" s="109">
        <v>1</v>
      </c>
      <c r="HY15" s="109">
        <v>1</v>
      </c>
    </row>
    <row r="16" spans="1:233" ht="32.25" customHeight="1">
      <c r="A16" s="297"/>
      <c r="B16" s="301">
        <v>490</v>
      </c>
      <c r="C16" s="173" t="s">
        <v>546</v>
      </c>
      <c r="D16" s="109" t="s">
        <v>1469</v>
      </c>
      <c r="E16" s="109" t="s">
        <v>1469</v>
      </c>
      <c r="F16" s="109" t="s">
        <v>1469</v>
      </c>
      <c r="G16" s="109" t="s">
        <v>1469</v>
      </c>
      <c r="H16" s="109" t="s">
        <v>1470</v>
      </c>
      <c r="I16" s="109" t="s">
        <v>1471</v>
      </c>
      <c r="J16" s="109" t="s">
        <v>1472</v>
      </c>
      <c r="K16" s="109" t="s">
        <v>1471</v>
      </c>
      <c r="L16" s="109" t="s">
        <v>1472</v>
      </c>
      <c r="M16" s="109" t="s">
        <v>1471</v>
      </c>
      <c r="N16" s="109" t="s">
        <v>1472</v>
      </c>
      <c r="O16" s="109" t="s">
        <v>1471</v>
      </c>
      <c r="P16" s="109" t="s">
        <v>1472</v>
      </c>
      <c r="Q16" s="109" t="s">
        <v>1473</v>
      </c>
      <c r="R16" s="109" t="s">
        <v>1473</v>
      </c>
      <c r="S16" s="109" t="s">
        <v>1473</v>
      </c>
      <c r="T16" s="109" t="s">
        <v>1473</v>
      </c>
      <c r="U16" s="109" t="s">
        <v>1474</v>
      </c>
      <c r="V16" s="109" t="s">
        <v>1474</v>
      </c>
      <c r="W16" s="109" t="s">
        <v>1474</v>
      </c>
      <c r="X16" s="109" t="s">
        <v>1474</v>
      </c>
      <c r="Y16" s="109" t="s">
        <v>1475</v>
      </c>
      <c r="Z16" s="109" t="s">
        <v>1475</v>
      </c>
      <c r="AA16" s="109" t="s">
        <v>1475</v>
      </c>
      <c r="AB16" s="109" t="s">
        <v>1475</v>
      </c>
      <c r="AC16" s="109" t="s">
        <v>1476</v>
      </c>
      <c r="AD16" s="109" t="s">
        <v>1477</v>
      </c>
      <c r="AE16" s="109" t="s">
        <v>1478</v>
      </c>
      <c r="AF16" s="109" t="s">
        <v>1478</v>
      </c>
      <c r="AG16" s="109" t="s">
        <v>1478</v>
      </c>
      <c r="AH16" s="109" t="s">
        <v>1478</v>
      </c>
      <c r="AI16" s="109" t="s">
        <v>1479</v>
      </c>
      <c r="AJ16" s="109" t="s">
        <v>1480</v>
      </c>
      <c r="AK16" s="109" t="s">
        <v>1480</v>
      </c>
      <c r="AL16" s="109" t="s">
        <v>1480</v>
      </c>
      <c r="AM16" s="109" t="s">
        <v>1480</v>
      </c>
      <c r="AN16" s="109" t="s">
        <v>1481</v>
      </c>
      <c r="AO16" s="109" t="s">
        <v>1481</v>
      </c>
      <c r="AP16" s="109" t="s">
        <v>1481</v>
      </c>
      <c r="AQ16" s="109" t="s">
        <v>1481</v>
      </c>
      <c r="AR16" s="109" t="s">
        <v>1482</v>
      </c>
      <c r="AS16" s="109" t="s">
        <v>1482</v>
      </c>
      <c r="AT16" s="109" t="s">
        <v>1482</v>
      </c>
      <c r="AU16" s="109" t="s">
        <v>1482</v>
      </c>
      <c r="AV16" s="109" t="s">
        <v>1483</v>
      </c>
      <c r="AW16" s="109" t="s">
        <v>1484</v>
      </c>
      <c r="AX16" s="109" t="s">
        <v>1484</v>
      </c>
      <c r="AY16" s="109" t="s">
        <v>1484</v>
      </c>
      <c r="AZ16" s="109" t="s">
        <v>1484</v>
      </c>
      <c r="BA16" s="109" t="s">
        <v>1485</v>
      </c>
      <c r="BB16" s="109" t="s">
        <v>1485</v>
      </c>
      <c r="BC16" s="109" t="s">
        <v>1485</v>
      </c>
      <c r="BD16" s="109" t="s">
        <v>1485</v>
      </c>
      <c r="BE16" s="109" t="s">
        <v>1486</v>
      </c>
      <c r="BF16" s="109" t="s">
        <v>1486</v>
      </c>
      <c r="BG16" s="109" t="s">
        <v>1486</v>
      </c>
      <c r="BH16" s="109" t="s">
        <v>1486</v>
      </c>
      <c r="BI16" s="109" t="s">
        <v>1487</v>
      </c>
      <c r="BJ16" s="109" t="s">
        <v>1487</v>
      </c>
      <c r="BK16" s="109" t="s">
        <v>1487</v>
      </c>
      <c r="BL16" s="109" t="s">
        <v>1487</v>
      </c>
      <c r="BM16" s="109" t="s">
        <v>1488</v>
      </c>
      <c r="BN16" s="109" t="s">
        <v>1488</v>
      </c>
      <c r="BO16" s="109" t="s">
        <v>1488</v>
      </c>
      <c r="BP16" s="109" t="s">
        <v>1488</v>
      </c>
      <c r="BQ16" s="109" t="s">
        <v>1489</v>
      </c>
      <c r="BR16" s="109" t="s">
        <v>1489</v>
      </c>
      <c r="BS16" s="109" t="s">
        <v>1489</v>
      </c>
      <c r="BT16" s="109" t="s">
        <v>1489</v>
      </c>
      <c r="BU16" s="109" t="s">
        <v>1490</v>
      </c>
      <c r="BV16" s="109" t="s">
        <v>1491</v>
      </c>
      <c r="BW16" s="109" t="s">
        <v>1492</v>
      </c>
      <c r="BX16" s="109" t="s">
        <v>1493</v>
      </c>
      <c r="BY16" s="109" t="s">
        <v>1490</v>
      </c>
      <c r="BZ16" s="109" t="s">
        <v>1491</v>
      </c>
      <c r="CA16" s="109" t="s">
        <v>1492</v>
      </c>
      <c r="CB16" s="109" t="s">
        <v>1493</v>
      </c>
      <c r="CC16" s="109" t="s">
        <v>1494</v>
      </c>
      <c r="CD16" s="109" t="s">
        <v>1495</v>
      </c>
      <c r="CE16" s="109" t="s">
        <v>1494</v>
      </c>
      <c r="CF16" s="109" t="s">
        <v>1495</v>
      </c>
      <c r="CG16" s="109" t="s">
        <v>1494</v>
      </c>
      <c r="CH16" s="109" t="s">
        <v>1495</v>
      </c>
      <c r="CI16" s="109" t="s">
        <v>1496</v>
      </c>
      <c r="CJ16" s="109" t="s">
        <v>1497</v>
      </c>
      <c r="CK16" s="109" t="s">
        <v>1498</v>
      </c>
      <c r="CL16" s="109" t="s">
        <v>1499</v>
      </c>
      <c r="CM16" s="109" t="s">
        <v>1500</v>
      </c>
      <c r="CN16" s="109" t="s">
        <v>1501</v>
      </c>
      <c r="CO16" s="109" t="s">
        <v>1502</v>
      </c>
      <c r="CP16" s="109" t="s">
        <v>1503</v>
      </c>
      <c r="CQ16" s="109" t="s">
        <v>1504</v>
      </c>
      <c r="CR16" s="109" t="s">
        <v>1505</v>
      </c>
      <c r="CS16" s="109" t="s">
        <v>1506</v>
      </c>
      <c r="CT16" s="109" t="s">
        <v>1507</v>
      </c>
      <c r="CU16" s="109" t="s">
        <v>1508</v>
      </c>
      <c r="CV16" s="109" t="s">
        <v>1509</v>
      </c>
      <c r="CW16" s="109" t="s">
        <v>1510</v>
      </c>
      <c r="CX16" s="109" t="s">
        <v>1511</v>
      </c>
      <c r="CY16" s="109" t="s">
        <v>1512</v>
      </c>
      <c r="CZ16" s="109" t="s">
        <v>1513</v>
      </c>
      <c r="DA16" s="109" t="s">
        <v>1514</v>
      </c>
      <c r="DB16" s="109" t="s">
        <v>1515</v>
      </c>
      <c r="DC16" s="109" t="s">
        <v>1516</v>
      </c>
      <c r="DD16" s="109" t="s">
        <v>1517</v>
      </c>
      <c r="DE16" s="109" t="s">
        <v>1518</v>
      </c>
      <c r="DF16" s="109" t="s">
        <v>1519</v>
      </c>
      <c r="DG16" s="109" t="s">
        <v>1519</v>
      </c>
      <c r="DH16" s="109" t="s">
        <v>1519</v>
      </c>
      <c r="DI16" s="109" t="s">
        <v>1520</v>
      </c>
      <c r="DJ16" s="109" t="s">
        <v>1521</v>
      </c>
      <c r="DK16" s="109" t="s">
        <v>1522</v>
      </c>
      <c r="DL16" s="109" t="s">
        <v>1523</v>
      </c>
      <c r="DM16" s="109" t="s">
        <v>1524</v>
      </c>
      <c r="DN16" s="109" t="s">
        <v>1525</v>
      </c>
      <c r="DO16" s="109" t="s">
        <v>1526</v>
      </c>
      <c r="DP16" s="109" t="s">
        <v>1527</v>
      </c>
      <c r="DQ16" s="109" t="s">
        <v>1528</v>
      </c>
      <c r="DR16" s="109" t="s">
        <v>1529</v>
      </c>
      <c r="DS16" s="109" t="s">
        <v>1530</v>
      </c>
      <c r="DT16" s="109" t="s">
        <v>1531</v>
      </c>
      <c r="DU16" s="109" t="s">
        <v>1532</v>
      </c>
      <c r="DV16" s="109" t="s">
        <v>1533</v>
      </c>
      <c r="DW16" s="109" t="s">
        <v>1534</v>
      </c>
      <c r="DX16" s="109" t="s">
        <v>1535</v>
      </c>
      <c r="DY16" s="109" t="s">
        <v>1536</v>
      </c>
      <c r="DZ16" s="109" t="s">
        <v>1531</v>
      </c>
      <c r="EA16" s="109" t="s">
        <v>1532</v>
      </c>
      <c r="EB16" s="109" t="s">
        <v>1535</v>
      </c>
      <c r="EC16" s="109" t="s">
        <v>1537</v>
      </c>
      <c r="ED16" s="109" t="s">
        <v>1538</v>
      </c>
      <c r="EE16" s="109" t="s">
        <v>1533</v>
      </c>
      <c r="EF16" s="109" t="s">
        <v>1534</v>
      </c>
      <c r="EG16" s="109" t="s">
        <v>1536</v>
      </c>
      <c r="EH16" s="109" t="s">
        <v>1539</v>
      </c>
      <c r="EI16" s="109" t="s">
        <v>1540</v>
      </c>
      <c r="EJ16" s="109" t="s">
        <v>1531</v>
      </c>
      <c r="EK16" s="109" t="s">
        <v>1532</v>
      </c>
      <c r="EL16" s="109" t="s">
        <v>1535</v>
      </c>
      <c r="EM16" s="109" t="s">
        <v>1537</v>
      </c>
      <c r="EN16" s="109" t="s">
        <v>1538</v>
      </c>
      <c r="EO16" s="109" t="s">
        <v>1533</v>
      </c>
      <c r="EP16" s="109" t="s">
        <v>1534</v>
      </c>
      <c r="EQ16" s="109" t="s">
        <v>1536</v>
      </c>
      <c r="ER16" s="109" t="s">
        <v>1539</v>
      </c>
      <c r="ES16" s="109" t="s">
        <v>1540</v>
      </c>
      <c r="ET16" s="109" t="s">
        <v>1531</v>
      </c>
      <c r="EU16" s="109" t="s">
        <v>1532</v>
      </c>
      <c r="EV16" s="109" t="s">
        <v>1535</v>
      </c>
      <c r="EW16" s="109" t="s">
        <v>1537</v>
      </c>
      <c r="EX16" s="109" t="s">
        <v>1538</v>
      </c>
      <c r="EY16" s="109" t="s">
        <v>1533</v>
      </c>
      <c r="EZ16" s="109" t="s">
        <v>1534</v>
      </c>
      <c r="FA16" s="109" t="s">
        <v>1536</v>
      </c>
      <c r="FB16" s="109" t="s">
        <v>1539</v>
      </c>
      <c r="FC16" s="109" t="s">
        <v>1540</v>
      </c>
      <c r="FD16" s="109" t="s">
        <v>1531</v>
      </c>
      <c r="FE16" s="109" t="s">
        <v>1532</v>
      </c>
      <c r="FF16" s="109" t="s">
        <v>1535</v>
      </c>
      <c r="FG16" s="109" t="s">
        <v>1537</v>
      </c>
      <c r="FH16" s="109" t="s">
        <v>1538</v>
      </c>
      <c r="FI16" s="109" t="s">
        <v>1533</v>
      </c>
      <c r="FJ16" s="109" t="s">
        <v>1534</v>
      </c>
      <c r="FK16" s="109" t="s">
        <v>1536</v>
      </c>
      <c r="FL16" s="109" t="s">
        <v>1539</v>
      </c>
      <c r="FM16" s="109" t="s">
        <v>1540</v>
      </c>
      <c r="FN16" s="109" t="s">
        <v>1541</v>
      </c>
      <c r="FO16" s="109" t="s">
        <v>1542</v>
      </c>
      <c r="FP16" s="109" t="s">
        <v>1543</v>
      </c>
      <c r="FQ16" s="109" t="s">
        <v>1544</v>
      </c>
      <c r="FR16" s="109" t="s">
        <v>1545</v>
      </c>
      <c r="FS16" s="109" t="s">
        <v>1537</v>
      </c>
      <c r="FT16" s="109" t="s">
        <v>1538</v>
      </c>
      <c r="FU16" s="109" t="s">
        <v>1539</v>
      </c>
      <c r="FV16" s="109" t="s">
        <v>1540</v>
      </c>
      <c r="FW16" s="109" t="s">
        <v>1546</v>
      </c>
      <c r="FX16" s="109" t="s">
        <v>1547</v>
      </c>
      <c r="FY16" s="109" t="s">
        <v>1548</v>
      </c>
      <c r="FZ16" s="109" t="s">
        <v>1549</v>
      </c>
      <c r="GA16" s="109" t="s">
        <v>1550</v>
      </c>
      <c r="GB16" s="109" t="s">
        <v>1551</v>
      </c>
      <c r="GC16" s="109" t="s">
        <v>1552</v>
      </c>
      <c r="GD16" s="109" t="s">
        <v>1553</v>
      </c>
      <c r="GE16" s="109" t="s">
        <v>1554</v>
      </c>
      <c r="GF16" s="109" t="s">
        <v>1555</v>
      </c>
      <c r="GG16" s="109" t="s">
        <v>1556</v>
      </c>
      <c r="GH16" s="109" t="s">
        <v>1557</v>
      </c>
      <c r="GI16" s="109" t="s">
        <v>1558</v>
      </c>
      <c r="GJ16" s="109" t="s">
        <v>1559</v>
      </c>
      <c r="GK16" s="109" t="s">
        <v>1560</v>
      </c>
      <c r="GL16" s="109" t="s">
        <v>1561</v>
      </c>
      <c r="GM16" s="109" t="s">
        <v>1562</v>
      </c>
      <c r="GN16" s="109" t="s">
        <v>1563</v>
      </c>
      <c r="GO16" s="109" t="s">
        <v>1564</v>
      </c>
      <c r="GP16" s="109" t="s">
        <v>1565</v>
      </c>
      <c r="GQ16" s="109" t="s">
        <v>1566</v>
      </c>
      <c r="GR16" s="109" t="s">
        <v>1567</v>
      </c>
      <c r="GS16" s="109" t="s">
        <v>1568</v>
      </c>
      <c r="GT16" s="109" t="s">
        <v>1569</v>
      </c>
      <c r="GU16" s="109" t="s">
        <v>1570</v>
      </c>
      <c r="GV16" s="109" t="s">
        <v>1571</v>
      </c>
      <c r="GW16" s="109" t="s">
        <v>1572</v>
      </c>
      <c r="GX16" s="109" t="s">
        <v>1573</v>
      </c>
      <c r="GY16" s="109" t="s">
        <v>1574</v>
      </c>
      <c r="GZ16" s="109" t="s">
        <v>1575</v>
      </c>
      <c r="HA16" s="109" t="s">
        <v>1575</v>
      </c>
      <c r="HB16" s="109" t="s">
        <v>1575</v>
      </c>
      <c r="HC16" s="109" t="s">
        <v>1575</v>
      </c>
      <c r="HD16" s="109" t="s">
        <v>1575</v>
      </c>
      <c r="HE16" s="109" t="s">
        <v>1575</v>
      </c>
      <c r="HF16" s="109" t="s">
        <v>1575</v>
      </c>
      <c r="HG16" s="109" t="s">
        <v>1575</v>
      </c>
      <c r="HH16" s="109" t="s">
        <v>1575</v>
      </c>
      <c r="HI16" s="109" t="s">
        <v>1575</v>
      </c>
      <c r="HJ16" s="109" t="s">
        <v>1575</v>
      </c>
      <c r="HK16" s="109" t="s">
        <v>1575</v>
      </c>
      <c r="HL16" s="109" t="s">
        <v>1575</v>
      </c>
      <c r="HM16" s="109" t="s">
        <v>1575</v>
      </c>
      <c r="HN16" s="109" t="s">
        <v>1575</v>
      </c>
      <c r="HO16" s="109" t="s">
        <v>1575</v>
      </c>
      <c r="HP16" s="109" t="s">
        <v>1575</v>
      </c>
      <c r="HQ16" s="109" t="s">
        <v>1575</v>
      </c>
      <c r="HR16" s="109" t="s">
        <v>1575</v>
      </c>
      <c r="HS16" s="109" t="s">
        <v>1575</v>
      </c>
      <c r="HT16" s="109" t="s">
        <v>1575</v>
      </c>
      <c r="HU16" s="109" t="s">
        <v>1575</v>
      </c>
      <c r="HV16" s="109" t="s">
        <v>1575</v>
      </c>
      <c r="HW16" s="109" t="s">
        <v>1575</v>
      </c>
      <c r="HX16" s="109" t="s">
        <v>1575</v>
      </c>
      <c r="HY16" s="109" t="s">
        <v>1575</v>
      </c>
    </row>
    <row r="17" spans="1:233" ht="108">
      <c r="A17" s="297"/>
      <c r="B17" s="301">
        <v>491</v>
      </c>
      <c r="C17" s="173" t="s">
        <v>547</v>
      </c>
      <c r="D17" s="250" t="s">
        <v>764</v>
      </c>
      <c r="E17" s="250" t="s">
        <v>764</v>
      </c>
      <c r="F17" s="250" t="s">
        <v>764</v>
      </c>
      <c r="G17" s="250" t="s">
        <v>764</v>
      </c>
      <c r="H17" s="250" t="s">
        <v>1576</v>
      </c>
      <c r="I17" s="250"/>
      <c r="J17" s="250"/>
      <c r="K17" s="250"/>
      <c r="L17" s="250"/>
      <c r="M17" s="250"/>
      <c r="N17" s="250"/>
      <c r="O17" s="250"/>
      <c r="P17" s="250">
        <v>0</v>
      </c>
      <c r="Q17" s="250" t="s">
        <v>767</v>
      </c>
      <c r="R17" s="250" t="s">
        <v>767</v>
      </c>
      <c r="S17" s="250" t="s">
        <v>767</v>
      </c>
      <c r="T17" s="250" t="s">
        <v>767</v>
      </c>
      <c r="U17" s="250" t="s">
        <v>767</v>
      </c>
      <c r="V17" s="250" t="s">
        <v>767</v>
      </c>
      <c r="W17" s="250" t="s">
        <v>767</v>
      </c>
      <c r="X17" s="250" t="s">
        <v>767</v>
      </c>
      <c r="Y17" s="250">
        <v>0</v>
      </c>
      <c r="Z17" s="250">
        <v>0</v>
      </c>
      <c r="AA17" s="250">
        <v>0</v>
      </c>
      <c r="AB17" s="250">
        <v>0</v>
      </c>
      <c r="AC17" s="250" t="s">
        <v>1577</v>
      </c>
      <c r="AD17" s="250" t="s">
        <v>1577</v>
      </c>
      <c r="AE17" s="250" t="s">
        <v>768</v>
      </c>
      <c r="AF17" s="250" t="s">
        <v>768</v>
      </c>
      <c r="AG17" s="250" t="s">
        <v>768</v>
      </c>
      <c r="AH17" s="250" t="s">
        <v>768</v>
      </c>
      <c r="AI17" s="250" t="s">
        <v>768</v>
      </c>
      <c r="AJ17" s="250" t="s">
        <v>1578</v>
      </c>
      <c r="AK17" s="250" t="s">
        <v>1578</v>
      </c>
      <c r="AL17" s="250" t="s">
        <v>1578</v>
      </c>
      <c r="AM17" s="250" t="s">
        <v>1578</v>
      </c>
      <c r="AN17" s="250" t="s">
        <v>769</v>
      </c>
      <c r="AO17" s="250" t="s">
        <v>769</v>
      </c>
      <c r="AP17" s="250" t="s">
        <v>769</v>
      </c>
      <c r="AQ17" s="250" t="s">
        <v>769</v>
      </c>
      <c r="AR17" s="250" t="s">
        <v>770</v>
      </c>
      <c r="AS17" s="250" t="s">
        <v>770</v>
      </c>
      <c r="AT17" s="250" t="s">
        <v>770</v>
      </c>
      <c r="AU17" s="250" t="s">
        <v>770</v>
      </c>
      <c r="AV17" s="250" t="s">
        <v>769</v>
      </c>
      <c r="AW17" s="250" t="s">
        <v>769</v>
      </c>
      <c r="AX17" s="250" t="s">
        <v>769</v>
      </c>
      <c r="AY17" s="250" t="s">
        <v>769</v>
      </c>
      <c r="AZ17" s="250" t="s">
        <v>769</v>
      </c>
      <c r="BA17" s="250" t="s">
        <v>770</v>
      </c>
      <c r="BB17" s="250" t="s">
        <v>770</v>
      </c>
      <c r="BC17" s="250" t="s">
        <v>770</v>
      </c>
      <c r="BD17" s="250" t="s">
        <v>770</v>
      </c>
      <c r="BE17" s="250" t="s">
        <v>771</v>
      </c>
      <c r="BF17" s="250" t="s">
        <v>771</v>
      </c>
      <c r="BG17" s="250" t="s">
        <v>771</v>
      </c>
      <c r="BH17" s="250" t="s">
        <v>769</v>
      </c>
      <c r="BI17" s="250" t="s">
        <v>772</v>
      </c>
      <c r="BJ17" s="250" t="s">
        <v>772</v>
      </c>
      <c r="BK17" s="250" t="s">
        <v>772</v>
      </c>
      <c r="BL17" s="250" t="s">
        <v>770</v>
      </c>
      <c r="BM17" s="250" t="s">
        <v>771</v>
      </c>
      <c r="BN17" s="250" t="s">
        <v>771</v>
      </c>
      <c r="BO17" s="250" t="s">
        <v>771</v>
      </c>
      <c r="BP17" s="250" t="s">
        <v>771</v>
      </c>
      <c r="BQ17" s="250" t="s">
        <v>772</v>
      </c>
      <c r="BR17" s="250" t="s">
        <v>772</v>
      </c>
      <c r="BS17" s="250" t="s">
        <v>772</v>
      </c>
      <c r="BT17" s="250" t="s">
        <v>772</v>
      </c>
      <c r="BU17" s="250" t="s">
        <v>1579</v>
      </c>
      <c r="BV17" s="250" t="s">
        <v>1579</v>
      </c>
      <c r="BW17" s="250" t="s">
        <v>1579</v>
      </c>
      <c r="BX17" s="250" t="s">
        <v>1579</v>
      </c>
      <c r="BY17" s="250" t="s">
        <v>1579</v>
      </c>
      <c r="BZ17" s="250" t="s">
        <v>1579</v>
      </c>
      <c r="CA17" s="250" t="s">
        <v>1579</v>
      </c>
      <c r="CB17" s="250" t="s">
        <v>1579</v>
      </c>
      <c r="CC17" s="250" t="s">
        <v>1579</v>
      </c>
      <c r="CD17" s="250" t="s">
        <v>1579</v>
      </c>
      <c r="CE17" s="250" t="s">
        <v>1579</v>
      </c>
      <c r="CF17" s="250" t="s">
        <v>1579</v>
      </c>
      <c r="CG17" s="250" t="s">
        <v>1579</v>
      </c>
      <c r="CH17" s="250" t="s">
        <v>1579</v>
      </c>
      <c r="CI17" s="250" t="s">
        <v>1580</v>
      </c>
      <c r="CJ17" s="250" t="s">
        <v>1581</v>
      </c>
      <c r="CK17" s="250" t="s">
        <v>1582</v>
      </c>
      <c r="CL17" s="250" t="s">
        <v>1583</v>
      </c>
      <c r="CM17" s="250">
        <v>0</v>
      </c>
      <c r="CN17" s="250">
        <v>0</v>
      </c>
      <c r="CO17" s="250" t="s">
        <v>1584</v>
      </c>
      <c r="CP17" s="250">
        <v>0</v>
      </c>
      <c r="CQ17" s="250" t="s">
        <v>1585</v>
      </c>
      <c r="CR17" s="250" t="s">
        <v>525</v>
      </c>
      <c r="CS17" s="250" t="s">
        <v>525</v>
      </c>
      <c r="CT17" s="250" t="s">
        <v>525</v>
      </c>
      <c r="CU17" s="250" t="s">
        <v>525</v>
      </c>
      <c r="CV17" s="250" t="s">
        <v>525</v>
      </c>
      <c r="CW17" s="250" t="s">
        <v>525</v>
      </c>
      <c r="CX17" s="250" t="s">
        <v>770</v>
      </c>
      <c r="CY17" s="250" t="s">
        <v>770</v>
      </c>
      <c r="CZ17" s="250" t="s">
        <v>770</v>
      </c>
      <c r="DA17" s="250" t="s">
        <v>772</v>
      </c>
      <c r="DB17" s="250" t="s">
        <v>1586</v>
      </c>
      <c r="DC17" s="250" t="s">
        <v>1586</v>
      </c>
      <c r="DD17" s="250" t="s">
        <v>1587</v>
      </c>
      <c r="DE17" s="250" t="s">
        <v>1588</v>
      </c>
      <c r="DF17" s="250" t="s">
        <v>1579</v>
      </c>
      <c r="DG17" s="250" t="s">
        <v>1579</v>
      </c>
      <c r="DH17" s="250" t="s">
        <v>1579</v>
      </c>
      <c r="DI17" s="250" t="s">
        <v>1579</v>
      </c>
      <c r="DJ17" s="250" t="s">
        <v>1579</v>
      </c>
      <c r="DK17" s="250" t="s">
        <v>525</v>
      </c>
      <c r="DL17" s="250">
        <v>0</v>
      </c>
      <c r="DM17" s="250">
        <v>0</v>
      </c>
      <c r="DN17" s="250">
        <v>0</v>
      </c>
      <c r="DO17" s="250">
        <v>0</v>
      </c>
      <c r="DP17" s="250">
        <v>0</v>
      </c>
      <c r="DQ17" s="250">
        <v>0</v>
      </c>
      <c r="DR17" s="250">
        <v>0</v>
      </c>
      <c r="DS17" s="250">
        <v>0</v>
      </c>
      <c r="DT17" s="250" t="s">
        <v>769</v>
      </c>
      <c r="DU17" s="250" t="s">
        <v>769</v>
      </c>
      <c r="DV17" s="250" t="s">
        <v>770</v>
      </c>
      <c r="DW17" s="250" t="s">
        <v>770</v>
      </c>
      <c r="DX17" s="250" t="s">
        <v>769</v>
      </c>
      <c r="DY17" s="250" t="s">
        <v>770</v>
      </c>
      <c r="DZ17" s="250" t="s">
        <v>769</v>
      </c>
      <c r="EA17" s="250" t="s">
        <v>769</v>
      </c>
      <c r="EB17" s="250" t="s">
        <v>769</v>
      </c>
      <c r="EC17" s="250" t="s">
        <v>769</v>
      </c>
      <c r="ED17" s="250" t="s">
        <v>769</v>
      </c>
      <c r="EE17" s="250" t="s">
        <v>770</v>
      </c>
      <c r="EF17" s="250" t="s">
        <v>770</v>
      </c>
      <c r="EG17" s="250" t="s">
        <v>770</v>
      </c>
      <c r="EH17" s="250" t="s">
        <v>770</v>
      </c>
      <c r="EI17" s="250" t="s">
        <v>770</v>
      </c>
      <c r="EJ17" s="250" t="s">
        <v>769</v>
      </c>
      <c r="EK17" s="250" t="s">
        <v>769</v>
      </c>
      <c r="EL17" s="250" t="s">
        <v>769</v>
      </c>
      <c r="EM17" s="250" t="s">
        <v>769</v>
      </c>
      <c r="EN17" s="250" t="s">
        <v>769</v>
      </c>
      <c r="EO17" s="250" t="s">
        <v>770</v>
      </c>
      <c r="EP17" s="250" t="s">
        <v>770</v>
      </c>
      <c r="EQ17" s="250" t="s">
        <v>770</v>
      </c>
      <c r="ER17" s="250" t="s">
        <v>770</v>
      </c>
      <c r="ES17" s="250" t="s">
        <v>770</v>
      </c>
      <c r="ET17" s="250" t="s">
        <v>769</v>
      </c>
      <c r="EU17" s="250" t="s">
        <v>769</v>
      </c>
      <c r="EV17" s="250" t="s">
        <v>769</v>
      </c>
      <c r="EW17" s="250" t="s">
        <v>769</v>
      </c>
      <c r="EX17" s="250" t="s">
        <v>769</v>
      </c>
      <c r="EY17" s="250" t="s">
        <v>770</v>
      </c>
      <c r="EZ17" s="250" t="s">
        <v>770</v>
      </c>
      <c r="FA17" s="250" t="s">
        <v>770</v>
      </c>
      <c r="FB17" s="250" t="s">
        <v>770</v>
      </c>
      <c r="FC17" s="250" t="s">
        <v>770</v>
      </c>
      <c r="FD17" s="250" t="s">
        <v>769</v>
      </c>
      <c r="FE17" s="250" t="s">
        <v>769</v>
      </c>
      <c r="FF17" s="250" t="s">
        <v>769</v>
      </c>
      <c r="FG17" s="250" t="s">
        <v>769</v>
      </c>
      <c r="FH17" s="250" t="s">
        <v>769</v>
      </c>
      <c r="FI17" s="250" t="s">
        <v>770</v>
      </c>
      <c r="FJ17" s="250" t="s">
        <v>770</v>
      </c>
      <c r="FK17" s="250" t="s">
        <v>770</v>
      </c>
      <c r="FL17" s="250" t="s">
        <v>770</v>
      </c>
      <c r="FM17" s="250" t="s">
        <v>770</v>
      </c>
      <c r="FN17" s="250" t="s">
        <v>769</v>
      </c>
      <c r="FO17" s="250" t="s">
        <v>769</v>
      </c>
      <c r="FP17" s="250" t="s">
        <v>770</v>
      </c>
      <c r="FQ17" s="250" t="s">
        <v>770</v>
      </c>
      <c r="FR17" s="250" t="s">
        <v>770</v>
      </c>
      <c r="FS17" s="250" t="s">
        <v>769</v>
      </c>
      <c r="FT17" s="250" t="s">
        <v>769</v>
      </c>
      <c r="FU17" s="250" t="s">
        <v>770</v>
      </c>
      <c r="FV17" s="250" t="s">
        <v>770</v>
      </c>
      <c r="FW17" s="250" t="s">
        <v>770</v>
      </c>
      <c r="FX17" s="250" t="s">
        <v>770</v>
      </c>
      <c r="FY17" s="250" t="s">
        <v>1587</v>
      </c>
      <c r="FZ17" s="250">
        <v>0</v>
      </c>
      <c r="GA17" s="250">
        <v>0</v>
      </c>
      <c r="GB17" s="250" t="s">
        <v>1586</v>
      </c>
      <c r="GC17" s="250" t="s">
        <v>1586</v>
      </c>
      <c r="GD17" s="250" t="s">
        <v>769</v>
      </c>
      <c r="GE17" s="250" t="s">
        <v>769</v>
      </c>
      <c r="GF17" s="250" t="s">
        <v>770</v>
      </c>
      <c r="GG17" s="250" t="s">
        <v>770</v>
      </c>
      <c r="GH17" s="250" t="s">
        <v>769</v>
      </c>
      <c r="GI17" s="250" t="s">
        <v>770</v>
      </c>
      <c r="GJ17" s="250" t="s">
        <v>769</v>
      </c>
      <c r="GK17" s="250" t="s">
        <v>769</v>
      </c>
      <c r="GL17" s="250" t="s">
        <v>770</v>
      </c>
      <c r="GM17" s="250" t="s">
        <v>770</v>
      </c>
      <c r="GN17" s="250" t="s">
        <v>770</v>
      </c>
      <c r="GO17" s="250" t="s">
        <v>769</v>
      </c>
      <c r="GP17" s="250" t="s">
        <v>769</v>
      </c>
      <c r="GQ17" s="250" t="s">
        <v>770</v>
      </c>
      <c r="GR17" s="250" t="s">
        <v>770</v>
      </c>
      <c r="GS17" s="250" t="s">
        <v>770</v>
      </c>
      <c r="GT17" s="250" t="s">
        <v>770</v>
      </c>
      <c r="GU17" s="250">
        <v>0</v>
      </c>
      <c r="GV17" s="250">
        <v>0</v>
      </c>
      <c r="GW17" s="250" t="s">
        <v>1587</v>
      </c>
      <c r="GX17" s="250" t="s">
        <v>1586</v>
      </c>
      <c r="GY17" s="250" t="s">
        <v>1586</v>
      </c>
      <c r="GZ17" s="250"/>
      <c r="HC17" s="250"/>
      <c r="HD17" s="250"/>
      <c r="HE17" s="250"/>
      <c r="HF17" s="250"/>
      <c r="HG17" s="250"/>
      <c r="HH17" s="250"/>
      <c r="HI17" s="250"/>
      <c r="HJ17" s="250"/>
      <c r="HK17" s="250"/>
      <c r="HL17" s="250"/>
      <c r="HM17" s="250"/>
      <c r="HN17" s="250"/>
      <c r="HO17" s="250"/>
      <c r="HP17" s="250"/>
      <c r="HQ17" s="250"/>
      <c r="HR17" s="250"/>
      <c r="HS17" s="250"/>
      <c r="HT17" s="250"/>
      <c r="HU17" s="250"/>
      <c r="HV17" s="250"/>
      <c r="HW17" s="250"/>
      <c r="HX17" s="250"/>
      <c r="HY17" s="250"/>
    </row>
    <row r="18" spans="1:233" s="309" customFormat="1" ht="234.75" customHeight="1">
      <c r="A18" s="307"/>
      <c r="B18" s="308">
        <v>492</v>
      </c>
      <c r="C18" s="144" t="s">
        <v>548</v>
      </c>
      <c r="D18" s="109" t="s">
        <v>695</v>
      </c>
      <c r="E18" s="109" t="s">
        <v>695</v>
      </c>
      <c r="F18" s="109" t="s">
        <v>695</v>
      </c>
      <c r="G18" s="109" t="s">
        <v>695</v>
      </c>
      <c r="H18" s="109" t="s">
        <v>703</v>
      </c>
      <c r="I18" s="109" t="s">
        <v>703</v>
      </c>
      <c r="J18" s="109" t="s">
        <v>703</v>
      </c>
      <c r="K18" s="109" t="s">
        <v>703</v>
      </c>
      <c r="L18" s="109" t="s">
        <v>703</v>
      </c>
      <c r="M18" s="109" t="s">
        <v>703</v>
      </c>
      <c r="N18" s="109" t="s">
        <v>703</v>
      </c>
      <c r="O18" s="109" t="s">
        <v>703</v>
      </c>
      <c r="P18" s="109" t="s">
        <v>703</v>
      </c>
      <c r="Q18" s="109" t="s">
        <v>415</v>
      </c>
      <c r="R18" s="109" t="s">
        <v>415</v>
      </c>
      <c r="S18" s="109" t="s">
        <v>415</v>
      </c>
      <c r="T18" s="109" t="s">
        <v>415</v>
      </c>
      <c r="U18" s="487" t="s">
        <v>1077</v>
      </c>
      <c r="V18" s="109" t="s">
        <v>1077</v>
      </c>
      <c r="W18" s="109" t="s">
        <v>1077</v>
      </c>
      <c r="X18" s="109" t="s">
        <v>1077</v>
      </c>
      <c r="Y18" s="109" t="s">
        <v>640</v>
      </c>
      <c r="Z18" s="109" t="s">
        <v>640</v>
      </c>
      <c r="AA18" s="109" t="s">
        <v>640</v>
      </c>
      <c r="AB18" s="109" t="s">
        <v>640</v>
      </c>
      <c r="AC18" s="109" t="s">
        <v>713</v>
      </c>
      <c r="AD18" s="109" t="s">
        <v>647</v>
      </c>
      <c r="AE18" s="593" t="s">
        <v>832</v>
      </c>
      <c r="AF18" s="593" t="s">
        <v>832</v>
      </c>
      <c r="AG18" s="593" t="s">
        <v>832</v>
      </c>
      <c r="AH18" s="593" t="s">
        <v>832</v>
      </c>
      <c r="AI18" s="593" t="s">
        <v>832</v>
      </c>
      <c r="AJ18" s="486" t="s">
        <v>162</v>
      </c>
      <c r="AK18" s="486" t="s">
        <v>162</v>
      </c>
      <c r="AL18" s="486" t="s">
        <v>162</v>
      </c>
      <c r="AM18" s="486" t="s">
        <v>162</v>
      </c>
      <c r="AN18" s="593" t="s">
        <v>836</v>
      </c>
      <c r="AO18" s="593" t="s">
        <v>836</v>
      </c>
      <c r="AP18" s="593" t="s">
        <v>836</v>
      </c>
      <c r="AQ18" s="593" t="s">
        <v>839</v>
      </c>
      <c r="AR18" s="593" t="s">
        <v>840</v>
      </c>
      <c r="AS18" s="593" t="s">
        <v>840</v>
      </c>
      <c r="AT18" s="593" t="s">
        <v>840</v>
      </c>
      <c r="AU18" s="593" t="s">
        <v>840</v>
      </c>
      <c r="AV18" s="593" t="s">
        <v>839</v>
      </c>
      <c r="AW18" s="593" t="s">
        <v>842</v>
      </c>
      <c r="AX18" s="593" t="s">
        <v>842</v>
      </c>
      <c r="AY18" s="593" t="s">
        <v>842</v>
      </c>
      <c r="AZ18" s="593" t="s">
        <v>842</v>
      </c>
      <c r="BA18" s="593" t="s">
        <v>843</v>
      </c>
      <c r="BB18" s="593" t="s">
        <v>843</v>
      </c>
      <c r="BC18" s="593" t="s">
        <v>843</v>
      </c>
      <c r="BD18" s="593" t="s">
        <v>843</v>
      </c>
      <c r="BE18" s="593" t="s">
        <v>851</v>
      </c>
      <c r="BF18" s="593" t="s">
        <v>851</v>
      </c>
      <c r="BG18" s="593" t="s">
        <v>851</v>
      </c>
      <c r="BH18" s="593" t="s">
        <v>851</v>
      </c>
      <c r="BI18" s="593" t="s">
        <v>852</v>
      </c>
      <c r="BJ18" s="593" t="s">
        <v>852</v>
      </c>
      <c r="BK18" s="593" t="s">
        <v>852</v>
      </c>
      <c r="BL18" s="593" t="s">
        <v>852</v>
      </c>
      <c r="BM18" s="593" t="s">
        <v>849</v>
      </c>
      <c r="BN18" s="593" t="s">
        <v>849</v>
      </c>
      <c r="BO18" s="593" t="s">
        <v>849</v>
      </c>
      <c r="BP18" s="593" t="s">
        <v>849</v>
      </c>
      <c r="BQ18" s="593" t="s">
        <v>860</v>
      </c>
      <c r="BR18" s="593" t="s">
        <v>860</v>
      </c>
      <c r="BS18" s="593" t="s">
        <v>860</v>
      </c>
      <c r="BT18" s="593" t="s">
        <v>850</v>
      </c>
      <c r="BU18" s="597" t="s">
        <v>1065</v>
      </c>
      <c r="BV18" s="597" t="s">
        <v>1065</v>
      </c>
      <c r="BW18" s="597" t="s">
        <v>1065</v>
      </c>
      <c r="BX18" s="597" t="s">
        <v>1065</v>
      </c>
      <c r="BY18" s="597" t="s">
        <v>1064</v>
      </c>
      <c r="BZ18" s="597" t="s">
        <v>1064</v>
      </c>
      <c r="CA18" s="597" t="s">
        <v>1064</v>
      </c>
      <c r="CB18" s="597" t="s">
        <v>1064</v>
      </c>
      <c r="CC18" s="597" t="s">
        <v>961</v>
      </c>
      <c r="CD18" s="597" t="s">
        <v>961</v>
      </c>
      <c r="CE18" s="597" t="s">
        <v>960</v>
      </c>
      <c r="CF18" s="597" t="s">
        <v>960</v>
      </c>
      <c r="CG18" s="597" t="s">
        <v>962</v>
      </c>
      <c r="CH18" s="597" t="s">
        <v>962</v>
      </c>
      <c r="CI18" s="109" t="s">
        <v>47</v>
      </c>
      <c r="CJ18" s="109" t="s">
        <v>27</v>
      </c>
      <c r="CK18" s="109" t="s">
        <v>699</v>
      </c>
      <c r="CL18" s="109" t="s">
        <v>699</v>
      </c>
      <c r="CM18" s="109" t="s">
        <v>699</v>
      </c>
      <c r="CN18" s="109" t="s">
        <v>699</v>
      </c>
      <c r="CO18" s="109" t="s">
        <v>699</v>
      </c>
      <c r="CP18" s="109" t="s">
        <v>703</v>
      </c>
      <c r="CQ18" s="109" t="s">
        <v>647</v>
      </c>
      <c r="CR18" s="109" t="s">
        <v>704</v>
      </c>
      <c r="CS18" s="109" t="s">
        <v>705</v>
      </c>
      <c r="CT18" s="109" t="s">
        <v>655</v>
      </c>
      <c r="CU18" s="109" t="s">
        <v>431</v>
      </c>
      <c r="CV18" s="109" t="s">
        <v>431</v>
      </c>
      <c r="CW18" s="109" t="s">
        <v>431</v>
      </c>
      <c r="CX18" s="593" t="s">
        <v>855</v>
      </c>
      <c r="CY18" s="593" t="s">
        <v>853</v>
      </c>
      <c r="CZ18" s="593" t="s">
        <v>854</v>
      </c>
      <c r="DA18" s="593" t="s">
        <v>854</v>
      </c>
      <c r="DB18" s="593" t="s">
        <v>856</v>
      </c>
      <c r="DC18" s="593" t="s">
        <v>857</v>
      </c>
      <c r="DD18" s="593" t="s">
        <v>858</v>
      </c>
      <c r="DE18" s="593" t="s">
        <v>859</v>
      </c>
      <c r="DF18" s="486" t="s">
        <v>796</v>
      </c>
      <c r="DG18" s="486" t="s">
        <v>796</v>
      </c>
      <c r="DH18" s="486" t="s">
        <v>796</v>
      </c>
      <c r="DI18" s="486" t="s">
        <v>805</v>
      </c>
      <c r="DJ18" s="486" t="s">
        <v>805</v>
      </c>
      <c r="DK18" s="109" t="s">
        <v>622</v>
      </c>
      <c r="DL18" s="131" t="s">
        <v>671</v>
      </c>
      <c r="DM18" s="109" t="s">
        <v>671</v>
      </c>
      <c r="DN18" s="109" t="s">
        <v>671</v>
      </c>
      <c r="DO18" s="109" t="s">
        <v>671</v>
      </c>
      <c r="DP18" s="109" t="s">
        <v>671</v>
      </c>
      <c r="DQ18" s="109" t="s">
        <v>671</v>
      </c>
      <c r="DR18" s="109" t="s">
        <v>671</v>
      </c>
      <c r="DS18" s="109" t="s">
        <v>671</v>
      </c>
      <c r="DT18" s="109" t="s">
        <v>45</v>
      </c>
      <c r="DU18" s="109" t="s">
        <v>45</v>
      </c>
      <c r="DV18" s="109" t="s">
        <v>45</v>
      </c>
      <c r="DW18" s="109" t="s">
        <v>45</v>
      </c>
      <c r="DX18" s="109" t="s">
        <v>45</v>
      </c>
      <c r="DY18" s="109" t="s">
        <v>45</v>
      </c>
      <c r="DZ18" s="487" t="s">
        <v>1054</v>
      </c>
      <c r="EA18" s="109" t="s">
        <v>1054</v>
      </c>
      <c r="EB18" s="109" t="s">
        <v>1054</v>
      </c>
      <c r="EC18" s="109" t="s">
        <v>671</v>
      </c>
      <c r="ED18" s="109" t="s">
        <v>671</v>
      </c>
      <c r="EE18" s="109" t="s">
        <v>671</v>
      </c>
      <c r="EF18" s="109" t="s">
        <v>671</v>
      </c>
      <c r="EG18" s="109" t="s">
        <v>671</v>
      </c>
      <c r="EH18" s="109" t="s">
        <v>671</v>
      </c>
      <c r="EI18" s="109" t="s">
        <v>671</v>
      </c>
      <c r="EJ18" s="487" t="s">
        <v>1054</v>
      </c>
      <c r="EK18" s="109" t="s">
        <v>1054</v>
      </c>
      <c r="EL18" s="109" t="s">
        <v>1054</v>
      </c>
      <c r="EM18" s="109" t="s">
        <v>1054</v>
      </c>
      <c r="EN18" s="109" t="s">
        <v>1054</v>
      </c>
      <c r="EO18" s="109" t="s">
        <v>1054</v>
      </c>
      <c r="EP18" s="109" t="s">
        <v>1054</v>
      </c>
      <c r="EQ18" s="109" t="s">
        <v>1054</v>
      </c>
      <c r="ER18" s="109" t="s">
        <v>1054</v>
      </c>
      <c r="ES18" s="109" t="s">
        <v>1054</v>
      </c>
      <c r="ET18" s="487" t="s">
        <v>1054</v>
      </c>
      <c r="EU18" s="109" t="s">
        <v>1054</v>
      </c>
      <c r="EV18" s="109" t="s">
        <v>1054</v>
      </c>
      <c r="EW18" s="109" t="s">
        <v>1054</v>
      </c>
      <c r="EX18" s="109" t="s">
        <v>1054</v>
      </c>
      <c r="EY18" s="109" t="s">
        <v>1054</v>
      </c>
      <c r="EZ18" s="109" t="s">
        <v>1054</v>
      </c>
      <c r="FA18" s="109" t="s">
        <v>1054</v>
      </c>
      <c r="FB18" s="109" t="s">
        <v>1054</v>
      </c>
      <c r="FC18" s="109" t="s">
        <v>1054</v>
      </c>
      <c r="FD18" s="487" t="s">
        <v>1054</v>
      </c>
      <c r="FE18" s="109" t="s">
        <v>1054</v>
      </c>
      <c r="FF18" s="109" t="s">
        <v>1054</v>
      </c>
      <c r="FG18" s="109" t="s">
        <v>1054</v>
      </c>
      <c r="FH18" s="109" t="s">
        <v>1054</v>
      </c>
      <c r="FI18" s="109" t="s">
        <v>1054</v>
      </c>
      <c r="FJ18" s="109" t="s">
        <v>1054</v>
      </c>
      <c r="FK18" s="109" t="s">
        <v>1054</v>
      </c>
      <c r="FL18" s="109" t="s">
        <v>1054</v>
      </c>
      <c r="FM18" s="109" t="s">
        <v>1054</v>
      </c>
      <c r="FN18" s="109" t="s">
        <v>45</v>
      </c>
      <c r="FO18" s="109" t="s">
        <v>45</v>
      </c>
      <c r="FP18" s="109" t="s">
        <v>45</v>
      </c>
      <c r="FQ18" s="109" t="s">
        <v>45</v>
      </c>
      <c r="FR18" s="109" t="s">
        <v>45</v>
      </c>
      <c r="FS18" s="109" t="s">
        <v>45</v>
      </c>
      <c r="FT18" s="109" t="s">
        <v>45</v>
      </c>
      <c r="FU18" s="109" t="s">
        <v>45</v>
      </c>
      <c r="FV18" s="109" t="s">
        <v>45</v>
      </c>
      <c r="FW18" s="109" t="s">
        <v>45</v>
      </c>
      <c r="FX18" s="109" t="s">
        <v>45</v>
      </c>
      <c r="FY18" s="109" t="s">
        <v>45</v>
      </c>
      <c r="FZ18" s="109" t="s">
        <v>45</v>
      </c>
      <c r="GA18" s="109" t="s">
        <v>45</v>
      </c>
      <c r="GB18" s="109" t="s">
        <v>45</v>
      </c>
      <c r="GC18" s="109" t="s">
        <v>45</v>
      </c>
      <c r="GD18" s="109" t="s">
        <v>184</v>
      </c>
      <c r="GE18" s="109" t="s">
        <v>184</v>
      </c>
      <c r="GF18" s="109" t="s">
        <v>184</v>
      </c>
      <c r="GG18" s="109" t="s">
        <v>184</v>
      </c>
      <c r="GH18" s="109" t="s">
        <v>184</v>
      </c>
      <c r="GI18" s="109" t="s">
        <v>184</v>
      </c>
      <c r="GJ18" s="109" t="s">
        <v>184</v>
      </c>
      <c r="GK18" s="109" t="s">
        <v>184</v>
      </c>
      <c r="GL18" s="109" t="s">
        <v>184</v>
      </c>
      <c r="GM18" s="109" t="s">
        <v>184</v>
      </c>
      <c r="GN18" s="109" t="s">
        <v>184</v>
      </c>
      <c r="GO18" s="109" t="s">
        <v>184</v>
      </c>
      <c r="GP18" s="109" t="s">
        <v>184</v>
      </c>
      <c r="GQ18" s="109" t="s">
        <v>184</v>
      </c>
      <c r="GR18" s="109" t="s">
        <v>184</v>
      </c>
      <c r="GS18" s="109" t="s">
        <v>184</v>
      </c>
      <c r="GT18" s="109" t="s">
        <v>184</v>
      </c>
      <c r="GU18" s="109" t="s">
        <v>184</v>
      </c>
      <c r="GV18" s="109" t="s">
        <v>184</v>
      </c>
      <c r="GW18" s="109" t="s">
        <v>184</v>
      </c>
      <c r="GX18" s="109" t="s">
        <v>184</v>
      </c>
      <c r="GY18" s="109" t="s">
        <v>184</v>
      </c>
      <c r="GZ18" s="109" t="s">
        <v>597</v>
      </c>
      <c r="HA18" s="109" t="s">
        <v>600</v>
      </c>
      <c r="HB18" s="109" t="s">
        <v>600</v>
      </c>
      <c r="HC18" s="109" t="s">
        <v>600</v>
      </c>
      <c r="HD18" s="109" t="s">
        <v>600</v>
      </c>
      <c r="HE18" s="109" t="s">
        <v>600</v>
      </c>
      <c r="HF18" s="109" t="s">
        <v>600</v>
      </c>
      <c r="HG18" s="109" t="s">
        <v>598</v>
      </c>
      <c r="HH18" s="109" t="s">
        <v>598</v>
      </c>
      <c r="HI18" s="109" t="s">
        <v>599</v>
      </c>
      <c r="HJ18" s="109" t="s">
        <v>599</v>
      </c>
      <c r="HK18" s="109" t="s">
        <v>599</v>
      </c>
      <c r="HL18" s="109" t="s">
        <v>599</v>
      </c>
      <c r="HM18" s="109" t="s">
        <v>599</v>
      </c>
      <c r="HN18" s="109" t="s">
        <v>599</v>
      </c>
      <c r="HO18" s="109" t="s">
        <v>599</v>
      </c>
      <c r="HP18" s="109" t="s">
        <v>599</v>
      </c>
      <c r="HQ18" s="109" t="s">
        <v>599</v>
      </c>
      <c r="HR18" s="109" t="s">
        <v>599</v>
      </c>
      <c r="HS18" s="109" t="s">
        <v>599</v>
      </c>
      <c r="HT18" s="109" t="s">
        <v>599</v>
      </c>
      <c r="HU18" s="109" t="s">
        <v>599</v>
      </c>
      <c r="HV18" s="109" t="s">
        <v>599</v>
      </c>
      <c r="HW18" s="109" t="s">
        <v>599</v>
      </c>
      <c r="HX18" s="109" t="s">
        <v>599</v>
      </c>
      <c r="HY18" s="109" t="s">
        <v>168</v>
      </c>
    </row>
    <row r="19" spans="1:233" ht="21.75" customHeight="1" outlineLevel="1">
      <c r="A19" s="297"/>
      <c r="B19" s="301">
        <v>494</v>
      </c>
      <c r="C19" s="173" t="s">
        <v>549</v>
      </c>
      <c r="D19" s="109">
        <v>1</v>
      </c>
      <c r="E19" s="109">
        <v>1</v>
      </c>
      <c r="F19" s="109">
        <v>1</v>
      </c>
      <c r="G19" s="109">
        <v>1</v>
      </c>
      <c r="H19" s="109">
        <v>1</v>
      </c>
      <c r="I19" s="109">
        <v>1</v>
      </c>
      <c r="J19" s="109">
        <v>1</v>
      </c>
      <c r="K19" s="109">
        <v>1</v>
      </c>
      <c r="L19" s="109">
        <v>1</v>
      </c>
      <c r="M19" s="109">
        <v>1</v>
      </c>
      <c r="N19" s="109">
        <v>1</v>
      </c>
      <c r="O19" s="109">
        <v>1</v>
      </c>
      <c r="P19" s="109">
        <v>1</v>
      </c>
      <c r="Q19" s="109">
        <v>1</v>
      </c>
      <c r="R19" s="109">
        <v>1</v>
      </c>
      <c r="S19" s="109">
        <v>1</v>
      </c>
      <c r="T19" s="109">
        <v>1</v>
      </c>
      <c r="U19" s="109">
        <v>1</v>
      </c>
      <c r="V19" s="109">
        <v>1</v>
      </c>
      <c r="W19" s="109">
        <v>1</v>
      </c>
      <c r="X19" s="109">
        <v>1</v>
      </c>
      <c r="Y19" s="109">
        <v>1</v>
      </c>
      <c r="Z19" s="109">
        <v>1</v>
      </c>
      <c r="AA19" s="109">
        <v>1</v>
      </c>
      <c r="AB19" s="109">
        <v>1</v>
      </c>
      <c r="AC19" s="109">
        <v>1</v>
      </c>
      <c r="AD19" s="109">
        <v>1</v>
      </c>
      <c r="AE19" s="109">
        <v>1</v>
      </c>
      <c r="AF19" s="109">
        <v>1</v>
      </c>
      <c r="AG19" s="109">
        <v>1</v>
      </c>
      <c r="AH19" s="109">
        <v>1</v>
      </c>
      <c r="AI19" s="109">
        <v>1</v>
      </c>
      <c r="AJ19" s="109">
        <v>1</v>
      </c>
      <c r="AK19" s="109">
        <v>1</v>
      </c>
      <c r="AL19" s="109">
        <v>1</v>
      </c>
      <c r="AM19" s="109">
        <v>1</v>
      </c>
      <c r="AN19" s="109">
        <v>1</v>
      </c>
      <c r="AO19" s="109">
        <v>1</v>
      </c>
      <c r="AP19" s="109">
        <v>1</v>
      </c>
      <c r="AQ19" s="109">
        <v>1</v>
      </c>
      <c r="AR19" s="109">
        <v>1</v>
      </c>
      <c r="AS19" s="109">
        <v>1</v>
      </c>
      <c r="AT19" s="109">
        <v>1</v>
      </c>
      <c r="AU19" s="109">
        <v>1</v>
      </c>
      <c r="AV19" s="109">
        <v>1</v>
      </c>
      <c r="AW19" s="109">
        <v>1</v>
      </c>
      <c r="AX19" s="109">
        <v>1</v>
      </c>
      <c r="AY19" s="109">
        <v>1</v>
      </c>
      <c r="AZ19" s="109">
        <v>1</v>
      </c>
      <c r="BA19" s="109">
        <v>1</v>
      </c>
      <c r="BB19" s="109">
        <v>1</v>
      </c>
      <c r="BC19" s="109">
        <v>1</v>
      </c>
      <c r="BD19" s="109">
        <v>1</v>
      </c>
      <c r="BE19" s="109">
        <v>1</v>
      </c>
      <c r="BF19" s="109">
        <v>1</v>
      </c>
      <c r="BG19" s="109">
        <v>1</v>
      </c>
      <c r="BH19" s="109">
        <v>1</v>
      </c>
      <c r="BI19" s="109">
        <v>1</v>
      </c>
      <c r="BJ19" s="109">
        <v>1</v>
      </c>
      <c r="BK19" s="109">
        <v>1</v>
      </c>
      <c r="BL19" s="109">
        <v>1</v>
      </c>
      <c r="BM19" s="109">
        <v>1</v>
      </c>
      <c r="BN19" s="109">
        <v>1</v>
      </c>
      <c r="BO19" s="109">
        <v>1</v>
      </c>
      <c r="BP19" s="109">
        <v>1</v>
      </c>
      <c r="BQ19" s="109">
        <v>1</v>
      </c>
      <c r="BR19" s="109">
        <v>1</v>
      </c>
      <c r="BS19" s="109">
        <v>1</v>
      </c>
      <c r="BT19" s="109">
        <v>1</v>
      </c>
      <c r="BU19" s="109">
        <v>1</v>
      </c>
      <c r="BV19" s="109">
        <v>1</v>
      </c>
      <c r="BW19" s="109">
        <v>1</v>
      </c>
      <c r="BX19" s="109">
        <v>1</v>
      </c>
      <c r="BY19" s="109">
        <v>1</v>
      </c>
      <c r="BZ19" s="109">
        <v>1</v>
      </c>
      <c r="CA19" s="109">
        <v>1</v>
      </c>
      <c r="CB19" s="109">
        <v>1</v>
      </c>
      <c r="CC19" s="109">
        <v>1</v>
      </c>
      <c r="CD19" s="109">
        <v>1</v>
      </c>
      <c r="CE19" s="109">
        <v>1</v>
      </c>
      <c r="CF19" s="109">
        <v>1</v>
      </c>
      <c r="CG19" s="109">
        <v>1</v>
      </c>
      <c r="CH19" s="109">
        <v>1</v>
      </c>
      <c r="CI19" s="109"/>
      <c r="CJ19" s="109"/>
      <c r="CK19" s="109"/>
      <c r="CL19" s="109"/>
      <c r="CM19" s="109"/>
      <c r="CN19" s="109"/>
      <c r="CO19" s="109"/>
      <c r="CP19" s="109">
        <v>1</v>
      </c>
      <c r="CQ19" s="109">
        <v>1</v>
      </c>
      <c r="CR19" s="109">
        <v>1</v>
      </c>
      <c r="CS19" s="109">
        <v>1</v>
      </c>
      <c r="CT19" s="109">
        <v>1</v>
      </c>
      <c r="CU19" s="109">
        <v>1</v>
      </c>
      <c r="CV19" s="109">
        <v>1</v>
      </c>
      <c r="CW19" s="109">
        <v>1</v>
      </c>
      <c r="CX19" s="109">
        <v>1</v>
      </c>
      <c r="CY19" s="109">
        <v>1</v>
      </c>
      <c r="CZ19" s="109">
        <v>1</v>
      </c>
      <c r="DA19" s="109">
        <v>1</v>
      </c>
      <c r="DB19" s="109">
        <v>1</v>
      </c>
      <c r="DC19" s="109">
        <v>1</v>
      </c>
      <c r="DD19" s="109">
        <v>1</v>
      </c>
      <c r="DE19" s="109">
        <v>1</v>
      </c>
      <c r="DF19" s="109">
        <v>1</v>
      </c>
      <c r="DG19" s="109">
        <v>1</v>
      </c>
      <c r="DH19" s="109">
        <v>1</v>
      </c>
      <c r="DI19" s="109">
        <v>1</v>
      </c>
      <c r="DJ19" s="109">
        <v>1</v>
      </c>
      <c r="DK19" s="109">
        <v>1</v>
      </c>
      <c r="DL19" s="109">
        <v>1</v>
      </c>
      <c r="DM19" s="109">
        <v>1</v>
      </c>
      <c r="DN19" s="109">
        <v>1</v>
      </c>
      <c r="DO19" s="109">
        <v>1</v>
      </c>
      <c r="DP19" s="109">
        <v>1</v>
      </c>
      <c r="DQ19" s="109">
        <v>1</v>
      </c>
      <c r="DR19" s="109">
        <v>1</v>
      </c>
      <c r="DS19" s="109">
        <v>1</v>
      </c>
      <c r="DT19" s="109">
        <v>1</v>
      </c>
      <c r="DU19" s="109">
        <v>1</v>
      </c>
      <c r="DV19" s="109">
        <v>1</v>
      </c>
      <c r="DW19" s="109">
        <v>1</v>
      </c>
      <c r="DX19" s="109">
        <v>1</v>
      </c>
      <c r="DY19" s="109">
        <v>1</v>
      </c>
      <c r="DZ19" s="109">
        <v>1</v>
      </c>
      <c r="EA19" s="109">
        <v>1</v>
      </c>
      <c r="EB19" s="109">
        <v>1</v>
      </c>
      <c r="EC19" s="109">
        <v>1</v>
      </c>
      <c r="ED19" s="109">
        <v>1</v>
      </c>
      <c r="EE19" s="109">
        <v>1</v>
      </c>
      <c r="EF19" s="109">
        <v>1</v>
      </c>
      <c r="EG19" s="109">
        <v>1</v>
      </c>
      <c r="EH19" s="109">
        <v>1</v>
      </c>
      <c r="EI19" s="109">
        <v>1</v>
      </c>
      <c r="EJ19" s="109">
        <v>1</v>
      </c>
      <c r="EK19" s="109">
        <v>1</v>
      </c>
      <c r="EL19" s="109">
        <v>1</v>
      </c>
      <c r="EM19" s="109">
        <v>1</v>
      </c>
      <c r="EN19" s="109">
        <v>1</v>
      </c>
      <c r="EO19" s="109">
        <v>1</v>
      </c>
      <c r="EP19" s="109">
        <v>1</v>
      </c>
      <c r="EQ19" s="109">
        <v>1</v>
      </c>
      <c r="ER19" s="109">
        <v>1</v>
      </c>
      <c r="ES19" s="109">
        <v>1</v>
      </c>
      <c r="ET19" s="109">
        <v>1</v>
      </c>
      <c r="EU19" s="109">
        <v>1</v>
      </c>
      <c r="EV19" s="109">
        <v>1</v>
      </c>
      <c r="EW19" s="109">
        <v>1</v>
      </c>
      <c r="EX19" s="109">
        <v>1</v>
      </c>
      <c r="EY19" s="109">
        <v>1</v>
      </c>
      <c r="EZ19" s="109">
        <v>1</v>
      </c>
      <c r="FA19" s="109">
        <v>1</v>
      </c>
      <c r="FB19" s="109">
        <v>1</v>
      </c>
      <c r="FC19" s="109">
        <v>1</v>
      </c>
      <c r="FD19" s="109">
        <v>1</v>
      </c>
      <c r="FE19" s="109">
        <v>1</v>
      </c>
      <c r="FF19" s="109">
        <v>1</v>
      </c>
      <c r="FG19" s="109">
        <v>1</v>
      </c>
      <c r="FH19" s="109">
        <v>1</v>
      </c>
      <c r="FI19" s="109">
        <v>1</v>
      </c>
      <c r="FJ19" s="109">
        <v>1</v>
      </c>
      <c r="FK19" s="109">
        <v>1</v>
      </c>
      <c r="FL19" s="109">
        <v>1</v>
      </c>
      <c r="FM19" s="109">
        <v>1</v>
      </c>
      <c r="FN19" s="109">
        <v>1</v>
      </c>
      <c r="FO19" s="109">
        <v>1</v>
      </c>
      <c r="FP19" s="109">
        <v>1</v>
      </c>
      <c r="FQ19" s="109">
        <v>1</v>
      </c>
      <c r="FR19" s="109">
        <v>1</v>
      </c>
      <c r="FS19" s="109">
        <v>1</v>
      </c>
      <c r="FT19" s="109">
        <v>1</v>
      </c>
      <c r="FU19" s="109">
        <v>1</v>
      </c>
      <c r="FV19" s="109">
        <v>1</v>
      </c>
      <c r="FW19" s="109">
        <v>1</v>
      </c>
      <c r="FX19" s="109">
        <v>1</v>
      </c>
      <c r="FY19" s="109">
        <v>1</v>
      </c>
      <c r="FZ19" s="109">
        <v>1</v>
      </c>
      <c r="GA19" s="109">
        <v>1</v>
      </c>
      <c r="GB19" s="109">
        <v>1</v>
      </c>
      <c r="GC19" s="109">
        <v>1</v>
      </c>
      <c r="GD19" s="109">
        <v>1</v>
      </c>
      <c r="GE19" s="109">
        <v>1</v>
      </c>
      <c r="GF19" s="109">
        <v>1</v>
      </c>
      <c r="GG19" s="109">
        <v>1</v>
      </c>
      <c r="GH19" s="109">
        <v>1</v>
      </c>
      <c r="GI19" s="109">
        <v>1</v>
      </c>
      <c r="GJ19" s="109">
        <v>1</v>
      </c>
      <c r="GK19" s="109">
        <v>1</v>
      </c>
      <c r="GL19" s="109">
        <v>1</v>
      </c>
      <c r="GM19" s="109">
        <v>1</v>
      </c>
      <c r="GN19" s="109">
        <v>1</v>
      </c>
      <c r="GO19" s="109">
        <v>1</v>
      </c>
      <c r="GP19" s="109">
        <v>1</v>
      </c>
      <c r="GQ19" s="109">
        <v>1</v>
      </c>
      <c r="GR19" s="109">
        <v>1</v>
      </c>
      <c r="GS19" s="109">
        <v>1</v>
      </c>
      <c r="GT19" s="109">
        <v>1</v>
      </c>
      <c r="GU19" s="109">
        <v>1</v>
      </c>
      <c r="GV19" s="109">
        <v>1</v>
      </c>
      <c r="GW19" s="109">
        <v>1</v>
      </c>
      <c r="GX19" s="109">
        <v>1</v>
      </c>
      <c r="GY19" s="109">
        <v>1</v>
      </c>
      <c r="GZ19" s="109">
        <v>1</v>
      </c>
      <c r="HA19" s="109">
        <v>1</v>
      </c>
      <c r="HB19" s="109">
        <v>1</v>
      </c>
      <c r="HC19" s="109">
        <v>1</v>
      </c>
      <c r="HD19" s="109">
        <v>1</v>
      </c>
      <c r="HE19" s="109">
        <v>1</v>
      </c>
      <c r="HF19" s="109">
        <v>1</v>
      </c>
      <c r="HG19" s="109">
        <v>1</v>
      </c>
      <c r="HH19" s="109">
        <v>1</v>
      </c>
      <c r="HI19" s="109">
        <v>1</v>
      </c>
      <c r="HJ19" s="109">
        <v>1</v>
      </c>
      <c r="HK19" s="109">
        <v>1</v>
      </c>
      <c r="HL19" s="109">
        <v>1</v>
      </c>
      <c r="HM19" s="109">
        <v>1</v>
      </c>
      <c r="HN19" s="109">
        <v>1</v>
      </c>
      <c r="HO19" s="109">
        <v>1</v>
      </c>
      <c r="HP19" s="109">
        <v>1</v>
      </c>
      <c r="HQ19" s="109">
        <v>1</v>
      </c>
      <c r="HR19" s="109">
        <v>1</v>
      </c>
      <c r="HS19" s="109">
        <v>1</v>
      </c>
      <c r="HT19" s="109">
        <v>1</v>
      </c>
      <c r="HU19" s="109">
        <v>1</v>
      </c>
      <c r="HV19" s="109">
        <v>1</v>
      </c>
      <c r="HW19" s="109">
        <v>1</v>
      </c>
      <c r="HX19" s="109">
        <v>1</v>
      </c>
      <c r="HY19" s="109">
        <v>1</v>
      </c>
    </row>
    <row r="20" spans="1:233">
      <c r="A20" s="297"/>
      <c r="B20" s="301">
        <v>495</v>
      </c>
      <c r="C20" s="173" t="s">
        <v>518</v>
      </c>
      <c r="D20" s="598" t="s">
        <v>1589</v>
      </c>
      <c r="E20" s="598" t="s">
        <v>1589</v>
      </c>
      <c r="F20" s="598" t="s">
        <v>1589</v>
      </c>
      <c r="G20" s="598" t="s">
        <v>1589</v>
      </c>
      <c r="H20" s="598" t="s">
        <v>1589</v>
      </c>
      <c r="I20" s="598" t="s">
        <v>1589</v>
      </c>
      <c r="J20" s="598" t="s">
        <v>1589</v>
      </c>
      <c r="K20" s="598" t="s">
        <v>1589</v>
      </c>
      <c r="L20" s="598" t="s">
        <v>1589</v>
      </c>
      <c r="M20" s="598" t="s">
        <v>1589</v>
      </c>
      <c r="N20" s="598" t="s">
        <v>1589</v>
      </c>
      <c r="O20" s="598" t="s">
        <v>1589</v>
      </c>
      <c r="P20" s="598" t="s">
        <v>1589</v>
      </c>
      <c r="Q20" s="598" t="s">
        <v>1589</v>
      </c>
      <c r="R20" s="598" t="s">
        <v>1589</v>
      </c>
      <c r="S20" s="598" t="s">
        <v>1589</v>
      </c>
      <c r="T20" s="598" t="s">
        <v>1589</v>
      </c>
      <c r="U20" s="598" t="s">
        <v>1589</v>
      </c>
      <c r="V20" s="598" t="s">
        <v>1589</v>
      </c>
      <c r="W20" s="598" t="s">
        <v>1589</v>
      </c>
      <c r="X20" s="598" t="s">
        <v>1589</v>
      </c>
      <c r="Y20" s="598" t="s">
        <v>1589</v>
      </c>
      <c r="Z20" s="598" t="s">
        <v>1589</v>
      </c>
      <c r="AA20" s="598" t="s">
        <v>1589</v>
      </c>
      <c r="AB20" s="598" t="s">
        <v>1589</v>
      </c>
      <c r="AC20" s="598" t="s">
        <v>11</v>
      </c>
      <c r="AD20" s="598" t="s">
        <v>11</v>
      </c>
      <c r="AE20" s="598" t="s">
        <v>1590</v>
      </c>
      <c r="AF20" s="598" t="s">
        <v>1590</v>
      </c>
      <c r="AG20" s="598" t="s">
        <v>1590</v>
      </c>
      <c r="AH20" s="598" t="s">
        <v>1590</v>
      </c>
      <c r="AI20" s="598" t="s">
        <v>1590</v>
      </c>
      <c r="AJ20" s="598" t="s">
        <v>1589</v>
      </c>
      <c r="AK20" s="598" t="s">
        <v>1589</v>
      </c>
      <c r="AL20" s="598" t="s">
        <v>1589</v>
      </c>
      <c r="AM20" s="598" t="s">
        <v>1589</v>
      </c>
      <c r="AN20" s="598" t="s">
        <v>1590</v>
      </c>
      <c r="AO20" s="598" t="s">
        <v>1590</v>
      </c>
      <c r="AP20" s="598" t="s">
        <v>1590</v>
      </c>
      <c r="AQ20" s="598" t="s">
        <v>1590</v>
      </c>
      <c r="AR20" s="598" t="s">
        <v>1590</v>
      </c>
      <c r="AS20" s="598" t="s">
        <v>1590</v>
      </c>
      <c r="AT20" s="598" t="s">
        <v>1590</v>
      </c>
      <c r="AU20" s="598" t="s">
        <v>1590</v>
      </c>
      <c r="AV20" s="598" t="s">
        <v>1590</v>
      </c>
      <c r="AW20" s="598" t="s">
        <v>1590</v>
      </c>
      <c r="AX20" s="598" t="s">
        <v>1590</v>
      </c>
      <c r="AY20" s="598" t="s">
        <v>1590</v>
      </c>
      <c r="AZ20" s="598" t="s">
        <v>1590</v>
      </c>
      <c r="BA20" s="598" t="s">
        <v>1590</v>
      </c>
      <c r="BB20" s="598" t="s">
        <v>1590</v>
      </c>
      <c r="BC20" s="598" t="s">
        <v>1590</v>
      </c>
      <c r="BD20" s="598" t="s">
        <v>1590</v>
      </c>
      <c r="BE20" s="598" t="s">
        <v>1590</v>
      </c>
      <c r="BF20" s="598" t="s">
        <v>1590</v>
      </c>
      <c r="BG20" s="598" t="s">
        <v>1590</v>
      </c>
      <c r="BH20" s="598" t="s">
        <v>1590</v>
      </c>
      <c r="BI20" s="598" t="s">
        <v>1590</v>
      </c>
      <c r="BJ20" s="598" t="s">
        <v>1590</v>
      </c>
      <c r="BK20" s="598" t="s">
        <v>1590</v>
      </c>
      <c r="BL20" s="598" t="s">
        <v>1590</v>
      </c>
      <c r="BM20" s="598" t="s">
        <v>1590</v>
      </c>
      <c r="BN20" s="598" t="s">
        <v>1590</v>
      </c>
      <c r="BO20" s="598" t="s">
        <v>1590</v>
      </c>
      <c r="BP20" s="598" t="s">
        <v>1590</v>
      </c>
      <c r="BQ20" s="598" t="s">
        <v>1590</v>
      </c>
      <c r="BR20" s="598" t="s">
        <v>1590</v>
      </c>
      <c r="BS20" s="598" t="s">
        <v>1590</v>
      </c>
      <c r="BT20" s="598" t="s">
        <v>1590</v>
      </c>
      <c r="BU20" s="598" t="s">
        <v>1590</v>
      </c>
      <c r="BV20" s="598" t="s">
        <v>1590</v>
      </c>
      <c r="BW20" s="598" t="s">
        <v>1590</v>
      </c>
      <c r="BX20" s="598" t="s">
        <v>1590</v>
      </c>
      <c r="BY20" s="598" t="s">
        <v>1590</v>
      </c>
      <c r="BZ20" s="598" t="s">
        <v>1590</v>
      </c>
      <c r="CA20" s="598" t="s">
        <v>1590</v>
      </c>
      <c r="CB20" s="598" t="s">
        <v>1590</v>
      </c>
      <c r="CC20" s="598" t="s">
        <v>1590</v>
      </c>
      <c r="CD20" s="598" t="s">
        <v>1590</v>
      </c>
      <c r="CE20" s="598" t="s">
        <v>1590</v>
      </c>
      <c r="CF20" s="598" t="s">
        <v>1590</v>
      </c>
      <c r="CG20" s="598" t="s">
        <v>1590</v>
      </c>
      <c r="CH20" s="598" t="s">
        <v>1590</v>
      </c>
      <c r="CI20" s="598" t="s">
        <v>11</v>
      </c>
      <c r="CJ20" s="598" t="s">
        <v>11</v>
      </c>
      <c r="CK20" s="598" t="s">
        <v>11</v>
      </c>
      <c r="CL20" s="598" t="s">
        <v>11</v>
      </c>
      <c r="CM20" s="598" t="s">
        <v>11</v>
      </c>
      <c r="CN20" s="598" t="s">
        <v>11</v>
      </c>
      <c r="CO20" s="598" t="s">
        <v>11</v>
      </c>
      <c r="CP20" s="598" t="s">
        <v>11</v>
      </c>
      <c r="CQ20" s="598" t="s">
        <v>11</v>
      </c>
      <c r="CR20" s="598" t="s">
        <v>1590</v>
      </c>
      <c r="CS20" s="598" t="s">
        <v>1590</v>
      </c>
      <c r="CT20" s="598" t="s">
        <v>1590</v>
      </c>
      <c r="CU20" s="598" t="s">
        <v>1590</v>
      </c>
      <c r="CV20" s="598" t="s">
        <v>1590</v>
      </c>
      <c r="CW20" s="598" t="s">
        <v>1590</v>
      </c>
      <c r="CX20" s="598" t="s">
        <v>1590</v>
      </c>
      <c r="CY20" s="598" t="s">
        <v>1590</v>
      </c>
      <c r="CZ20" s="598" t="s">
        <v>1590</v>
      </c>
      <c r="DA20" s="598" t="s">
        <v>1590</v>
      </c>
      <c r="DB20" s="598" t="s">
        <v>1590</v>
      </c>
      <c r="DC20" s="598" t="s">
        <v>1590</v>
      </c>
      <c r="DD20" s="598" t="s">
        <v>1590</v>
      </c>
      <c r="DE20" s="598" t="s">
        <v>1590</v>
      </c>
      <c r="DF20" s="598" t="s">
        <v>1590</v>
      </c>
      <c r="DG20" s="598" t="s">
        <v>1590</v>
      </c>
      <c r="DH20" s="598" t="s">
        <v>1590</v>
      </c>
      <c r="DI20" s="598" t="s">
        <v>1590</v>
      </c>
      <c r="DJ20" s="598" t="s">
        <v>1590</v>
      </c>
      <c r="DK20" s="598" t="s">
        <v>1590</v>
      </c>
      <c r="DL20" s="598" t="s">
        <v>1590</v>
      </c>
      <c r="DM20" s="598" t="s">
        <v>1590</v>
      </c>
      <c r="DN20" s="598" t="s">
        <v>1590</v>
      </c>
      <c r="DO20" s="598" t="s">
        <v>1590</v>
      </c>
      <c r="DP20" s="598" t="s">
        <v>1590</v>
      </c>
      <c r="DQ20" s="598" t="s">
        <v>1590</v>
      </c>
      <c r="DR20" s="598" t="s">
        <v>1590</v>
      </c>
      <c r="DS20" s="598" t="s">
        <v>1590</v>
      </c>
      <c r="DT20" s="598" t="s">
        <v>1590</v>
      </c>
      <c r="DU20" s="598" t="s">
        <v>1590</v>
      </c>
      <c r="DV20" s="598" t="s">
        <v>1590</v>
      </c>
      <c r="DW20" s="598" t="s">
        <v>1590</v>
      </c>
      <c r="DX20" s="598" t="s">
        <v>1590</v>
      </c>
      <c r="DY20" s="598" t="s">
        <v>1590</v>
      </c>
      <c r="DZ20" s="598" t="s">
        <v>1590</v>
      </c>
      <c r="EA20" s="598" t="s">
        <v>1590</v>
      </c>
      <c r="EB20" s="598" t="s">
        <v>1590</v>
      </c>
      <c r="EC20" s="598" t="s">
        <v>1590</v>
      </c>
      <c r="ED20" s="598" t="s">
        <v>1590</v>
      </c>
      <c r="EE20" s="598" t="s">
        <v>1590</v>
      </c>
      <c r="EF20" s="598" t="s">
        <v>1590</v>
      </c>
      <c r="EG20" s="598" t="s">
        <v>1590</v>
      </c>
      <c r="EH20" s="598" t="s">
        <v>1590</v>
      </c>
      <c r="EI20" s="598" t="s">
        <v>1590</v>
      </c>
      <c r="EJ20" s="598" t="s">
        <v>1590</v>
      </c>
      <c r="EK20" s="598" t="s">
        <v>1590</v>
      </c>
      <c r="EL20" s="598" t="s">
        <v>1590</v>
      </c>
      <c r="EM20" s="598" t="s">
        <v>1590</v>
      </c>
      <c r="EN20" s="598" t="s">
        <v>1590</v>
      </c>
      <c r="EO20" s="598" t="s">
        <v>1590</v>
      </c>
      <c r="EP20" s="598" t="s">
        <v>1590</v>
      </c>
      <c r="EQ20" s="598" t="s">
        <v>1590</v>
      </c>
      <c r="ER20" s="598" t="s">
        <v>1590</v>
      </c>
      <c r="ES20" s="598" t="s">
        <v>1590</v>
      </c>
      <c r="ET20" s="598" t="s">
        <v>1590</v>
      </c>
      <c r="EU20" s="598" t="s">
        <v>1590</v>
      </c>
      <c r="EV20" s="598" t="s">
        <v>1590</v>
      </c>
      <c r="EW20" s="598" t="s">
        <v>1590</v>
      </c>
      <c r="EX20" s="598" t="s">
        <v>1590</v>
      </c>
      <c r="EY20" s="598" t="s">
        <v>1590</v>
      </c>
      <c r="EZ20" s="598" t="s">
        <v>1590</v>
      </c>
      <c r="FA20" s="598" t="s">
        <v>1590</v>
      </c>
      <c r="FB20" s="598" t="s">
        <v>1590</v>
      </c>
      <c r="FC20" s="598" t="s">
        <v>1590</v>
      </c>
      <c r="FD20" s="598" t="s">
        <v>1590</v>
      </c>
      <c r="FE20" s="598" t="s">
        <v>1590</v>
      </c>
      <c r="FF20" s="598" t="s">
        <v>1590</v>
      </c>
      <c r="FG20" s="598" t="s">
        <v>1590</v>
      </c>
      <c r="FH20" s="598" t="s">
        <v>1590</v>
      </c>
      <c r="FI20" s="598" t="s">
        <v>1590</v>
      </c>
      <c r="FJ20" s="598" t="s">
        <v>1590</v>
      </c>
      <c r="FK20" s="598" t="s">
        <v>1590</v>
      </c>
      <c r="FL20" s="598" t="s">
        <v>1590</v>
      </c>
      <c r="FM20" s="598" t="s">
        <v>1590</v>
      </c>
      <c r="FN20" s="598" t="s">
        <v>1590</v>
      </c>
      <c r="FO20" s="598" t="s">
        <v>1590</v>
      </c>
      <c r="FP20" s="598" t="s">
        <v>1590</v>
      </c>
      <c r="FQ20" s="598" t="s">
        <v>1590</v>
      </c>
      <c r="FR20" s="598" t="s">
        <v>1590</v>
      </c>
      <c r="FS20" s="598" t="s">
        <v>1590</v>
      </c>
      <c r="FT20" s="598" t="s">
        <v>1590</v>
      </c>
      <c r="FU20" s="598" t="s">
        <v>1590</v>
      </c>
      <c r="FV20" s="598" t="s">
        <v>1590</v>
      </c>
      <c r="FW20" s="598" t="s">
        <v>1590</v>
      </c>
      <c r="FX20" s="598" t="s">
        <v>1590</v>
      </c>
      <c r="FY20" s="598" t="s">
        <v>1590</v>
      </c>
      <c r="FZ20" s="598" t="s">
        <v>1590</v>
      </c>
      <c r="GA20" s="598" t="s">
        <v>1590</v>
      </c>
      <c r="GB20" s="598" t="s">
        <v>1590</v>
      </c>
      <c r="GC20" s="598" t="s">
        <v>1590</v>
      </c>
      <c r="GD20" s="598" t="s">
        <v>1590</v>
      </c>
      <c r="GE20" s="598" t="s">
        <v>1590</v>
      </c>
      <c r="GF20" s="598" t="s">
        <v>1590</v>
      </c>
      <c r="GG20" s="598" t="s">
        <v>1590</v>
      </c>
      <c r="GH20" s="598" t="s">
        <v>1590</v>
      </c>
      <c r="GI20" s="598" t="s">
        <v>1590</v>
      </c>
      <c r="GJ20" s="598" t="s">
        <v>1590</v>
      </c>
      <c r="GK20" s="598" t="s">
        <v>1590</v>
      </c>
      <c r="GL20" s="598" t="s">
        <v>1590</v>
      </c>
      <c r="GM20" s="598" t="s">
        <v>1590</v>
      </c>
      <c r="GN20" s="598" t="s">
        <v>1590</v>
      </c>
      <c r="GO20" s="598" t="s">
        <v>1590</v>
      </c>
      <c r="GP20" s="598" t="s">
        <v>1590</v>
      </c>
      <c r="GQ20" s="598" t="s">
        <v>1590</v>
      </c>
      <c r="GR20" s="598" t="s">
        <v>1590</v>
      </c>
      <c r="GS20" s="598" t="s">
        <v>1590</v>
      </c>
      <c r="GT20" s="598" t="s">
        <v>1590</v>
      </c>
      <c r="GU20" s="598" t="s">
        <v>1590</v>
      </c>
      <c r="GV20" s="598" t="s">
        <v>1590</v>
      </c>
      <c r="GW20" s="598" t="s">
        <v>1590</v>
      </c>
      <c r="GX20" s="598" t="s">
        <v>1590</v>
      </c>
      <c r="GY20" s="598" t="s">
        <v>1590</v>
      </c>
      <c r="GZ20" s="598" t="s">
        <v>1590</v>
      </c>
      <c r="HA20" s="598" t="s">
        <v>1590</v>
      </c>
      <c r="HB20" s="598" t="s">
        <v>1590</v>
      </c>
      <c r="HC20" s="598" t="s">
        <v>1590</v>
      </c>
      <c r="HD20" s="598" t="s">
        <v>1590</v>
      </c>
      <c r="HE20" s="598" t="s">
        <v>1590</v>
      </c>
      <c r="HF20" s="598" t="s">
        <v>1590</v>
      </c>
      <c r="HG20" s="598" t="s">
        <v>1590</v>
      </c>
      <c r="HH20" s="598" t="s">
        <v>1590</v>
      </c>
      <c r="HI20" s="598" t="s">
        <v>1590</v>
      </c>
      <c r="HJ20" s="598" t="s">
        <v>1590</v>
      </c>
      <c r="HK20" s="598" t="s">
        <v>1590</v>
      </c>
      <c r="HL20" s="598" t="s">
        <v>1590</v>
      </c>
      <c r="HM20" s="598" t="s">
        <v>1590</v>
      </c>
      <c r="HN20" s="598" t="s">
        <v>1590</v>
      </c>
      <c r="HO20" s="598" t="s">
        <v>1590</v>
      </c>
      <c r="HP20" s="598" t="s">
        <v>1590</v>
      </c>
      <c r="HQ20" s="598" t="s">
        <v>1590</v>
      </c>
      <c r="HR20" s="598" t="s">
        <v>1590</v>
      </c>
      <c r="HS20" s="598" t="s">
        <v>1590</v>
      </c>
      <c r="HT20" s="598" t="s">
        <v>1590</v>
      </c>
      <c r="HU20" s="598" t="s">
        <v>1590</v>
      </c>
      <c r="HV20" s="598" t="s">
        <v>1590</v>
      </c>
      <c r="HW20" s="598" t="s">
        <v>1590</v>
      </c>
      <c r="HX20" s="598" t="s">
        <v>1590</v>
      </c>
      <c r="HY20" s="598" t="s">
        <v>1590</v>
      </c>
    </row>
    <row r="21" spans="1:233" ht="24">
      <c r="A21" s="297"/>
      <c r="B21" s="301">
        <v>496</v>
      </c>
      <c r="C21" s="173" t="s">
        <v>519</v>
      </c>
      <c r="D21" s="598" t="s">
        <v>1591</v>
      </c>
      <c r="E21" s="598" t="s">
        <v>1591</v>
      </c>
      <c r="F21" s="598" t="s">
        <v>1591</v>
      </c>
      <c r="G21" s="598" t="s">
        <v>1591</v>
      </c>
      <c r="H21" s="598" t="s">
        <v>1592</v>
      </c>
      <c r="I21" s="598" t="s">
        <v>1592</v>
      </c>
      <c r="J21" s="598" t="s">
        <v>1592</v>
      </c>
      <c r="K21" s="598" t="s">
        <v>1592</v>
      </c>
      <c r="L21" s="598" t="s">
        <v>1592</v>
      </c>
      <c r="M21" s="598" t="s">
        <v>1592</v>
      </c>
      <c r="N21" s="598" t="s">
        <v>1592</v>
      </c>
      <c r="O21" s="598" t="s">
        <v>1592</v>
      </c>
      <c r="P21" s="598" t="s">
        <v>1592</v>
      </c>
      <c r="Q21" s="598" t="s">
        <v>1592</v>
      </c>
      <c r="R21" s="598" t="s">
        <v>1592</v>
      </c>
      <c r="S21" s="598" t="s">
        <v>1592</v>
      </c>
      <c r="T21" s="598" t="s">
        <v>1592</v>
      </c>
      <c r="U21" s="598" t="s">
        <v>1592</v>
      </c>
      <c r="V21" s="598" t="s">
        <v>1592</v>
      </c>
      <c r="W21" s="598" t="s">
        <v>1592</v>
      </c>
      <c r="X21" s="598" t="s">
        <v>1592</v>
      </c>
      <c r="Y21" s="598" t="s">
        <v>1592</v>
      </c>
      <c r="Z21" s="598" t="s">
        <v>1592</v>
      </c>
      <c r="AA21" s="598" t="s">
        <v>1592</v>
      </c>
      <c r="AB21" s="598" t="s">
        <v>1592</v>
      </c>
      <c r="AC21" s="598" t="s">
        <v>1593</v>
      </c>
      <c r="AD21" s="598" t="s">
        <v>1593</v>
      </c>
      <c r="AE21" s="598" t="s">
        <v>1594</v>
      </c>
      <c r="AF21" s="598" t="s">
        <v>1594</v>
      </c>
      <c r="AG21" s="598" t="s">
        <v>1594</v>
      </c>
      <c r="AH21" s="598" t="s">
        <v>1594</v>
      </c>
      <c r="AI21" s="598" t="s">
        <v>1594</v>
      </c>
      <c r="AJ21" s="598" t="s">
        <v>1592</v>
      </c>
      <c r="AK21" s="598" t="s">
        <v>1592</v>
      </c>
      <c r="AL21" s="598" t="s">
        <v>1592</v>
      </c>
      <c r="AM21" s="598" t="s">
        <v>1592</v>
      </c>
      <c r="AN21" s="598" t="s">
        <v>1594</v>
      </c>
      <c r="AO21" s="598" t="s">
        <v>1594</v>
      </c>
      <c r="AP21" s="598" t="s">
        <v>1594</v>
      </c>
      <c r="AQ21" s="598" t="s">
        <v>1594</v>
      </c>
      <c r="AR21" s="598" t="s">
        <v>1594</v>
      </c>
      <c r="AS21" s="598" t="s">
        <v>1594</v>
      </c>
      <c r="AT21" s="598" t="s">
        <v>1594</v>
      </c>
      <c r="AU21" s="598" t="s">
        <v>1594</v>
      </c>
      <c r="AV21" s="598" t="s">
        <v>1594</v>
      </c>
      <c r="AW21" s="598" t="s">
        <v>1594</v>
      </c>
      <c r="AX21" s="598" t="s">
        <v>1594</v>
      </c>
      <c r="AY21" s="598" t="s">
        <v>1594</v>
      </c>
      <c r="AZ21" s="598" t="s">
        <v>1594</v>
      </c>
      <c r="BA21" s="598" t="s">
        <v>1594</v>
      </c>
      <c r="BB21" s="598" t="s">
        <v>1594</v>
      </c>
      <c r="BC21" s="598" t="s">
        <v>1594</v>
      </c>
      <c r="BD21" s="598" t="s">
        <v>1594</v>
      </c>
      <c r="BE21" s="598" t="s">
        <v>1594</v>
      </c>
      <c r="BF21" s="598" t="s">
        <v>1594</v>
      </c>
      <c r="BG21" s="598" t="s">
        <v>1594</v>
      </c>
      <c r="BH21" s="598" t="s">
        <v>1594</v>
      </c>
      <c r="BI21" s="598" t="s">
        <v>1594</v>
      </c>
      <c r="BJ21" s="598" t="s">
        <v>1594</v>
      </c>
      <c r="BK21" s="598" t="s">
        <v>1594</v>
      </c>
      <c r="BL21" s="598" t="s">
        <v>1594</v>
      </c>
      <c r="BM21" s="598" t="s">
        <v>1594</v>
      </c>
      <c r="BN21" s="598" t="s">
        <v>1594</v>
      </c>
      <c r="BO21" s="598" t="s">
        <v>1594</v>
      </c>
      <c r="BP21" s="598" t="s">
        <v>1594</v>
      </c>
      <c r="BQ21" s="598" t="s">
        <v>1594</v>
      </c>
      <c r="BR21" s="598" t="s">
        <v>1594</v>
      </c>
      <c r="BS21" s="598" t="s">
        <v>1594</v>
      </c>
      <c r="BT21" s="598" t="s">
        <v>1594</v>
      </c>
      <c r="BU21" s="598" t="s">
        <v>1594</v>
      </c>
      <c r="BV21" s="598" t="s">
        <v>1594</v>
      </c>
      <c r="BW21" s="598" t="s">
        <v>1594</v>
      </c>
      <c r="BX21" s="598" t="s">
        <v>1594</v>
      </c>
      <c r="BY21" s="598" t="s">
        <v>1594</v>
      </c>
      <c r="BZ21" s="598" t="s">
        <v>1594</v>
      </c>
      <c r="CA21" s="598" t="s">
        <v>1594</v>
      </c>
      <c r="CB21" s="598" t="s">
        <v>1594</v>
      </c>
      <c r="CC21" s="598" t="s">
        <v>1594</v>
      </c>
      <c r="CD21" s="598" t="s">
        <v>1594</v>
      </c>
      <c r="CE21" s="598" t="s">
        <v>1594</v>
      </c>
      <c r="CF21" s="598" t="s">
        <v>1594</v>
      </c>
      <c r="CG21" s="598" t="s">
        <v>1594</v>
      </c>
      <c r="CH21" s="598" t="s">
        <v>1594</v>
      </c>
      <c r="CI21" s="598" t="s">
        <v>1593</v>
      </c>
      <c r="CJ21" s="598" t="s">
        <v>1593</v>
      </c>
      <c r="CK21" s="598" t="s">
        <v>1595</v>
      </c>
      <c r="CL21" s="598" t="s">
        <v>1595</v>
      </c>
      <c r="CM21" s="598" t="s">
        <v>1595</v>
      </c>
      <c r="CN21" s="598" t="s">
        <v>1595</v>
      </c>
      <c r="CO21" s="598" t="s">
        <v>1595</v>
      </c>
      <c r="CP21" s="598" t="s">
        <v>1593</v>
      </c>
      <c r="CQ21" s="598" t="s">
        <v>1595</v>
      </c>
      <c r="CR21" s="598" t="s">
        <v>1594</v>
      </c>
      <c r="CS21" s="598" t="s">
        <v>1594</v>
      </c>
      <c r="CT21" s="598" t="s">
        <v>1594</v>
      </c>
      <c r="CU21" s="598" t="s">
        <v>1594</v>
      </c>
      <c r="CV21" s="598" t="s">
        <v>1594</v>
      </c>
      <c r="CW21" s="598" t="s">
        <v>1594</v>
      </c>
      <c r="CX21" s="598" t="s">
        <v>1594</v>
      </c>
      <c r="CY21" s="598" t="s">
        <v>1594</v>
      </c>
      <c r="CZ21" s="598" t="s">
        <v>1594</v>
      </c>
      <c r="DA21" s="598" t="s">
        <v>1594</v>
      </c>
      <c r="DB21" s="598" t="s">
        <v>1594</v>
      </c>
      <c r="DC21" s="598" t="s">
        <v>1594</v>
      </c>
      <c r="DD21" s="598" t="s">
        <v>1594</v>
      </c>
      <c r="DE21" s="598" t="s">
        <v>1594</v>
      </c>
      <c r="DF21" s="598" t="s">
        <v>1594</v>
      </c>
      <c r="DG21" s="598" t="s">
        <v>1594</v>
      </c>
      <c r="DH21" s="598" t="s">
        <v>1594</v>
      </c>
      <c r="DI21" s="598" t="s">
        <v>1594</v>
      </c>
      <c r="DJ21" s="598" t="s">
        <v>1594</v>
      </c>
      <c r="DK21" s="598" t="s">
        <v>1594</v>
      </c>
      <c r="DL21" s="598" t="s">
        <v>1594</v>
      </c>
      <c r="DM21" s="598" t="s">
        <v>1594</v>
      </c>
      <c r="DN21" s="598" t="s">
        <v>1594</v>
      </c>
      <c r="DO21" s="598" t="s">
        <v>1594</v>
      </c>
      <c r="DP21" s="598" t="s">
        <v>1594</v>
      </c>
      <c r="DQ21" s="598" t="s">
        <v>1594</v>
      </c>
      <c r="DR21" s="598" t="s">
        <v>1594</v>
      </c>
      <c r="DS21" s="598" t="s">
        <v>1594</v>
      </c>
      <c r="DT21" s="598" t="s">
        <v>1594</v>
      </c>
      <c r="DU21" s="598" t="s">
        <v>1594</v>
      </c>
      <c r="DV21" s="598" t="s">
        <v>1594</v>
      </c>
      <c r="DW21" s="598" t="s">
        <v>1594</v>
      </c>
      <c r="DX21" s="598" t="s">
        <v>1594</v>
      </c>
      <c r="DY21" s="598" t="s">
        <v>1594</v>
      </c>
      <c r="DZ21" s="598" t="s">
        <v>1594</v>
      </c>
      <c r="EA21" s="598" t="s">
        <v>1594</v>
      </c>
      <c r="EB21" s="598" t="s">
        <v>1594</v>
      </c>
      <c r="EC21" s="598" t="s">
        <v>1594</v>
      </c>
      <c r="ED21" s="598" t="s">
        <v>1594</v>
      </c>
      <c r="EE21" s="598" t="s">
        <v>1594</v>
      </c>
      <c r="EF21" s="598" t="s">
        <v>1594</v>
      </c>
      <c r="EG21" s="598" t="s">
        <v>1594</v>
      </c>
      <c r="EH21" s="598" t="s">
        <v>1594</v>
      </c>
      <c r="EI21" s="598" t="s">
        <v>1594</v>
      </c>
      <c r="EJ21" s="598" t="s">
        <v>1594</v>
      </c>
      <c r="EK21" s="598" t="s">
        <v>1594</v>
      </c>
      <c r="EL21" s="598" t="s">
        <v>1594</v>
      </c>
      <c r="EM21" s="598" t="s">
        <v>1594</v>
      </c>
      <c r="EN21" s="598" t="s">
        <v>1594</v>
      </c>
      <c r="EO21" s="598" t="s">
        <v>1594</v>
      </c>
      <c r="EP21" s="598" t="s">
        <v>1594</v>
      </c>
      <c r="EQ21" s="598" t="s">
        <v>1594</v>
      </c>
      <c r="ER21" s="598" t="s">
        <v>1594</v>
      </c>
      <c r="ES21" s="598" t="s">
        <v>1594</v>
      </c>
      <c r="ET21" s="598" t="s">
        <v>1594</v>
      </c>
      <c r="EU21" s="598" t="s">
        <v>1594</v>
      </c>
      <c r="EV21" s="598" t="s">
        <v>1594</v>
      </c>
      <c r="EW21" s="598" t="s">
        <v>1594</v>
      </c>
      <c r="EX21" s="598" t="s">
        <v>1594</v>
      </c>
      <c r="EY21" s="598" t="s">
        <v>1594</v>
      </c>
      <c r="EZ21" s="598" t="s">
        <v>1594</v>
      </c>
      <c r="FA21" s="598" t="s">
        <v>1594</v>
      </c>
      <c r="FB21" s="598" t="s">
        <v>1594</v>
      </c>
      <c r="FC21" s="598" t="s">
        <v>1594</v>
      </c>
      <c r="FD21" s="598" t="s">
        <v>1594</v>
      </c>
      <c r="FE21" s="598" t="s">
        <v>1594</v>
      </c>
      <c r="FF21" s="598" t="s">
        <v>1594</v>
      </c>
      <c r="FG21" s="598" t="s">
        <v>1594</v>
      </c>
      <c r="FH21" s="598" t="s">
        <v>1594</v>
      </c>
      <c r="FI21" s="598" t="s">
        <v>1594</v>
      </c>
      <c r="FJ21" s="598" t="s">
        <v>1594</v>
      </c>
      <c r="FK21" s="598" t="s">
        <v>1594</v>
      </c>
      <c r="FL21" s="598" t="s">
        <v>1594</v>
      </c>
      <c r="FM21" s="598" t="s">
        <v>1594</v>
      </c>
      <c r="FN21" s="598" t="s">
        <v>1594</v>
      </c>
      <c r="FO21" s="598" t="s">
        <v>1594</v>
      </c>
      <c r="FP21" s="598" t="s">
        <v>1594</v>
      </c>
      <c r="FQ21" s="598" t="s">
        <v>1594</v>
      </c>
      <c r="FR21" s="598" t="s">
        <v>1594</v>
      </c>
      <c r="FS21" s="598" t="s">
        <v>1594</v>
      </c>
      <c r="FT21" s="598" t="s">
        <v>1594</v>
      </c>
      <c r="FU21" s="598" t="s">
        <v>1594</v>
      </c>
      <c r="FV21" s="598" t="s">
        <v>1594</v>
      </c>
      <c r="FW21" s="598" t="s">
        <v>1594</v>
      </c>
      <c r="FX21" s="598" t="s">
        <v>1594</v>
      </c>
      <c r="FY21" s="598" t="s">
        <v>1594</v>
      </c>
      <c r="FZ21" s="598" t="s">
        <v>1594</v>
      </c>
      <c r="GA21" s="598" t="s">
        <v>1594</v>
      </c>
      <c r="GB21" s="598" t="s">
        <v>1594</v>
      </c>
      <c r="GC21" s="598" t="s">
        <v>1594</v>
      </c>
      <c r="GD21" s="598" t="s">
        <v>1596</v>
      </c>
      <c r="GE21" s="598" t="s">
        <v>1596</v>
      </c>
      <c r="GF21" s="598" t="s">
        <v>1596</v>
      </c>
      <c r="GG21" s="598" t="s">
        <v>1596</v>
      </c>
      <c r="GH21" s="598" t="s">
        <v>1596</v>
      </c>
      <c r="GI21" s="598" t="s">
        <v>1596</v>
      </c>
      <c r="GJ21" s="598" t="s">
        <v>1596</v>
      </c>
      <c r="GK21" s="598" t="s">
        <v>1596</v>
      </c>
      <c r="GL21" s="598" t="s">
        <v>1596</v>
      </c>
      <c r="GM21" s="598" t="s">
        <v>1596</v>
      </c>
      <c r="GN21" s="598" t="s">
        <v>1596</v>
      </c>
      <c r="GO21" s="598" t="s">
        <v>1596</v>
      </c>
      <c r="GP21" s="598" t="s">
        <v>1596</v>
      </c>
      <c r="GQ21" s="598" t="s">
        <v>1596</v>
      </c>
      <c r="GR21" s="598" t="s">
        <v>1596</v>
      </c>
      <c r="GS21" s="598" t="s">
        <v>1596</v>
      </c>
      <c r="GT21" s="598" t="s">
        <v>1596</v>
      </c>
      <c r="GU21" s="598" t="s">
        <v>1596</v>
      </c>
      <c r="GV21" s="598" t="s">
        <v>1596</v>
      </c>
      <c r="GW21" s="598" t="s">
        <v>1596</v>
      </c>
      <c r="GX21" s="598" t="s">
        <v>1596</v>
      </c>
      <c r="GY21" s="598" t="s">
        <v>1596</v>
      </c>
      <c r="GZ21" s="598" t="s">
        <v>1596</v>
      </c>
      <c r="HA21" s="598" t="s">
        <v>1596</v>
      </c>
      <c r="HB21" s="598" t="s">
        <v>1596</v>
      </c>
      <c r="HC21" s="598" t="s">
        <v>1596</v>
      </c>
      <c r="HD21" s="598" t="s">
        <v>1596</v>
      </c>
      <c r="HE21" s="598" t="s">
        <v>1596</v>
      </c>
      <c r="HF21" s="598" t="s">
        <v>1596</v>
      </c>
      <c r="HG21" s="598" t="s">
        <v>1596</v>
      </c>
      <c r="HH21" s="598" t="s">
        <v>1596</v>
      </c>
      <c r="HI21" s="598" t="s">
        <v>1596</v>
      </c>
      <c r="HJ21" s="598" t="s">
        <v>1596</v>
      </c>
      <c r="HK21" s="598" t="s">
        <v>1596</v>
      </c>
      <c r="HL21" s="598" t="s">
        <v>1596</v>
      </c>
      <c r="HM21" s="598" t="s">
        <v>1596</v>
      </c>
      <c r="HN21" s="598" t="s">
        <v>1596</v>
      </c>
      <c r="HO21" s="598" t="s">
        <v>1596</v>
      </c>
      <c r="HP21" s="598" t="s">
        <v>1596</v>
      </c>
      <c r="HQ21" s="598" t="s">
        <v>1596</v>
      </c>
      <c r="HR21" s="598" t="s">
        <v>1596</v>
      </c>
      <c r="HS21" s="598" t="s">
        <v>1596</v>
      </c>
      <c r="HT21" s="598" t="s">
        <v>1596</v>
      </c>
      <c r="HU21" s="598" t="s">
        <v>1596</v>
      </c>
      <c r="HV21" s="598" t="s">
        <v>1596</v>
      </c>
      <c r="HW21" s="598" t="s">
        <v>1596</v>
      </c>
      <c r="HX21" s="598" t="s">
        <v>1596</v>
      </c>
      <c r="HY21" s="598" t="s">
        <v>1596</v>
      </c>
    </row>
    <row r="22" spans="1:233" outlineLevel="1">
      <c r="A22" s="297"/>
      <c r="B22" s="301">
        <v>497</v>
      </c>
      <c r="C22" s="173" t="s">
        <v>550</v>
      </c>
      <c r="D22" s="109" t="s">
        <v>1597</v>
      </c>
      <c r="E22" s="109" t="s">
        <v>1597</v>
      </c>
      <c r="F22" s="109" t="s">
        <v>1597</v>
      </c>
      <c r="G22" s="109" t="s">
        <v>1597</v>
      </c>
      <c r="H22" s="109" t="s">
        <v>1597</v>
      </c>
      <c r="I22" s="109" t="s">
        <v>1597</v>
      </c>
      <c r="J22" s="109" t="s">
        <v>1597</v>
      </c>
      <c r="K22" s="109" t="s">
        <v>1597</v>
      </c>
      <c r="L22" s="109" t="s">
        <v>1597</v>
      </c>
      <c r="M22" s="109" t="s">
        <v>1597</v>
      </c>
      <c r="N22" s="109" t="s">
        <v>1597</v>
      </c>
      <c r="O22" s="109" t="s">
        <v>1597</v>
      </c>
      <c r="P22" s="109" t="s">
        <v>1597</v>
      </c>
      <c r="Q22" s="109" t="s">
        <v>1597</v>
      </c>
      <c r="R22" s="109" t="s">
        <v>1597</v>
      </c>
      <c r="S22" s="109" t="s">
        <v>1597</v>
      </c>
      <c r="T22" s="109" t="s">
        <v>1597</v>
      </c>
      <c r="U22" s="109" t="s">
        <v>1597</v>
      </c>
      <c r="V22" s="109" t="s">
        <v>1597</v>
      </c>
      <c r="W22" s="109" t="s">
        <v>1597</v>
      </c>
      <c r="X22" s="109" t="s">
        <v>1597</v>
      </c>
      <c r="Y22" s="109" t="s">
        <v>1597</v>
      </c>
      <c r="Z22" s="109" t="s">
        <v>1597</v>
      </c>
      <c r="AA22" s="109" t="s">
        <v>1597</v>
      </c>
      <c r="AB22" s="109" t="s">
        <v>1597</v>
      </c>
      <c r="AC22" s="109" t="s">
        <v>1598</v>
      </c>
      <c r="AD22" s="109" t="s">
        <v>1598</v>
      </c>
      <c r="AE22" s="109" t="s">
        <v>1599</v>
      </c>
      <c r="AF22" s="109" t="s">
        <v>1599</v>
      </c>
      <c r="AG22" s="109" t="s">
        <v>1599</v>
      </c>
      <c r="AH22" s="109" t="s">
        <v>1599</v>
      </c>
      <c r="AI22" s="109" t="s">
        <v>1599</v>
      </c>
      <c r="AJ22" s="109" t="s">
        <v>1597</v>
      </c>
      <c r="AK22" s="109" t="s">
        <v>1597</v>
      </c>
      <c r="AL22" s="109" t="s">
        <v>1597</v>
      </c>
      <c r="AM22" s="109" t="s">
        <v>1597</v>
      </c>
      <c r="AN22" s="109" t="s">
        <v>1599</v>
      </c>
      <c r="AO22" s="109" t="s">
        <v>1599</v>
      </c>
      <c r="AP22" s="109" t="s">
        <v>1599</v>
      </c>
      <c r="AQ22" s="109" t="s">
        <v>1599</v>
      </c>
      <c r="AR22" s="109" t="s">
        <v>1599</v>
      </c>
      <c r="AS22" s="109" t="s">
        <v>1599</v>
      </c>
      <c r="AT22" s="109" t="s">
        <v>1599</v>
      </c>
      <c r="AU22" s="109" t="s">
        <v>1599</v>
      </c>
      <c r="AV22" s="109" t="s">
        <v>1599</v>
      </c>
      <c r="AW22" s="109" t="s">
        <v>1599</v>
      </c>
      <c r="AX22" s="109" t="s">
        <v>1599</v>
      </c>
      <c r="AY22" s="109" t="s">
        <v>1599</v>
      </c>
      <c r="AZ22" s="109" t="s">
        <v>1599</v>
      </c>
      <c r="BA22" s="109" t="s">
        <v>1599</v>
      </c>
      <c r="BB22" s="109" t="s">
        <v>1599</v>
      </c>
      <c r="BC22" s="109" t="s">
        <v>1599</v>
      </c>
      <c r="BD22" s="109" t="s">
        <v>1599</v>
      </c>
      <c r="BE22" s="109" t="s">
        <v>1599</v>
      </c>
      <c r="BF22" s="109" t="s">
        <v>1599</v>
      </c>
      <c r="BG22" s="109" t="s">
        <v>1599</v>
      </c>
      <c r="BH22" s="109" t="s">
        <v>1599</v>
      </c>
      <c r="BI22" s="109" t="s">
        <v>1599</v>
      </c>
      <c r="BJ22" s="109" t="s">
        <v>1599</v>
      </c>
      <c r="BK22" s="109" t="s">
        <v>1599</v>
      </c>
      <c r="BL22" s="109" t="s">
        <v>1599</v>
      </c>
      <c r="BM22" s="109" t="s">
        <v>1599</v>
      </c>
      <c r="BN22" s="109" t="s">
        <v>1599</v>
      </c>
      <c r="BO22" s="109" t="s">
        <v>1599</v>
      </c>
      <c r="BP22" s="109" t="s">
        <v>1599</v>
      </c>
      <c r="BQ22" s="109" t="s">
        <v>1599</v>
      </c>
      <c r="BR22" s="109" t="s">
        <v>1599</v>
      </c>
      <c r="BS22" s="109" t="s">
        <v>1599</v>
      </c>
      <c r="BT22" s="109" t="s">
        <v>1599</v>
      </c>
      <c r="BU22" s="109" t="s">
        <v>1599</v>
      </c>
      <c r="BV22" s="109" t="s">
        <v>1599</v>
      </c>
      <c r="BW22" s="109" t="s">
        <v>1599</v>
      </c>
      <c r="BX22" s="109" t="s">
        <v>1599</v>
      </c>
      <c r="BY22" s="109" t="s">
        <v>1599</v>
      </c>
      <c r="BZ22" s="109" t="s">
        <v>1599</v>
      </c>
      <c r="CA22" s="109" t="s">
        <v>1599</v>
      </c>
      <c r="CB22" s="109" t="s">
        <v>1599</v>
      </c>
      <c r="CC22" s="109" t="s">
        <v>1599</v>
      </c>
      <c r="CD22" s="109" t="s">
        <v>1599</v>
      </c>
      <c r="CE22" s="109" t="s">
        <v>1599</v>
      </c>
      <c r="CF22" s="109" t="s">
        <v>1599</v>
      </c>
      <c r="CG22" s="109" t="s">
        <v>1599</v>
      </c>
      <c r="CH22" s="109" t="s">
        <v>1599</v>
      </c>
      <c r="CI22" s="109" t="s">
        <v>1598</v>
      </c>
      <c r="CJ22" s="109" t="s">
        <v>1598</v>
      </c>
      <c r="CK22" s="109" t="s">
        <v>1598</v>
      </c>
      <c r="CL22" s="109" t="s">
        <v>1598</v>
      </c>
      <c r="CM22" s="109" t="s">
        <v>1598</v>
      </c>
      <c r="CN22" s="109" t="s">
        <v>1598</v>
      </c>
      <c r="CO22" s="109" t="s">
        <v>1598</v>
      </c>
      <c r="CP22" s="109" t="s">
        <v>1598</v>
      </c>
      <c r="CQ22" s="109" t="s">
        <v>1598</v>
      </c>
      <c r="CR22" s="109" t="s">
        <v>1599</v>
      </c>
      <c r="CS22" s="109" t="s">
        <v>1599</v>
      </c>
      <c r="CT22" s="109" t="s">
        <v>1599</v>
      </c>
      <c r="CU22" s="109" t="s">
        <v>1599</v>
      </c>
      <c r="CV22" s="109" t="s">
        <v>1599</v>
      </c>
      <c r="CW22" s="109" t="s">
        <v>1599</v>
      </c>
      <c r="CX22" s="109" t="s">
        <v>1599</v>
      </c>
      <c r="CY22" s="109" t="s">
        <v>1599</v>
      </c>
      <c r="CZ22" s="109" t="s">
        <v>1599</v>
      </c>
      <c r="DA22" s="109" t="s">
        <v>1599</v>
      </c>
      <c r="DB22" s="109" t="s">
        <v>1599</v>
      </c>
      <c r="DC22" s="109" t="s">
        <v>1599</v>
      </c>
      <c r="DD22" s="109" t="s">
        <v>1599</v>
      </c>
      <c r="DE22" s="109" t="s">
        <v>1599</v>
      </c>
      <c r="DF22" s="109" t="s">
        <v>1599</v>
      </c>
      <c r="DG22" s="109" t="s">
        <v>1599</v>
      </c>
      <c r="DH22" s="109" t="s">
        <v>1599</v>
      </c>
      <c r="DI22" s="109" t="s">
        <v>1599</v>
      </c>
      <c r="DJ22" s="109" t="s">
        <v>1599</v>
      </c>
      <c r="DK22" s="109" t="s">
        <v>1599</v>
      </c>
      <c r="DL22" s="109" t="s">
        <v>1599</v>
      </c>
      <c r="DM22" s="109" t="s">
        <v>1599</v>
      </c>
      <c r="DN22" s="109" t="s">
        <v>1599</v>
      </c>
      <c r="DO22" s="109" t="s">
        <v>1599</v>
      </c>
      <c r="DP22" s="109" t="s">
        <v>1599</v>
      </c>
      <c r="DQ22" s="109" t="s">
        <v>1599</v>
      </c>
      <c r="DR22" s="109" t="s">
        <v>1599</v>
      </c>
      <c r="DS22" s="109" t="s">
        <v>1599</v>
      </c>
      <c r="DT22" s="109" t="s">
        <v>1599</v>
      </c>
      <c r="DU22" s="109" t="s">
        <v>1599</v>
      </c>
      <c r="DV22" s="109" t="s">
        <v>1599</v>
      </c>
      <c r="DW22" s="109" t="s">
        <v>1599</v>
      </c>
      <c r="DX22" s="109" t="s">
        <v>1599</v>
      </c>
      <c r="DY22" s="109" t="s">
        <v>1599</v>
      </c>
      <c r="DZ22" s="109" t="s">
        <v>1599</v>
      </c>
      <c r="EA22" s="109" t="s">
        <v>1599</v>
      </c>
      <c r="EB22" s="109" t="s">
        <v>1599</v>
      </c>
      <c r="EC22" s="109" t="s">
        <v>1599</v>
      </c>
      <c r="ED22" s="109" t="s">
        <v>1599</v>
      </c>
      <c r="EE22" s="109" t="s">
        <v>1599</v>
      </c>
      <c r="EF22" s="109" t="s">
        <v>1599</v>
      </c>
      <c r="EG22" s="109" t="s">
        <v>1599</v>
      </c>
      <c r="EH22" s="109" t="s">
        <v>1599</v>
      </c>
      <c r="EI22" s="109" t="s">
        <v>1599</v>
      </c>
      <c r="EJ22" s="109" t="s">
        <v>1599</v>
      </c>
      <c r="EK22" s="109" t="s">
        <v>1599</v>
      </c>
      <c r="EL22" s="109" t="s">
        <v>1599</v>
      </c>
      <c r="EM22" s="109" t="s">
        <v>1599</v>
      </c>
      <c r="EN22" s="109" t="s">
        <v>1599</v>
      </c>
      <c r="EO22" s="109" t="s">
        <v>1599</v>
      </c>
      <c r="EP22" s="109" t="s">
        <v>1599</v>
      </c>
      <c r="EQ22" s="109" t="s">
        <v>1599</v>
      </c>
      <c r="ER22" s="109" t="s">
        <v>1599</v>
      </c>
      <c r="ES22" s="109" t="s">
        <v>1599</v>
      </c>
      <c r="ET22" s="109" t="s">
        <v>1599</v>
      </c>
      <c r="EU22" s="109" t="s">
        <v>1599</v>
      </c>
      <c r="EV22" s="109" t="s">
        <v>1599</v>
      </c>
      <c r="EW22" s="109" t="s">
        <v>1599</v>
      </c>
      <c r="EX22" s="109" t="s">
        <v>1599</v>
      </c>
      <c r="EY22" s="109" t="s">
        <v>1599</v>
      </c>
      <c r="EZ22" s="109" t="s">
        <v>1599</v>
      </c>
      <c r="FA22" s="109" t="s">
        <v>1599</v>
      </c>
      <c r="FB22" s="109" t="s">
        <v>1599</v>
      </c>
      <c r="FC22" s="109" t="s">
        <v>1599</v>
      </c>
      <c r="FD22" s="109" t="s">
        <v>1599</v>
      </c>
      <c r="FE22" s="109" t="s">
        <v>1599</v>
      </c>
      <c r="FF22" s="109" t="s">
        <v>1599</v>
      </c>
      <c r="FG22" s="109" t="s">
        <v>1599</v>
      </c>
      <c r="FH22" s="109" t="s">
        <v>1599</v>
      </c>
      <c r="FI22" s="109" t="s">
        <v>1599</v>
      </c>
      <c r="FJ22" s="109" t="s">
        <v>1599</v>
      </c>
      <c r="FK22" s="109" t="s">
        <v>1599</v>
      </c>
      <c r="FL22" s="109" t="s">
        <v>1599</v>
      </c>
      <c r="FM22" s="109" t="s">
        <v>1599</v>
      </c>
      <c r="FN22" s="109" t="s">
        <v>1599</v>
      </c>
      <c r="FO22" s="109" t="s">
        <v>1599</v>
      </c>
      <c r="FP22" s="109" t="s">
        <v>1599</v>
      </c>
      <c r="FQ22" s="109" t="s">
        <v>1599</v>
      </c>
      <c r="FR22" s="109" t="s">
        <v>1599</v>
      </c>
      <c r="FS22" s="109" t="s">
        <v>1599</v>
      </c>
      <c r="FT22" s="109" t="s">
        <v>1599</v>
      </c>
      <c r="FU22" s="109" t="s">
        <v>1599</v>
      </c>
      <c r="FV22" s="109" t="s">
        <v>1599</v>
      </c>
      <c r="FW22" s="109" t="s">
        <v>1599</v>
      </c>
      <c r="FX22" s="109" t="s">
        <v>1599</v>
      </c>
      <c r="FY22" s="109" t="s">
        <v>1599</v>
      </c>
      <c r="FZ22" s="109" t="s">
        <v>1599</v>
      </c>
      <c r="GA22" s="109" t="s">
        <v>1599</v>
      </c>
      <c r="GB22" s="109" t="s">
        <v>1599</v>
      </c>
      <c r="GC22" s="109" t="s">
        <v>1599</v>
      </c>
      <c r="GD22" s="109" t="s">
        <v>1599</v>
      </c>
      <c r="GE22" s="109" t="s">
        <v>1599</v>
      </c>
      <c r="GF22" s="109" t="s">
        <v>1599</v>
      </c>
      <c r="GG22" s="109" t="s">
        <v>1599</v>
      </c>
      <c r="GH22" s="109" t="s">
        <v>1599</v>
      </c>
      <c r="GI22" s="109" t="s">
        <v>1599</v>
      </c>
      <c r="GJ22" s="109" t="s">
        <v>1599</v>
      </c>
      <c r="GK22" s="109" t="s">
        <v>1599</v>
      </c>
      <c r="GL22" s="109" t="s">
        <v>1599</v>
      </c>
      <c r="GM22" s="109" t="s">
        <v>1599</v>
      </c>
      <c r="GN22" s="109" t="s">
        <v>1599</v>
      </c>
      <c r="GO22" s="109" t="s">
        <v>1599</v>
      </c>
      <c r="GP22" s="109" t="s">
        <v>1599</v>
      </c>
      <c r="GQ22" s="109" t="s">
        <v>1599</v>
      </c>
      <c r="GR22" s="109" t="s">
        <v>1599</v>
      </c>
      <c r="GS22" s="109" t="s">
        <v>1599</v>
      </c>
      <c r="GT22" s="109" t="s">
        <v>1599</v>
      </c>
      <c r="GU22" s="109" t="s">
        <v>1599</v>
      </c>
      <c r="GV22" s="109" t="s">
        <v>1599</v>
      </c>
      <c r="GW22" s="109" t="s">
        <v>1599</v>
      </c>
      <c r="GX22" s="109" t="s">
        <v>1599</v>
      </c>
      <c r="GY22" s="109" t="s">
        <v>1599</v>
      </c>
      <c r="GZ22" s="109" t="s">
        <v>1599</v>
      </c>
      <c r="HA22" s="109" t="s">
        <v>1599</v>
      </c>
      <c r="HB22" s="109" t="s">
        <v>1599</v>
      </c>
      <c r="HC22" s="109" t="s">
        <v>1599</v>
      </c>
      <c r="HD22" s="109" t="s">
        <v>1599</v>
      </c>
      <c r="HE22" s="109" t="s">
        <v>1599</v>
      </c>
      <c r="HF22" s="109" t="s">
        <v>1599</v>
      </c>
      <c r="HG22" s="109" t="s">
        <v>1599</v>
      </c>
      <c r="HH22" s="109" t="s">
        <v>1599</v>
      </c>
      <c r="HI22" s="109" t="s">
        <v>1599</v>
      </c>
      <c r="HJ22" s="109" t="s">
        <v>1599</v>
      </c>
      <c r="HK22" s="109" t="s">
        <v>1599</v>
      </c>
      <c r="HL22" s="109" t="s">
        <v>1599</v>
      </c>
      <c r="HM22" s="109" t="s">
        <v>1599</v>
      </c>
      <c r="HN22" s="109" t="s">
        <v>1599</v>
      </c>
      <c r="HO22" s="109" t="s">
        <v>1599</v>
      </c>
      <c r="HP22" s="109" t="s">
        <v>1599</v>
      </c>
      <c r="HQ22" s="109" t="s">
        <v>1599</v>
      </c>
      <c r="HR22" s="109" t="s">
        <v>1599</v>
      </c>
      <c r="HS22" s="109" t="s">
        <v>1599</v>
      </c>
      <c r="HT22" s="109" t="s">
        <v>1599</v>
      </c>
      <c r="HU22" s="109" t="s">
        <v>1599</v>
      </c>
      <c r="HV22" s="109" t="s">
        <v>1599</v>
      </c>
      <c r="HW22" s="109" t="s">
        <v>1599</v>
      </c>
      <c r="HX22" s="109" t="s">
        <v>1599</v>
      </c>
      <c r="HY22" s="109" t="s">
        <v>1599</v>
      </c>
    </row>
    <row r="23" spans="1:233" ht="24" outlineLevel="1">
      <c r="A23" s="297"/>
      <c r="B23" s="301">
        <v>498</v>
      </c>
      <c r="C23" s="173" t="s">
        <v>551</v>
      </c>
      <c r="D23" s="109" t="s">
        <v>1600</v>
      </c>
      <c r="E23" s="109" t="s">
        <v>1600</v>
      </c>
      <c r="F23" s="109" t="s">
        <v>1600</v>
      </c>
      <c r="G23" s="109" t="s">
        <v>1600</v>
      </c>
      <c r="H23" s="109" t="s">
        <v>1601</v>
      </c>
      <c r="I23" s="109" t="s">
        <v>1601</v>
      </c>
      <c r="J23" s="109" t="s">
        <v>1601</v>
      </c>
      <c r="K23" s="109" t="s">
        <v>1601</v>
      </c>
      <c r="L23" s="109" t="s">
        <v>1601</v>
      </c>
      <c r="M23" s="109" t="s">
        <v>1601</v>
      </c>
      <c r="N23" s="109" t="s">
        <v>1601</v>
      </c>
      <c r="O23" s="109" t="s">
        <v>1601</v>
      </c>
      <c r="P23" s="109" t="s">
        <v>1601</v>
      </c>
      <c r="Q23" s="109" t="s">
        <v>1601</v>
      </c>
      <c r="R23" s="109" t="s">
        <v>1601</v>
      </c>
      <c r="S23" s="109" t="s">
        <v>1601</v>
      </c>
      <c r="T23" s="109" t="s">
        <v>1601</v>
      </c>
      <c r="U23" s="109" t="s">
        <v>1601</v>
      </c>
      <c r="V23" s="109" t="s">
        <v>1601</v>
      </c>
      <c r="W23" s="109" t="s">
        <v>1601</v>
      </c>
      <c r="X23" s="109" t="s">
        <v>1601</v>
      </c>
      <c r="Y23" s="109" t="s">
        <v>1601</v>
      </c>
      <c r="Z23" s="109" t="s">
        <v>1601</v>
      </c>
      <c r="AA23" s="109" t="s">
        <v>1601</v>
      </c>
      <c r="AB23" s="109" t="s">
        <v>1601</v>
      </c>
      <c r="AC23" s="109" t="s">
        <v>1602</v>
      </c>
      <c r="AD23" s="109" t="s">
        <v>1602</v>
      </c>
      <c r="AE23" s="109" t="s">
        <v>1603</v>
      </c>
      <c r="AF23" s="109" t="s">
        <v>1603</v>
      </c>
      <c r="AG23" s="109" t="s">
        <v>1603</v>
      </c>
      <c r="AH23" s="109" t="s">
        <v>1603</v>
      </c>
      <c r="AI23" s="109" t="s">
        <v>1603</v>
      </c>
      <c r="AJ23" s="109" t="s">
        <v>1601</v>
      </c>
      <c r="AK23" s="109" t="s">
        <v>1601</v>
      </c>
      <c r="AL23" s="109" t="s">
        <v>1601</v>
      </c>
      <c r="AM23" s="109" t="s">
        <v>1601</v>
      </c>
      <c r="AN23" s="109" t="s">
        <v>1603</v>
      </c>
      <c r="AO23" s="109" t="s">
        <v>1603</v>
      </c>
      <c r="AP23" s="109" t="s">
        <v>1603</v>
      </c>
      <c r="AQ23" s="109" t="s">
        <v>1603</v>
      </c>
      <c r="AR23" s="109" t="s">
        <v>1603</v>
      </c>
      <c r="AS23" s="109" t="s">
        <v>1603</v>
      </c>
      <c r="AT23" s="109" t="s">
        <v>1603</v>
      </c>
      <c r="AU23" s="109" t="s">
        <v>1603</v>
      </c>
      <c r="AV23" s="109" t="s">
        <v>1603</v>
      </c>
      <c r="AW23" s="109" t="s">
        <v>1603</v>
      </c>
      <c r="AX23" s="109" t="s">
        <v>1603</v>
      </c>
      <c r="AY23" s="109" t="s">
        <v>1603</v>
      </c>
      <c r="AZ23" s="109" t="s">
        <v>1603</v>
      </c>
      <c r="BA23" s="109" t="s">
        <v>1603</v>
      </c>
      <c r="BB23" s="109" t="s">
        <v>1603</v>
      </c>
      <c r="BC23" s="109" t="s">
        <v>1603</v>
      </c>
      <c r="BD23" s="109" t="s">
        <v>1603</v>
      </c>
      <c r="BE23" s="109" t="s">
        <v>1603</v>
      </c>
      <c r="BF23" s="109" t="s">
        <v>1603</v>
      </c>
      <c r="BG23" s="109" t="s">
        <v>1603</v>
      </c>
      <c r="BH23" s="109" t="s">
        <v>1603</v>
      </c>
      <c r="BI23" s="109" t="s">
        <v>1603</v>
      </c>
      <c r="BJ23" s="109" t="s">
        <v>1603</v>
      </c>
      <c r="BK23" s="109" t="s">
        <v>1603</v>
      </c>
      <c r="BL23" s="109" t="s">
        <v>1603</v>
      </c>
      <c r="BM23" s="109" t="s">
        <v>1603</v>
      </c>
      <c r="BN23" s="109" t="s">
        <v>1603</v>
      </c>
      <c r="BO23" s="109" t="s">
        <v>1603</v>
      </c>
      <c r="BP23" s="109" t="s">
        <v>1603</v>
      </c>
      <c r="BQ23" s="109" t="s">
        <v>1603</v>
      </c>
      <c r="BR23" s="109" t="s">
        <v>1603</v>
      </c>
      <c r="BS23" s="109" t="s">
        <v>1603</v>
      </c>
      <c r="BT23" s="109" t="s">
        <v>1603</v>
      </c>
      <c r="BU23" s="109" t="s">
        <v>1603</v>
      </c>
      <c r="BV23" s="109" t="s">
        <v>1603</v>
      </c>
      <c r="BW23" s="109" t="s">
        <v>1603</v>
      </c>
      <c r="BX23" s="109" t="s">
        <v>1603</v>
      </c>
      <c r="BY23" s="109" t="s">
        <v>1603</v>
      </c>
      <c r="BZ23" s="109" t="s">
        <v>1603</v>
      </c>
      <c r="CA23" s="109" t="s">
        <v>1603</v>
      </c>
      <c r="CB23" s="109" t="s">
        <v>1603</v>
      </c>
      <c r="CC23" s="109" t="s">
        <v>1603</v>
      </c>
      <c r="CD23" s="109" t="s">
        <v>1603</v>
      </c>
      <c r="CE23" s="109" t="s">
        <v>1603</v>
      </c>
      <c r="CF23" s="109" t="s">
        <v>1603</v>
      </c>
      <c r="CG23" s="109" t="s">
        <v>1603</v>
      </c>
      <c r="CH23" s="109" t="s">
        <v>1603</v>
      </c>
      <c r="CI23" s="109" t="s">
        <v>1602</v>
      </c>
      <c r="CJ23" s="109" t="s">
        <v>1602</v>
      </c>
      <c r="CK23" s="109" t="s">
        <v>1604</v>
      </c>
      <c r="CL23" s="109" t="s">
        <v>1604</v>
      </c>
      <c r="CM23" s="109" t="s">
        <v>1604</v>
      </c>
      <c r="CN23" s="109" t="s">
        <v>1604</v>
      </c>
      <c r="CO23" s="109" t="s">
        <v>1604</v>
      </c>
      <c r="CP23" s="109" t="s">
        <v>1602</v>
      </c>
      <c r="CQ23" s="109" t="s">
        <v>1604</v>
      </c>
      <c r="CR23" s="109" t="s">
        <v>1603</v>
      </c>
      <c r="CS23" s="109" t="s">
        <v>1603</v>
      </c>
      <c r="CT23" s="109" t="s">
        <v>1603</v>
      </c>
      <c r="CU23" s="109" t="s">
        <v>1603</v>
      </c>
      <c r="CV23" s="109" t="s">
        <v>1603</v>
      </c>
      <c r="CW23" s="109" t="s">
        <v>1603</v>
      </c>
      <c r="CX23" s="109" t="s">
        <v>1603</v>
      </c>
      <c r="CY23" s="109" t="s">
        <v>1603</v>
      </c>
      <c r="CZ23" s="109" t="s">
        <v>1603</v>
      </c>
      <c r="DA23" s="109" t="s">
        <v>1603</v>
      </c>
      <c r="DB23" s="109" t="s">
        <v>1603</v>
      </c>
      <c r="DC23" s="109" t="s">
        <v>1603</v>
      </c>
      <c r="DD23" s="109" t="s">
        <v>1603</v>
      </c>
      <c r="DE23" s="109" t="s">
        <v>1603</v>
      </c>
      <c r="DF23" s="109" t="s">
        <v>1603</v>
      </c>
      <c r="DG23" s="109" t="s">
        <v>1603</v>
      </c>
      <c r="DH23" s="109" t="s">
        <v>1603</v>
      </c>
      <c r="DI23" s="109" t="s">
        <v>1603</v>
      </c>
      <c r="DJ23" s="109" t="s">
        <v>1603</v>
      </c>
      <c r="DK23" s="109" t="s">
        <v>1603</v>
      </c>
      <c r="DL23" s="109" t="s">
        <v>1603</v>
      </c>
      <c r="DM23" s="109" t="s">
        <v>1603</v>
      </c>
      <c r="DN23" s="109" t="s">
        <v>1603</v>
      </c>
      <c r="DO23" s="109" t="s">
        <v>1603</v>
      </c>
      <c r="DP23" s="109" t="s">
        <v>1603</v>
      </c>
      <c r="DQ23" s="109" t="s">
        <v>1603</v>
      </c>
      <c r="DR23" s="109" t="s">
        <v>1603</v>
      </c>
      <c r="DS23" s="109" t="s">
        <v>1603</v>
      </c>
      <c r="DT23" s="109" t="s">
        <v>1603</v>
      </c>
      <c r="DU23" s="109" t="s">
        <v>1603</v>
      </c>
      <c r="DV23" s="109" t="s">
        <v>1603</v>
      </c>
      <c r="DW23" s="109" t="s">
        <v>1603</v>
      </c>
      <c r="DX23" s="109" t="s">
        <v>1603</v>
      </c>
      <c r="DY23" s="109" t="s">
        <v>1603</v>
      </c>
      <c r="DZ23" s="109" t="s">
        <v>1603</v>
      </c>
      <c r="EA23" s="109" t="s">
        <v>1603</v>
      </c>
      <c r="EB23" s="109" t="s">
        <v>1603</v>
      </c>
      <c r="EC23" s="109" t="s">
        <v>1603</v>
      </c>
      <c r="ED23" s="109" t="s">
        <v>1603</v>
      </c>
      <c r="EE23" s="109" t="s">
        <v>1603</v>
      </c>
      <c r="EF23" s="109" t="s">
        <v>1603</v>
      </c>
      <c r="EG23" s="109" t="s">
        <v>1603</v>
      </c>
      <c r="EH23" s="109" t="s">
        <v>1603</v>
      </c>
      <c r="EI23" s="109" t="s">
        <v>1603</v>
      </c>
      <c r="EJ23" s="109" t="s">
        <v>1603</v>
      </c>
      <c r="EK23" s="109" t="s">
        <v>1603</v>
      </c>
      <c r="EL23" s="109" t="s">
        <v>1603</v>
      </c>
      <c r="EM23" s="109" t="s">
        <v>1603</v>
      </c>
      <c r="EN23" s="109" t="s">
        <v>1603</v>
      </c>
      <c r="EO23" s="109" t="s">
        <v>1603</v>
      </c>
      <c r="EP23" s="109" t="s">
        <v>1603</v>
      </c>
      <c r="EQ23" s="109" t="s">
        <v>1603</v>
      </c>
      <c r="ER23" s="109" t="s">
        <v>1603</v>
      </c>
      <c r="ES23" s="109" t="s">
        <v>1603</v>
      </c>
      <c r="ET23" s="109" t="s">
        <v>1603</v>
      </c>
      <c r="EU23" s="109" t="s">
        <v>1603</v>
      </c>
      <c r="EV23" s="109" t="s">
        <v>1603</v>
      </c>
      <c r="EW23" s="109" t="s">
        <v>1603</v>
      </c>
      <c r="EX23" s="109" t="s">
        <v>1603</v>
      </c>
      <c r="EY23" s="109" t="s">
        <v>1603</v>
      </c>
      <c r="EZ23" s="109" t="s">
        <v>1603</v>
      </c>
      <c r="FA23" s="109" t="s">
        <v>1603</v>
      </c>
      <c r="FB23" s="109" t="s">
        <v>1603</v>
      </c>
      <c r="FC23" s="109" t="s">
        <v>1603</v>
      </c>
      <c r="FD23" s="109" t="s">
        <v>1603</v>
      </c>
      <c r="FE23" s="109" t="s">
        <v>1603</v>
      </c>
      <c r="FF23" s="109" t="s">
        <v>1603</v>
      </c>
      <c r="FG23" s="109" t="s">
        <v>1603</v>
      </c>
      <c r="FH23" s="109" t="s">
        <v>1603</v>
      </c>
      <c r="FI23" s="109" t="s">
        <v>1603</v>
      </c>
      <c r="FJ23" s="109" t="s">
        <v>1603</v>
      </c>
      <c r="FK23" s="109" t="s">
        <v>1603</v>
      </c>
      <c r="FL23" s="109" t="s">
        <v>1603</v>
      </c>
      <c r="FM23" s="109" t="s">
        <v>1603</v>
      </c>
      <c r="FN23" s="109" t="s">
        <v>1603</v>
      </c>
      <c r="FO23" s="109" t="s">
        <v>1603</v>
      </c>
      <c r="FP23" s="109" t="s">
        <v>1603</v>
      </c>
      <c r="FQ23" s="109" t="s">
        <v>1603</v>
      </c>
      <c r="FR23" s="109" t="s">
        <v>1603</v>
      </c>
      <c r="FS23" s="109" t="s">
        <v>1603</v>
      </c>
      <c r="FT23" s="109" t="s">
        <v>1603</v>
      </c>
      <c r="FU23" s="109" t="s">
        <v>1603</v>
      </c>
      <c r="FV23" s="109" t="s">
        <v>1603</v>
      </c>
      <c r="FW23" s="109" t="s">
        <v>1603</v>
      </c>
      <c r="FX23" s="109" t="s">
        <v>1603</v>
      </c>
      <c r="FY23" s="109" t="s">
        <v>1603</v>
      </c>
      <c r="FZ23" s="109" t="s">
        <v>1603</v>
      </c>
      <c r="GA23" s="109" t="s">
        <v>1603</v>
      </c>
      <c r="GB23" s="109" t="s">
        <v>1603</v>
      </c>
      <c r="GC23" s="109" t="s">
        <v>1603</v>
      </c>
      <c r="GD23" s="109" t="s">
        <v>1605</v>
      </c>
      <c r="GE23" s="109" t="s">
        <v>1605</v>
      </c>
      <c r="GF23" s="109" t="s">
        <v>1605</v>
      </c>
      <c r="GG23" s="109" t="s">
        <v>1605</v>
      </c>
      <c r="GH23" s="109" t="s">
        <v>1605</v>
      </c>
      <c r="GI23" s="109" t="s">
        <v>1605</v>
      </c>
      <c r="GJ23" s="109" t="s">
        <v>1605</v>
      </c>
      <c r="GK23" s="109" t="s">
        <v>1605</v>
      </c>
      <c r="GL23" s="109" t="s">
        <v>1605</v>
      </c>
      <c r="GM23" s="109" t="s">
        <v>1605</v>
      </c>
      <c r="GN23" s="109" t="s">
        <v>1605</v>
      </c>
      <c r="GO23" s="109" t="s">
        <v>1605</v>
      </c>
      <c r="GP23" s="109" t="s">
        <v>1605</v>
      </c>
      <c r="GQ23" s="109" t="s">
        <v>1605</v>
      </c>
      <c r="GR23" s="109" t="s">
        <v>1605</v>
      </c>
      <c r="GS23" s="109" t="s">
        <v>1605</v>
      </c>
      <c r="GT23" s="109" t="s">
        <v>1605</v>
      </c>
      <c r="GU23" s="109" t="s">
        <v>1605</v>
      </c>
      <c r="GV23" s="109" t="s">
        <v>1605</v>
      </c>
      <c r="GW23" s="109" t="s">
        <v>1605</v>
      </c>
      <c r="GX23" s="109" t="s">
        <v>1605</v>
      </c>
      <c r="GY23" s="109" t="s">
        <v>1605</v>
      </c>
      <c r="GZ23" s="109" t="s">
        <v>1605</v>
      </c>
      <c r="HA23" s="109" t="s">
        <v>1605</v>
      </c>
      <c r="HB23" s="109" t="s">
        <v>1605</v>
      </c>
      <c r="HC23" s="109" t="s">
        <v>1605</v>
      </c>
      <c r="HD23" s="109" t="s">
        <v>1605</v>
      </c>
      <c r="HE23" s="109" t="s">
        <v>1605</v>
      </c>
      <c r="HF23" s="109" t="s">
        <v>1605</v>
      </c>
      <c r="HG23" s="109" t="s">
        <v>1605</v>
      </c>
      <c r="HH23" s="109" t="s">
        <v>1605</v>
      </c>
      <c r="HI23" s="109" t="s">
        <v>1605</v>
      </c>
      <c r="HJ23" s="109" t="s">
        <v>1605</v>
      </c>
      <c r="HK23" s="109" t="s">
        <v>1605</v>
      </c>
      <c r="HL23" s="109" t="s">
        <v>1605</v>
      </c>
      <c r="HM23" s="109" t="s">
        <v>1605</v>
      </c>
      <c r="HN23" s="109" t="s">
        <v>1605</v>
      </c>
      <c r="HO23" s="109" t="s">
        <v>1605</v>
      </c>
      <c r="HP23" s="109" t="s">
        <v>1605</v>
      </c>
      <c r="HQ23" s="109" t="s">
        <v>1605</v>
      </c>
      <c r="HR23" s="109" t="s">
        <v>1605</v>
      </c>
      <c r="HS23" s="109" t="s">
        <v>1605</v>
      </c>
      <c r="HT23" s="109" t="s">
        <v>1605</v>
      </c>
      <c r="HU23" s="109" t="s">
        <v>1605</v>
      </c>
      <c r="HV23" s="109" t="s">
        <v>1605</v>
      </c>
      <c r="HW23" s="109" t="s">
        <v>1605</v>
      </c>
      <c r="HX23" s="109" t="s">
        <v>1605</v>
      </c>
      <c r="HY23" s="109" t="s">
        <v>1605</v>
      </c>
    </row>
    <row r="24" spans="1:233" ht="9.75" customHeight="1">
      <c r="A24" s="297"/>
      <c r="B24" s="301">
        <v>499</v>
      </c>
      <c r="C24" s="173" t="s">
        <v>552</v>
      </c>
      <c r="D24" s="250" t="s">
        <v>765</v>
      </c>
      <c r="E24" s="250" t="s">
        <v>765</v>
      </c>
      <c r="F24" s="250" t="s">
        <v>765</v>
      </c>
      <c r="G24" s="250" t="s">
        <v>765</v>
      </c>
      <c r="H24" s="250" t="s">
        <v>765</v>
      </c>
      <c r="I24" s="250" t="s">
        <v>765</v>
      </c>
      <c r="J24" s="250" t="s">
        <v>765</v>
      </c>
      <c r="K24" s="250" t="s">
        <v>765</v>
      </c>
      <c r="L24" s="250" t="s">
        <v>765</v>
      </c>
      <c r="M24" s="250" t="s">
        <v>765</v>
      </c>
      <c r="N24" s="250" t="s">
        <v>765</v>
      </c>
      <c r="O24" s="250" t="s">
        <v>765</v>
      </c>
      <c r="P24" s="250" t="s">
        <v>765</v>
      </c>
      <c r="Q24" s="250" t="s">
        <v>765</v>
      </c>
      <c r="R24" s="250" t="s">
        <v>765</v>
      </c>
      <c r="S24" s="250" t="s">
        <v>765</v>
      </c>
      <c r="T24" s="250" t="s">
        <v>765</v>
      </c>
      <c r="U24" s="250" t="s">
        <v>765</v>
      </c>
      <c r="V24" s="250" t="s">
        <v>765</v>
      </c>
      <c r="W24" s="250" t="s">
        <v>765</v>
      </c>
      <c r="X24" s="250" t="s">
        <v>765</v>
      </c>
      <c r="Y24" s="250" t="s">
        <v>765</v>
      </c>
      <c r="Z24" s="250" t="s">
        <v>765</v>
      </c>
      <c r="AA24" s="250" t="s">
        <v>765</v>
      </c>
      <c r="AB24" s="250" t="s">
        <v>765</v>
      </c>
      <c r="AC24" s="250" t="s">
        <v>1606</v>
      </c>
      <c r="AD24" s="250" t="s">
        <v>1606</v>
      </c>
      <c r="AE24" s="250" t="s">
        <v>765</v>
      </c>
      <c r="AF24" s="250" t="s">
        <v>765</v>
      </c>
      <c r="AG24" s="250" t="s">
        <v>765</v>
      </c>
      <c r="AH24" s="250" t="s">
        <v>765</v>
      </c>
      <c r="AI24" s="250" t="s">
        <v>765</v>
      </c>
      <c r="AJ24" s="250" t="s">
        <v>765</v>
      </c>
      <c r="AK24" s="250" t="s">
        <v>765</v>
      </c>
      <c r="AL24" s="250" t="s">
        <v>765</v>
      </c>
      <c r="AM24" s="250" t="s">
        <v>765</v>
      </c>
      <c r="AN24" s="250" t="s">
        <v>525</v>
      </c>
      <c r="AO24" s="250" t="s">
        <v>525</v>
      </c>
      <c r="AP24" s="250" t="s">
        <v>525</v>
      </c>
      <c r="AQ24" s="250" t="s">
        <v>525</v>
      </c>
      <c r="AR24" s="250" t="s">
        <v>525</v>
      </c>
      <c r="AS24" s="250" t="s">
        <v>525</v>
      </c>
      <c r="AT24" s="250" t="s">
        <v>525</v>
      </c>
      <c r="AU24" s="250" t="s">
        <v>525</v>
      </c>
      <c r="AV24" s="250" t="s">
        <v>525</v>
      </c>
      <c r="AW24" s="250" t="s">
        <v>525</v>
      </c>
      <c r="AX24" s="250" t="s">
        <v>525</v>
      </c>
      <c r="AY24" s="250" t="s">
        <v>525</v>
      </c>
      <c r="AZ24" s="250" t="s">
        <v>525</v>
      </c>
      <c r="BA24" s="250" t="s">
        <v>525</v>
      </c>
      <c r="BB24" s="250" t="s">
        <v>525</v>
      </c>
      <c r="BC24" s="250" t="s">
        <v>525</v>
      </c>
      <c r="BD24" s="250" t="s">
        <v>525</v>
      </c>
      <c r="BE24" s="250" t="s">
        <v>525</v>
      </c>
      <c r="BF24" s="250" t="s">
        <v>525</v>
      </c>
      <c r="BG24" s="250" t="s">
        <v>525</v>
      </c>
      <c r="BH24" s="250" t="s">
        <v>525</v>
      </c>
      <c r="BI24" s="250" t="s">
        <v>525</v>
      </c>
      <c r="BJ24" s="250" t="s">
        <v>525</v>
      </c>
      <c r="BK24" s="250" t="s">
        <v>525</v>
      </c>
      <c r="BL24" s="250" t="s">
        <v>525</v>
      </c>
      <c r="BM24" s="250" t="s">
        <v>525</v>
      </c>
      <c r="BN24" s="250" t="s">
        <v>525</v>
      </c>
      <c r="BO24" s="250" t="s">
        <v>525</v>
      </c>
      <c r="BP24" s="250" t="s">
        <v>525</v>
      </c>
      <c r="BQ24" s="250" t="s">
        <v>525</v>
      </c>
      <c r="BR24" s="250" t="s">
        <v>525</v>
      </c>
      <c r="BS24" s="250" t="s">
        <v>525</v>
      </c>
      <c r="BT24" s="250" t="s">
        <v>525</v>
      </c>
      <c r="BU24" s="250" t="s">
        <v>525</v>
      </c>
      <c r="BV24" s="250" t="s">
        <v>525</v>
      </c>
      <c r="BW24" s="250" t="s">
        <v>525</v>
      </c>
      <c r="BX24" s="250" t="s">
        <v>525</v>
      </c>
      <c r="BY24" s="250" t="s">
        <v>525</v>
      </c>
      <c r="BZ24" s="250" t="s">
        <v>525</v>
      </c>
      <c r="CA24" s="250" t="s">
        <v>525</v>
      </c>
      <c r="CB24" s="250" t="s">
        <v>525</v>
      </c>
      <c r="CC24" s="250" t="s">
        <v>525</v>
      </c>
      <c r="CD24" s="250" t="s">
        <v>525</v>
      </c>
      <c r="CE24" s="250" t="s">
        <v>525</v>
      </c>
      <c r="CF24" s="250" t="s">
        <v>525</v>
      </c>
      <c r="CG24" s="250" t="s">
        <v>525</v>
      </c>
      <c r="CH24" s="250" t="s">
        <v>525</v>
      </c>
      <c r="CI24" s="250" t="s">
        <v>1607</v>
      </c>
      <c r="CJ24" s="250" t="s">
        <v>1608</v>
      </c>
      <c r="CK24" s="250" t="s">
        <v>1609</v>
      </c>
      <c r="CL24" s="250" t="s">
        <v>1610</v>
      </c>
      <c r="CM24" s="250" t="s">
        <v>1610</v>
      </c>
      <c r="CN24" s="250" t="s">
        <v>1610</v>
      </c>
      <c r="CO24" s="250" t="s">
        <v>1610</v>
      </c>
      <c r="CP24" s="250" t="s">
        <v>765</v>
      </c>
      <c r="CQ24" s="250" t="s">
        <v>1611</v>
      </c>
      <c r="CR24" s="250" t="s">
        <v>525</v>
      </c>
      <c r="CS24" s="250" t="s">
        <v>525</v>
      </c>
      <c r="CT24" s="250" t="s">
        <v>525</v>
      </c>
      <c r="CU24" s="250" t="s">
        <v>525</v>
      </c>
      <c r="CV24" s="250" t="s">
        <v>525</v>
      </c>
      <c r="CW24" s="250" t="s">
        <v>525</v>
      </c>
      <c r="CX24" s="250" t="s">
        <v>525</v>
      </c>
      <c r="CY24" s="250" t="s">
        <v>525</v>
      </c>
      <c r="CZ24" s="250" t="s">
        <v>525</v>
      </c>
      <c r="DA24" s="250" t="s">
        <v>525</v>
      </c>
      <c r="DB24" s="250" t="s">
        <v>525</v>
      </c>
      <c r="DC24" s="250" t="s">
        <v>525</v>
      </c>
      <c r="DD24" s="250" t="s">
        <v>525</v>
      </c>
      <c r="DE24" s="250" t="s">
        <v>525</v>
      </c>
      <c r="DF24" s="250" t="s">
        <v>525</v>
      </c>
      <c r="DG24" s="250" t="s">
        <v>525</v>
      </c>
      <c r="DH24" s="250" t="s">
        <v>525</v>
      </c>
      <c r="DI24" s="250" t="s">
        <v>525</v>
      </c>
      <c r="DJ24" s="250" t="s">
        <v>525</v>
      </c>
      <c r="DK24" s="250" t="s">
        <v>525</v>
      </c>
      <c r="DL24" s="250" t="s">
        <v>525</v>
      </c>
      <c r="DM24" s="250" t="s">
        <v>525</v>
      </c>
      <c r="DN24" s="250" t="s">
        <v>525</v>
      </c>
      <c r="DO24" s="250" t="s">
        <v>525</v>
      </c>
      <c r="DP24" s="250" t="s">
        <v>525</v>
      </c>
      <c r="DQ24" s="250" t="s">
        <v>525</v>
      </c>
      <c r="DR24" s="250" t="s">
        <v>525</v>
      </c>
      <c r="DS24" s="250" t="s">
        <v>525</v>
      </c>
      <c r="DT24" s="250" t="s">
        <v>525</v>
      </c>
      <c r="DU24" s="250" t="s">
        <v>525</v>
      </c>
      <c r="DV24" s="250" t="s">
        <v>525</v>
      </c>
      <c r="DW24" s="250" t="s">
        <v>525</v>
      </c>
      <c r="DX24" s="250" t="s">
        <v>525</v>
      </c>
      <c r="DY24" s="250" t="s">
        <v>525</v>
      </c>
      <c r="DZ24" s="250" t="s">
        <v>525</v>
      </c>
      <c r="EA24" s="250" t="s">
        <v>525</v>
      </c>
      <c r="EB24" s="250" t="s">
        <v>525</v>
      </c>
      <c r="EC24" s="250" t="s">
        <v>525</v>
      </c>
      <c r="ED24" s="250" t="s">
        <v>525</v>
      </c>
      <c r="EE24" s="250" t="s">
        <v>525</v>
      </c>
      <c r="EF24" s="250" t="s">
        <v>525</v>
      </c>
      <c r="EG24" s="250" t="s">
        <v>525</v>
      </c>
      <c r="EH24" s="250" t="s">
        <v>525</v>
      </c>
      <c r="EI24" s="250" t="s">
        <v>525</v>
      </c>
      <c r="EJ24" s="250" t="s">
        <v>525</v>
      </c>
      <c r="EK24" s="250" t="s">
        <v>525</v>
      </c>
      <c r="EL24" s="250" t="s">
        <v>525</v>
      </c>
      <c r="EM24" s="250" t="s">
        <v>525</v>
      </c>
      <c r="EN24" s="250" t="s">
        <v>525</v>
      </c>
      <c r="EO24" s="250" t="s">
        <v>525</v>
      </c>
      <c r="EP24" s="250" t="s">
        <v>525</v>
      </c>
      <c r="EQ24" s="250" t="s">
        <v>525</v>
      </c>
      <c r="ER24" s="250" t="s">
        <v>525</v>
      </c>
      <c r="ES24" s="250" t="s">
        <v>525</v>
      </c>
      <c r="ET24" s="250" t="s">
        <v>525</v>
      </c>
      <c r="EU24" s="250" t="s">
        <v>525</v>
      </c>
      <c r="EV24" s="250" t="s">
        <v>525</v>
      </c>
      <c r="EW24" s="250" t="s">
        <v>525</v>
      </c>
      <c r="EX24" s="250" t="s">
        <v>525</v>
      </c>
      <c r="EY24" s="250" t="s">
        <v>525</v>
      </c>
      <c r="EZ24" s="250" t="s">
        <v>525</v>
      </c>
      <c r="FA24" s="250" t="s">
        <v>525</v>
      </c>
      <c r="FB24" s="250" t="s">
        <v>525</v>
      </c>
      <c r="FC24" s="250" t="s">
        <v>525</v>
      </c>
      <c r="FD24" s="250" t="s">
        <v>525</v>
      </c>
      <c r="FE24" s="250" t="s">
        <v>525</v>
      </c>
      <c r="FF24" s="250" t="s">
        <v>525</v>
      </c>
      <c r="FG24" s="250" t="s">
        <v>525</v>
      </c>
      <c r="FH24" s="250" t="s">
        <v>525</v>
      </c>
      <c r="FI24" s="250" t="s">
        <v>525</v>
      </c>
      <c r="FJ24" s="250" t="s">
        <v>525</v>
      </c>
      <c r="FK24" s="250" t="s">
        <v>525</v>
      </c>
      <c r="FL24" s="250" t="s">
        <v>525</v>
      </c>
      <c r="FM24" s="250" t="s">
        <v>525</v>
      </c>
      <c r="FN24" s="250" t="s">
        <v>525</v>
      </c>
      <c r="FO24" s="250" t="s">
        <v>525</v>
      </c>
      <c r="FP24" s="250" t="s">
        <v>525</v>
      </c>
      <c r="FQ24" s="250" t="s">
        <v>525</v>
      </c>
      <c r="FR24" s="250" t="s">
        <v>525</v>
      </c>
      <c r="FS24" s="250" t="s">
        <v>525</v>
      </c>
      <c r="FT24" s="250" t="s">
        <v>525</v>
      </c>
      <c r="FU24" s="250" t="s">
        <v>525</v>
      </c>
      <c r="FV24" s="250" t="s">
        <v>525</v>
      </c>
      <c r="FW24" s="250" t="s">
        <v>525</v>
      </c>
      <c r="FX24" s="250" t="s">
        <v>525</v>
      </c>
      <c r="FY24" s="250" t="s">
        <v>525</v>
      </c>
      <c r="FZ24" s="250" t="s">
        <v>525</v>
      </c>
      <c r="GA24" s="250" t="s">
        <v>525</v>
      </c>
      <c r="GB24" s="250" t="s">
        <v>525</v>
      </c>
      <c r="GC24" s="250" t="s">
        <v>525</v>
      </c>
      <c r="GD24" s="250" t="s">
        <v>525</v>
      </c>
      <c r="GE24" s="250" t="s">
        <v>525</v>
      </c>
      <c r="GF24" s="250" t="s">
        <v>525</v>
      </c>
      <c r="GG24" s="250" t="s">
        <v>525</v>
      </c>
      <c r="GH24" s="250" t="s">
        <v>525</v>
      </c>
      <c r="GI24" s="250" t="s">
        <v>525</v>
      </c>
      <c r="GJ24" s="250" t="s">
        <v>525</v>
      </c>
      <c r="GK24" s="250" t="s">
        <v>525</v>
      </c>
      <c r="GL24" s="250" t="s">
        <v>525</v>
      </c>
      <c r="GM24" s="250" t="s">
        <v>525</v>
      </c>
      <c r="GN24" s="250" t="s">
        <v>525</v>
      </c>
      <c r="GO24" s="250" t="s">
        <v>525</v>
      </c>
      <c r="GP24" s="250" t="s">
        <v>525</v>
      </c>
      <c r="GQ24" s="250" t="s">
        <v>525</v>
      </c>
      <c r="GR24" s="250" t="s">
        <v>525</v>
      </c>
      <c r="GS24" s="250" t="s">
        <v>525</v>
      </c>
      <c r="GT24" s="250" t="s">
        <v>525</v>
      </c>
      <c r="GU24" s="250" t="s">
        <v>525</v>
      </c>
      <c r="GV24" s="250" t="s">
        <v>525</v>
      </c>
      <c r="GW24" s="250" t="s">
        <v>525</v>
      </c>
      <c r="GX24" s="250" t="s">
        <v>525</v>
      </c>
      <c r="GY24" s="250" t="s">
        <v>525</v>
      </c>
      <c r="GZ24" s="250" t="s">
        <v>525</v>
      </c>
      <c r="HA24" s="250" t="s">
        <v>525</v>
      </c>
      <c r="HB24" s="250" t="s">
        <v>525</v>
      </c>
      <c r="HC24" s="250" t="s">
        <v>525</v>
      </c>
      <c r="HD24" s="250" t="s">
        <v>525</v>
      </c>
      <c r="HE24" s="250" t="s">
        <v>525</v>
      </c>
      <c r="HF24" s="250" t="s">
        <v>525</v>
      </c>
      <c r="HG24" s="250" t="s">
        <v>525</v>
      </c>
      <c r="HH24" s="250" t="s">
        <v>525</v>
      </c>
      <c r="HI24" s="250" t="s">
        <v>525</v>
      </c>
      <c r="HJ24" s="250" t="s">
        <v>525</v>
      </c>
      <c r="HK24" s="250" t="s">
        <v>525</v>
      </c>
      <c r="HL24" s="250" t="s">
        <v>525</v>
      </c>
      <c r="HM24" s="250" t="s">
        <v>525</v>
      </c>
      <c r="HN24" s="250" t="s">
        <v>525</v>
      </c>
      <c r="HO24" s="250" t="s">
        <v>525</v>
      </c>
      <c r="HP24" s="250" t="s">
        <v>525</v>
      </c>
      <c r="HQ24" s="250" t="s">
        <v>525</v>
      </c>
      <c r="HR24" s="250" t="s">
        <v>525</v>
      </c>
      <c r="HS24" s="250" t="s">
        <v>525</v>
      </c>
      <c r="HT24" s="250" t="s">
        <v>525</v>
      </c>
      <c r="HU24" s="250" t="s">
        <v>525</v>
      </c>
      <c r="HV24" s="250" t="s">
        <v>525</v>
      </c>
      <c r="HW24" s="250" t="s">
        <v>525</v>
      </c>
      <c r="HX24" s="250" t="s">
        <v>525</v>
      </c>
      <c r="HY24" s="250" t="s">
        <v>525</v>
      </c>
    </row>
    <row r="25" spans="1:233" ht="11.25" customHeight="1">
      <c r="A25" s="297"/>
      <c r="B25" s="301">
        <v>501</v>
      </c>
      <c r="C25" s="173" t="s">
        <v>553</v>
      </c>
      <c r="D25" s="109"/>
      <c r="E25" s="109"/>
      <c r="F25" s="109"/>
      <c r="G25" s="109"/>
      <c r="H25" s="109"/>
      <c r="I25" s="109"/>
      <c r="J25" s="109"/>
      <c r="K25" s="109"/>
      <c r="L25" s="109"/>
      <c r="M25" s="109"/>
      <c r="N25" s="109"/>
      <c r="O25" s="109">
        <v>0</v>
      </c>
      <c r="P25" s="109">
        <v>0</v>
      </c>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v>0</v>
      </c>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109"/>
      <c r="DZ25" s="109"/>
      <c r="EA25" s="109"/>
      <c r="EB25" s="109"/>
      <c r="EC25" s="109"/>
      <c r="ED25" s="109"/>
      <c r="EE25" s="109"/>
      <c r="EF25" s="109"/>
      <c r="EG25" s="109"/>
      <c r="EH25" s="109"/>
      <c r="EI25" s="109"/>
      <c r="EJ25" s="109"/>
      <c r="EK25" s="109"/>
      <c r="EL25" s="109"/>
      <c r="EM25" s="109"/>
      <c r="EN25" s="109"/>
      <c r="EO25" s="109"/>
      <c r="EP25" s="109"/>
      <c r="EQ25" s="109"/>
      <c r="ER25" s="109"/>
      <c r="ES25" s="109"/>
      <c r="ET25" s="109"/>
      <c r="EU25" s="109"/>
      <c r="EV25" s="109"/>
      <c r="EW25" s="109"/>
      <c r="EX25" s="109"/>
      <c r="EY25" s="109"/>
      <c r="EZ25" s="109"/>
      <c r="FA25" s="109"/>
      <c r="FB25" s="109"/>
      <c r="FC25" s="109"/>
      <c r="FD25" s="109"/>
      <c r="FE25" s="109"/>
      <c r="FF25" s="109"/>
      <c r="FG25" s="109"/>
      <c r="FH25" s="109"/>
      <c r="FI25" s="109"/>
      <c r="FJ25" s="109"/>
      <c r="FK25" s="109"/>
      <c r="FL25" s="109"/>
      <c r="FM25" s="109"/>
      <c r="FN25" s="109"/>
      <c r="FO25" s="109"/>
      <c r="FP25" s="109"/>
      <c r="FQ25" s="109"/>
      <c r="FR25" s="109"/>
      <c r="FS25" s="109"/>
      <c r="FT25" s="109"/>
      <c r="FU25" s="109"/>
      <c r="FV25" s="109"/>
      <c r="FW25" s="109"/>
      <c r="FX25" s="109"/>
      <c r="FY25" s="109"/>
      <c r="FZ25" s="109"/>
      <c r="GA25" s="109"/>
      <c r="GB25" s="109"/>
      <c r="GC25" s="109"/>
      <c r="GD25" s="109"/>
      <c r="GE25" s="109"/>
      <c r="GF25" s="109"/>
      <c r="GG25" s="109"/>
      <c r="GH25" s="109"/>
      <c r="GI25" s="109"/>
      <c r="GJ25" s="109"/>
      <c r="GK25" s="109"/>
      <c r="GL25" s="109"/>
      <c r="GM25" s="109"/>
      <c r="GN25" s="109"/>
      <c r="GO25" s="109"/>
      <c r="GP25" s="109"/>
      <c r="GQ25" s="109"/>
      <c r="GR25" s="109"/>
      <c r="GS25" s="109"/>
      <c r="GT25" s="109"/>
      <c r="GU25" s="109"/>
      <c r="GV25" s="109"/>
      <c r="GW25" s="109"/>
      <c r="GX25" s="109"/>
      <c r="GY25" s="109"/>
      <c r="GZ25" s="109"/>
      <c r="HA25" s="109"/>
      <c r="HB25" s="109"/>
      <c r="HC25" s="109"/>
      <c r="HD25" s="109"/>
      <c r="HE25" s="109"/>
      <c r="HF25" s="109"/>
      <c r="HG25" s="109"/>
      <c r="HH25" s="109"/>
      <c r="HI25" s="109"/>
      <c r="HJ25" s="109"/>
      <c r="HK25" s="109"/>
      <c r="HL25" s="109"/>
      <c r="HM25" s="109"/>
      <c r="HN25" s="109"/>
      <c r="HO25" s="109"/>
      <c r="HP25" s="109"/>
      <c r="HQ25" s="109"/>
      <c r="HR25" s="109"/>
      <c r="HS25" s="109"/>
      <c r="HT25" s="109"/>
      <c r="HU25" s="109"/>
      <c r="HV25" s="109"/>
      <c r="HW25" s="109"/>
      <c r="HX25" s="109"/>
      <c r="HY25" s="109"/>
    </row>
    <row r="26" spans="1:233" ht="9.75" customHeight="1">
      <c r="A26" s="297"/>
      <c r="B26" s="301">
        <v>502</v>
      </c>
      <c r="C26" s="173" t="s">
        <v>554</v>
      </c>
      <c r="D26" s="250" t="s">
        <v>1612</v>
      </c>
      <c r="E26" s="250" t="s">
        <v>1612</v>
      </c>
      <c r="F26" s="250" t="s">
        <v>1612</v>
      </c>
      <c r="G26" s="250" t="s">
        <v>1612</v>
      </c>
      <c r="H26" s="250" t="s">
        <v>1612</v>
      </c>
      <c r="I26" s="250" t="s">
        <v>1612</v>
      </c>
      <c r="J26" s="250" t="s">
        <v>1612</v>
      </c>
      <c r="K26" s="250" t="s">
        <v>1612</v>
      </c>
      <c r="L26" s="250" t="s">
        <v>1612</v>
      </c>
      <c r="M26" s="250" t="s">
        <v>1612</v>
      </c>
      <c r="N26" s="250" t="s">
        <v>1612</v>
      </c>
      <c r="O26" s="250" t="s">
        <v>1612</v>
      </c>
      <c r="P26" s="250" t="s">
        <v>1612</v>
      </c>
      <c r="Q26" s="250" t="s">
        <v>1612</v>
      </c>
      <c r="R26" s="250" t="s">
        <v>1612</v>
      </c>
      <c r="S26" s="250" t="s">
        <v>1612</v>
      </c>
      <c r="T26" s="250" t="s">
        <v>1612</v>
      </c>
      <c r="U26" s="250" t="s">
        <v>1612</v>
      </c>
      <c r="V26" s="250" t="s">
        <v>1612</v>
      </c>
      <c r="W26" s="250" t="s">
        <v>1612</v>
      </c>
      <c r="X26" s="250" t="s">
        <v>1612</v>
      </c>
      <c r="Y26" s="250" t="s">
        <v>1612</v>
      </c>
      <c r="Z26" s="250" t="s">
        <v>1612</v>
      </c>
      <c r="AA26" s="250" t="s">
        <v>1612</v>
      </c>
      <c r="AB26" s="250" t="s">
        <v>1612</v>
      </c>
      <c r="AC26" s="250" t="s">
        <v>1613</v>
      </c>
      <c r="AD26" s="250" t="s">
        <v>1613</v>
      </c>
      <c r="AE26" s="250" t="s">
        <v>1612</v>
      </c>
      <c r="AF26" s="250" t="s">
        <v>1612</v>
      </c>
      <c r="AG26" s="250" t="s">
        <v>1612</v>
      </c>
      <c r="AH26" s="250" t="s">
        <v>1612</v>
      </c>
      <c r="AI26" s="250" t="s">
        <v>1612</v>
      </c>
      <c r="AJ26" s="250" t="s">
        <v>1612</v>
      </c>
      <c r="AK26" s="250" t="s">
        <v>1612</v>
      </c>
      <c r="AL26" s="250" t="s">
        <v>1612</v>
      </c>
      <c r="AM26" s="250" t="s">
        <v>1612</v>
      </c>
      <c r="AN26" s="250" t="s">
        <v>525</v>
      </c>
      <c r="AO26" s="250" t="s">
        <v>525</v>
      </c>
      <c r="AP26" s="250" t="s">
        <v>525</v>
      </c>
      <c r="AQ26" s="250" t="s">
        <v>525</v>
      </c>
      <c r="AR26" s="250" t="s">
        <v>525</v>
      </c>
      <c r="AS26" s="250" t="s">
        <v>525</v>
      </c>
      <c r="AT26" s="250" t="s">
        <v>525</v>
      </c>
      <c r="AU26" s="250" t="s">
        <v>525</v>
      </c>
      <c r="AV26" s="250" t="s">
        <v>525</v>
      </c>
      <c r="AW26" s="250" t="s">
        <v>525</v>
      </c>
      <c r="AX26" s="250" t="s">
        <v>525</v>
      </c>
      <c r="AY26" s="250" t="s">
        <v>525</v>
      </c>
      <c r="AZ26" s="250" t="s">
        <v>525</v>
      </c>
      <c r="BA26" s="250" t="s">
        <v>525</v>
      </c>
      <c r="BB26" s="250" t="s">
        <v>525</v>
      </c>
      <c r="BC26" s="250" t="s">
        <v>525</v>
      </c>
      <c r="BD26" s="250" t="s">
        <v>525</v>
      </c>
      <c r="BE26" s="250" t="s">
        <v>525</v>
      </c>
      <c r="BF26" s="250" t="s">
        <v>525</v>
      </c>
      <c r="BG26" s="250" t="s">
        <v>525</v>
      </c>
      <c r="BH26" s="250" t="s">
        <v>525</v>
      </c>
      <c r="BI26" s="250" t="s">
        <v>525</v>
      </c>
      <c r="BJ26" s="250" t="s">
        <v>525</v>
      </c>
      <c r="BK26" s="250" t="s">
        <v>525</v>
      </c>
      <c r="BL26" s="250" t="s">
        <v>525</v>
      </c>
      <c r="BM26" s="250" t="s">
        <v>525</v>
      </c>
      <c r="BN26" s="250" t="s">
        <v>525</v>
      </c>
      <c r="BO26" s="250" t="s">
        <v>525</v>
      </c>
      <c r="BP26" s="250" t="s">
        <v>525</v>
      </c>
      <c r="BQ26" s="250" t="s">
        <v>525</v>
      </c>
      <c r="BR26" s="250" t="s">
        <v>525</v>
      </c>
      <c r="BS26" s="250" t="s">
        <v>525</v>
      </c>
      <c r="BT26" s="250" t="s">
        <v>525</v>
      </c>
      <c r="BU26" s="250" t="s">
        <v>525</v>
      </c>
      <c r="BV26" s="250" t="s">
        <v>525</v>
      </c>
      <c r="BW26" s="250" t="s">
        <v>525</v>
      </c>
      <c r="BX26" s="250" t="s">
        <v>525</v>
      </c>
      <c r="BY26" s="250" t="s">
        <v>525</v>
      </c>
      <c r="BZ26" s="250" t="s">
        <v>525</v>
      </c>
      <c r="CA26" s="250" t="s">
        <v>525</v>
      </c>
      <c r="CB26" s="250" t="s">
        <v>525</v>
      </c>
      <c r="CC26" s="250" t="s">
        <v>525</v>
      </c>
      <c r="CD26" s="250" t="s">
        <v>525</v>
      </c>
      <c r="CE26" s="250" t="s">
        <v>525</v>
      </c>
      <c r="CF26" s="250" t="s">
        <v>525</v>
      </c>
      <c r="CG26" s="250" t="s">
        <v>525</v>
      </c>
      <c r="CH26" s="250" t="s">
        <v>525</v>
      </c>
      <c r="CI26" s="250" t="s">
        <v>1614</v>
      </c>
      <c r="CJ26" s="250" t="s">
        <v>1615</v>
      </c>
      <c r="CK26" s="250" t="s">
        <v>1616</v>
      </c>
      <c r="CL26" s="250" t="s">
        <v>1617</v>
      </c>
      <c r="CM26" s="250" t="s">
        <v>1618</v>
      </c>
      <c r="CN26" s="250" t="s">
        <v>1618</v>
      </c>
      <c r="CO26" s="250" t="s">
        <v>1618</v>
      </c>
      <c r="CP26" s="250" t="s">
        <v>1619</v>
      </c>
      <c r="CQ26" s="250" t="s">
        <v>1620</v>
      </c>
      <c r="CR26" s="250" t="s">
        <v>525</v>
      </c>
      <c r="CS26" s="250" t="s">
        <v>525</v>
      </c>
      <c r="CT26" s="250" t="s">
        <v>525</v>
      </c>
      <c r="CU26" s="250" t="s">
        <v>525</v>
      </c>
      <c r="CV26" s="250" t="s">
        <v>525</v>
      </c>
      <c r="CW26" s="250" t="s">
        <v>525</v>
      </c>
      <c r="CX26" s="250" t="s">
        <v>525</v>
      </c>
      <c r="CY26" s="250" t="s">
        <v>525</v>
      </c>
      <c r="CZ26" s="250" t="s">
        <v>525</v>
      </c>
      <c r="DA26" s="250" t="s">
        <v>525</v>
      </c>
      <c r="DB26" s="250" t="s">
        <v>525</v>
      </c>
      <c r="DC26" s="250" t="s">
        <v>525</v>
      </c>
      <c r="DD26" s="250" t="s">
        <v>525</v>
      </c>
      <c r="DE26" s="250" t="s">
        <v>525</v>
      </c>
      <c r="DF26" s="250" t="s">
        <v>525</v>
      </c>
      <c r="DG26" s="250" t="s">
        <v>525</v>
      </c>
      <c r="DH26" s="250" t="s">
        <v>525</v>
      </c>
      <c r="DI26" s="250" t="s">
        <v>525</v>
      </c>
      <c r="DJ26" s="250" t="s">
        <v>525</v>
      </c>
      <c r="DK26" s="250" t="s">
        <v>525</v>
      </c>
      <c r="DL26" s="250" t="s">
        <v>525</v>
      </c>
      <c r="DM26" s="250" t="s">
        <v>525</v>
      </c>
      <c r="DN26" s="250" t="s">
        <v>525</v>
      </c>
      <c r="DO26" s="250" t="s">
        <v>525</v>
      </c>
      <c r="DP26" s="250" t="s">
        <v>525</v>
      </c>
      <c r="DQ26" s="250" t="s">
        <v>525</v>
      </c>
      <c r="DR26" s="250" t="s">
        <v>525</v>
      </c>
      <c r="DS26" s="250" t="s">
        <v>525</v>
      </c>
      <c r="DT26" s="250" t="s">
        <v>525</v>
      </c>
      <c r="DU26" s="250" t="s">
        <v>525</v>
      </c>
      <c r="DV26" s="250" t="s">
        <v>525</v>
      </c>
      <c r="DW26" s="250" t="s">
        <v>525</v>
      </c>
      <c r="DX26" s="250" t="s">
        <v>525</v>
      </c>
      <c r="DY26" s="250" t="s">
        <v>525</v>
      </c>
      <c r="DZ26" s="250" t="s">
        <v>525</v>
      </c>
      <c r="EA26" s="250" t="s">
        <v>525</v>
      </c>
      <c r="EB26" s="250" t="s">
        <v>525</v>
      </c>
      <c r="EC26" s="250" t="s">
        <v>525</v>
      </c>
      <c r="ED26" s="250" t="s">
        <v>525</v>
      </c>
      <c r="EE26" s="250" t="s">
        <v>525</v>
      </c>
      <c r="EF26" s="250" t="s">
        <v>525</v>
      </c>
      <c r="EG26" s="250" t="s">
        <v>525</v>
      </c>
      <c r="EH26" s="250" t="s">
        <v>525</v>
      </c>
      <c r="EI26" s="250" t="s">
        <v>525</v>
      </c>
      <c r="EJ26" s="250" t="s">
        <v>525</v>
      </c>
      <c r="EK26" s="250" t="s">
        <v>525</v>
      </c>
      <c r="EL26" s="250" t="s">
        <v>525</v>
      </c>
      <c r="EM26" s="250" t="s">
        <v>525</v>
      </c>
      <c r="EN26" s="250" t="s">
        <v>525</v>
      </c>
      <c r="EO26" s="250" t="s">
        <v>525</v>
      </c>
      <c r="EP26" s="250" t="s">
        <v>525</v>
      </c>
      <c r="EQ26" s="250" t="s">
        <v>525</v>
      </c>
      <c r="ER26" s="250" t="s">
        <v>525</v>
      </c>
      <c r="ES26" s="250" t="s">
        <v>525</v>
      </c>
      <c r="ET26" s="250" t="s">
        <v>525</v>
      </c>
      <c r="EU26" s="250" t="s">
        <v>525</v>
      </c>
      <c r="EV26" s="250" t="s">
        <v>525</v>
      </c>
      <c r="EW26" s="250" t="s">
        <v>525</v>
      </c>
      <c r="EX26" s="250" t="s">
        <v>525</v>
      </c>
      <c r="EY26" s="250" t="s">
        <v>525</v>
      </c>
      <c r="EZ26" s="250" t="s">
        <v>525</v>
      </c>
      <c r="FA26" s="250" t="s">
        <v>525</v>
      </c>
      <c r="FB26" s="250" t="s">
        <v>525</v>
      </c>
      <c r="FC26" s="250" t="s">
        <v>525</v>
      </c>
      <c r="FD26" s="250" t="s">
        <v>525</v>
      </c>
      <c r="FE26" s="250" t="s">
        <v>525</v>
      </c>
      <c r="FF26" s="250" t="s">
        <v>525</v>
      </c>
      <c r="FG26" s="250" t="s">
        <v>525</v>
      </c>
      <c r="FH26" s="250" t="s">
        <v>525</v>
      </c>
      <c r="FI26" s="250" t="s">
        <v>525</v>
      </c>
      <c r="FJ26" s="250" t="s">
        <v>525</v>
      </c>
      <c r="FK26" s="250" t="s">
        <v>525</v>
      </c>
      <c r="FL26" s="250" t="s">
        <v>525</v>
      </c>
      <c r="FM26" s="250" t="s">
        <v>525</v>
      </c>
      <c r="FN26" s="250" t="s">
        <v>525</v>
      </c>
      <c r="FO26" s="250" t="s">
        <v>525</v>
      </c>
      <c r="FP26" s="250" t="s">
        <v>525</v>
      </c>
      <c r="FQ26" s="250" t="s">
        <v>525</v>
      </c>
      <c r="FR26" s="250" t="s">
        <v>525</v>
      </c>
      <c r="FS26" s="250" t="s">
        <v>525</v>
      </c>
      <c r="FT26" s="250" t="s">
        <v>525</v>
      </c>
      <c r="FU26" s="250" t="s">
        <v>525</v>
      </c>
      <c r="FV26" s="250" t="s">
        <v>525</v>
      </c>
      <c r="FW26" s="250" t="s">
        <v>525</v>
      </c>
      <c r="FX26" s="250" t="s">
        <v>525</v>
      </c>
      <c r="FY26" s="250" t="s">
        <v>525</v>
      </c>
      <c r="FZ26" s="250" t="s">
        <v>525</v>
      </c>
      <c r="GA26" s="250" t="s">
        <v>525</v>
      </c>
      <c r="GB26" s="250" t="s">
        <v>525</v>
      </c>
      <c r="GC26" s="250" t="s">
        <v>525</v>
      </c>
      <c r="GD26" s="250" t="s">
        <v>525</v>
      </c>
      <c r="GE26" s="250" t="s">
        <v>525</v>
      </c>
      <c r="GF26" s="250" t="s">
        <v>525</v>
      </c>
      <c r="GG26" s="250" t="s">
        <v>525</v>
      </c>
      <c r="GH26" s="250" t="s">
        <v>525</v>
      </c>
      <c r="GI26" s="250" t="s">
        <v>525</v>
      </c>
      <c r="GJ26" s="250" t="s">
        <v>525</v>
      </c>
      <c r="GK26" s="250" t="s">
        <v>525</v>
      </c>
      <c r="GL26" s="250" t="s">
        <v>525</v>
      </c>
      <c r="GM26" s="250" t="s">
        <v>525</v>
      </c>
      <c r="GN26" s="250" t="s">
        <v>525</v>
      </c>
      <c r="GO26" s="250" t="s">
        <v>525</v>
      </c>
      <c r="GP26" s="250" t="s">
        <v>525</v>
      </c>
      <c r="GQ26" s="250" t="s">
        <v>525</v>
      </c>
      <c r="GR26" s="250" t="s">
        <v>525</v>
      </c>
      <c r="GS26" s="250" t="s">
        <v>525</v>
      </c>
      <c r="GT26" s="250" t="s">
        <v>525</v>
      </c>
      <c r="GU26" s="250" t="s">
        <v>525</v>
      </c>
      <c r="GV26" s="250" t="s">
        <v>525</v>
      </c>
      <c r="GW26" s="250" t="s">
        <v>525</v>
      </c>
      <c r="GX26" s="250" t="s">
        <v>525</v>
      </c>
      <c r="GY26" s="250" t="s">
        <v>525</v>
      </c>
      <c r="GZ26" s="250" t="s">
        <v>525</v>
      </c>
      <c r="HA26" s="250" t="s">
        <v>525</v>
      </c>
      <c r="HB26" s="250" t="s">
        <v>525</v>
      </c>
      <c r="HC26" s="250" t="s">
        <v>525</v>
      </c>
      <c r="HD26" s="250" t="s">
        <v>525</v>
      </c>
      <c r="HE26" s="250" t="s">
        <v>525</v>
      </c>
      <c r="HF26" s="250" t="s">
        <v>525</v>
      </c>
      <c r="HG26" s="250" t="s">
        <v>525</v>
      </c>
      <c r="HH26" s="250" t="s">
        <v>525</v>
      </c>
      <c r="HI26" s="250" t="s">
        <v>525</v>
      </c>
      <c r="HJ26" s="250" t="s">
        <v>525</v>
      </c>
      <c r="HK26" s="250" t="s">
        <v>525</v>
      </c>
      <c r="HL26" s="250" t="s">
        <v>525</v>
      </c>
      <c r="HM26" s="250" t="s">
        <v>525</v>
      </c>
      <c r="HN26" s="250" t="s">
        <v>525</v>
      </c>
      <c r="HO26" s="250" t="s">
        <v>525</v>
      </c>
      <c r="HP26" s="250" t="s">
        <v>525</v>
      </c>
      <c r="HQ26" s="250" t="s">
        <v>525</v>
      </c>
      <c r="HR26" s="250" t="s">
        <v>525</v>
      </c>
      <c r="HS26" s="250" t="s">
        <v>525</v>
      </c>
      <c r="HT26" s="250" t="s">
        <v>525</v>
      </c>
      <c r="HU26" s="250" t="s">
        <v>525</v>
      </c>
      <c r="HV26" s="250" t="s">
        <v>525</v>
      </c>
      <c r="HW26" s="250" t="s">
        <v>525</v>
      </c>
      <c r="HX26" s="250" t="s">
        <v>525</v>
      </c>
      <c r="HY26" s="250" t="s">
        <v>525</v>
      </c>
    </row>
    <row r="27" spans="1:233">
      <c r="A27" s="297" t="s">
        <v>555</v>
      </c>
      <c r="B27" s="301">
        <v>601</v>
      </c>
      <c r="C27" s="173" t="s">
        <v>556</v>
      </c>
      <c r="D27" s="109">
        <v>1990</v>
      </c>
      <c r="E27" s="109">
        <v>1990</v>
      </c>
      <c r="F27" s="109">
        <v>1990</v>
      </c>
      <c r="G27" s="109">
        <v>1990</v>
      </c>
      <c r="H27" s="109">
        <v>2000</v>
      </c>
      <c r="I27" s="109">
        <v>2000</v>
      </c>
      <c r="J27" s="109">
        <v>2000</v>
      </c>
      <c r="K27" s="109">
        <v>2000</v>
      </c>
      <c r="L27" s="109">
        <v>2000</v>
      </c>
      <c r="M27" s="109">
        <v>2000</v>
      </c>
      <c r="N27" s="109">
        <v>2000</v>
      </c>
      <c r="O27" s="109">
        <v>2000</v>
      </c>
      <c r="P27" s="109">
        <v>2000</v>
      </c>
      <c r="Q27" s="109">
        <v>1998</v>
      </c>
      <c r="R27" s="109">
        <v>1998</v>
      </c>
      <c r="S27" s="109">
        <v>1998</v>
      </c>
      <c r="T27" s="109">
        <v>1998</v>
      </c>
      <c r="U27" s="109">
        <v>2013</v>
      </c>
      <c r="V27" s="109">
        <v>2013</v>
      </c>
      <c r="W27" s="109">
        <v>2013</v>
      </c>
      <c r="X27" s="109">
        <v>2013</v>
      </c>
      <c r="Y27" s="109">
        <v>2005</v>
      </c>
      <c r="Z27" s="109">
        <v>2005</v>
      </c>
      <c r="AA27" s="109">
        <v>2005</v>
      </c>
      <c r="AB27" s="109">
        <v>2005</v>
      </c>
      <c r="AC27" s="109">
        <v>1990</v>
      </c>
      <c r="AD27" s="109">
        <v>2005</v>
      </c>
      <c r="AE27" s="109">
        <v>2005</v>
      </c>
      <c r="AF27" s="109">
        <v>2005</v>
      </c>
      <c r="AG27" s="109">
        <v>2005</v>
      </c>
      <c r="AH27" s="109">
        <v>2005</v>
      </c>
      <c r="AI27" s="109">
        <v>1992</v>
      </c>
      <c r="AJ27" s="109">
        <v>2000</v>
      </c>
      <c r="AK27" s="109">
        <v>2000</v>
      </c>
      <c r="AL27" s="109">
        <v>2000</v>
      </c>
      <c r="AM27" s="109">
        <v>2000</v>
      </c>
      <c r="AN27" s="109">
        <v>1992</v>
      </c>
      <c r="AO27" s="109">
        <v>1992</v>
      </c>
      <c r="AP27" s="109">
        <v>1992</v>
      </c>
      <c r="AQ27" s="109">
        <v>1992</v>
      </c>
      <c r="AR27" s="109">
        <v>1992</v>
      </c>
      <c r="AS27" s="109">
        <v>1992</v>
      </c>
      <c r="AT27" s="109">
        <v>1992</v>
      </c>
      <c r="AU27" s="109">
        <v>1992</v>
      </c>
      <c r="AV27" s="109">
        <v>1992</v>
      </c>
      <c r="AW27" s="109">
        <v>2004</v>
      </c>
      <c r="AX27" s="109">
        <v>2004</v>
      </c>
      <c r="AY27" s="109">
        <v>2004</v>
      </c>
      <c r="AZ27" s="109">
        <v>2004</v>
      </c>
      <c r="BA27" s="109">
        <v>2004</v>
      </c>
      <c r="BB27" s="109">
        <v>2004</v>
      </c>
      <c r="BC27" s="109">
        <v>2004</v>
      </c>
      <c r="BD27" s="109">
        <v>2004</v>
      </c>
      <c r="BE27" s="109">
        <v>1992</v>
      </c>
      <c r="BF27" s="109">
        <v>1992</v>
      </c>
      <c r="BG27" s="109">
        <v>1992</v>
      </c>
      <c r="BH27" s="109">
        <v>1992</v>
      </c>
      <c r="BI27" s="109">
        <v>1992</v>
      </c>
      <c r="BJ27" s="109">
        <v>1992</v>
      </c>
      <c r="BK27" s="109">
        <v>1992</v>
      </c>
      <c r="BL27" s="109">
        <v>1992</v>
      </c>
      <c r="BM27" s="109">
        <v>1992</v>
      </c>
      <c r="BN27" s="109">
        <v>1992</v>
      </c>
      <c r="BO27" s="109">
        <v>1992</v>
      </c>
      <c r="BP27" s="109">
        <v>1992</v>
      </c>
      <c r="BQ27" s="109">
        <v>1992</v>
      </c>
      <c r="BR27" s="109">
        <v>1992</v>
      </c>
      <c r="BS27" s="109">
        <v>1992</v>
      </c>
      <c r="BT27" s="109">
        <v>1992</v>
      </c>
      <c r="BU27" s="109">
        <v>2009</v>
      </c>
      <c r="BV27" s="109">
        <v>2009</v>
      </c>
      <c r="BW27" s="109">
        <v>2009</v>
      </c>
      <c r="BX27" s="109">
        <v>2009</v>
      </c>
      <c r="BY27" s="109">
        <v>2009</v>
      </c>
      <c r="BZ27" s="109">
        <v>2009</v>
      </c>
      <c r="CA27" s="109">
        <v>2009</v>
      </c>
      <c r="CB27" s="109">
        <v>2009</v>
      </c>
      <c r="CC27" s="109">
        <v>2009</v>
      </c>
      <c r="CD27" s="109">
        <v>2009</v>
      </c>
      <c r="CE27" s="109">
        <v>2009</v>
      </c>
      <c r="CF27" s="109">
        <v>2009</v>
      </c>
      <c r="CG27" s="109">
        <v>2009</v>
      </c>
      <c r="CH27" s="109">
        <v>2009</v>
      </c>
      <c r="CI27" s="109">
        <v>1976</v>
      </c>
      <c r="CJ27" s="109">
        <v>1979</v>
      </c>
      <c r="CK27" s="109">
        <v>2005</v>
      </c>
      <c r="CL27" s="109">
        <v>2005</v>
      </c>
      <c r="CM27" s="109">
        <v>2005</v>
      </c>
      <c r="CN27" s="109">
        <v>2005</v>
      </c>
      <c r="CO27" s="109">
        <v>2005</v>
      </c>
      <c r="CP27" s="109">
        <v>1992</v>
      </c>
      <c r="CQ27" s="109">
        <v>2005</v>
      </c>
      <c r="CR27" s="109" t="s">
        <v>1621</v>
      </c>
      <c r="CS27" s="109" t="s">
        <v>1621</v>
      </c>
      <c r="CT27" s="109" t="s">
        <v>1621</v>
      </c>
      <c r="CU27" s="109">
        <v>2006</v>
      </c>
      <c r="CV27" s="109">
        <v>2006</v>
      </c>
      <c r="CW27" s="109">
        <v>2006</v>
      </c>
      <c r="CX27" s="109">
        <v>2005</v>
      </c>
      <c r="CY27" s="109">
        <v>2005</v>
      </c>
      <c r="CZ27" s="109">
        <v>2005</v>
      </c>
      <c r="DA27" s="109">
        <v>2005</v>
      </c>
      <c r="DB27" s="109">
        <v>2002</v>
      </c>
      <c r="DC27" s="109">
        <v>2004</v>
      </c>
      <c r="DD27" s="109">
        <v>2002</v>
      </c>
      <c r="DE27" s="109">
        <v>2002</v>
      </c>
      <c r="DF27" s="109">
        <v>2010</v>
      </c>
      <c r="DG27" s="109">
        <v>2010</v>
      </c>
      <c r="DH27" s="109">
        <v>2010</v>
      </c>
      <c r="DI27" s="109">
        <v>2010</v>
      </c>
      <c r="DJ27" s="109">
        <v>2010</v>
      </c>
      <c r="DK27" s="109">
        <v>1992</v>
      </c>
      <c r="DL27" s="109">
        <v>1992</v>
      </c>
      <c r="DM27" s="109">
        <v>1992</v>
      </c>
      <c r="DN27" s="109">
        <v>1992</v>
      </c>
      <c r="DO27" s="109">
        <v>1992</v>
      </c>
      <c r="DP27" s="109">
        <v>2005</v>
      </c>
      <c r="DQ27" s="109">
        <v>1992</v>
      </c>
      <c r="DR27" s="109">
        <v>1992</v>
      </c>
      <c r="DS27" s="109">
        <v>1991</v>
      </c>
      <c r="DT27" s="109" t="s">
        <v>1621</v>
      </c>
      <c r="DU27" s="109" t="s">
        <v>1621</v>
      </c>
      <c r="DV27" s="109" t="s">
        <v>1621</v>
      </c>
      <c r="DW27" s="109" t="s">
        <v>1621</v>
      </c>
      <c r="DX27" s="109" t="s">
        <v>1621</v>
      </c>
      <c r="DY27" s="109" t="s">
        <v>1621</v>
      </c>
      <c r="DZ27" s="109" t="s">
        <v>1621</v>
      </c>
      <c r="EA27" s="109" t="s">
        <v>1621</v>
      </c>
      <c r="EB27" s="109" t="s">
        <v>1621</v>
      </c>
      <c r="EC27" s="109" t="s">
        <v>1621</v>
      </c>
      <c r="ED27" s="109" t="s">
        <v>1621</v>
      </c>
      <c r="EE27" s="109" t="s">
        <v>1621</v>
      </c>
      <c r="EF27" s="109" t="s">
        <v>1621</v>
      </c>
      <c r="EG27" s="109" t="s">
        <v>1621</v>
      </c>
      <c r="EH27" s="109" t="s">
        <v>1621</v>
      </c>
      <c r="EI27" s="109" t="s">
        <v>1621</v>
      </c>
      <c r="EJ27" s="109" t="s">
        <v>1621</v>
      </c>
      <c r="EK27" s="109" t="s">
        <v>1621</v>
      </c>
      <c r="EL27" s="109" t="s">
        <v>1621</v>
      </c>
      <c r="EM27" s="109" t="s">
        <v>1621</v>
      </c>
      <c r="EN27" s="109" t="s">
        <v>1621</v>
      </c>
      <c r="EO27" s="109" t="s">
        <v>1621</v>
      </c>
      <c r="EP27" s="109" t="s">
        <v>1621</v>
      </c>
      <c r="EQ27" s="109" t="s">
        <v>1621</v>
      </c>
      <c r="ER27" s="109" t="s">
        <v>1621</v>
      </c>
      <c r="ES27" s="109" t="s">
        <v>1621</v>
      </c>
      <c r="ET27" s="109" t="s">
        <v>1621</v>
      </c>
      <c r="EU27" s="109" t="s">
        <v>1621</v>
      </c>
      <c r="EV27" s="109" t="s">
        <v>1621</v>
      </c>
      <c r="EW27" s="109" t="s">
        <v>1621</v>
      </c>
      <c r="EX27" s="109" t="s">
        <v>1621</v>
      </c>
      <c r="EY27" s="109" t="s">
        <v>1621</v>
      </c>
      <c r="EZ27" s="109" t="s">
        <v>1621</v>
      </c>
      <c r="FA27" s="109" t="s">
        <v>1621</v>
      </c>
      <c r="FB27" s="109" t="s">
        <v>1621</v>
      </c>
      <c r="FC27" s="109" t="s">
        <v>1621</v>
      </c>
      <c r="FD27" s="109" t="s">
        <v>1621</v>
      </c>
      <c r="FE27" s="109" t="s">
        <v>1621</v>
      </c>
      <c r="FF27" s="109" t="s">
        <v>1621</v>
      </c>
      <c r="FG27" s="109" t="s">
        <v>1621</v>
      </c>
      <c r="FH27" s="109" t="s">
        <v>1621</v>
      </c>
      <c r="FI27" s="109" t="s">
        <v>1621</v>
      </c>
      <c r="FJ27" s="109" t="s">
        <v>1621</v>
      </c>
      <c r="FK27" s="109" t="s">
        <v>1621</v>
      </c>
      <c r="FL27" s="109" t="s">
        <v>1621</v>
      </c>
      <c r="FM27" s="109" t="s">
        <v>1621</v>
      </c>
      <c r="FN27" s="109" t="s">
        <v>1621</v>
      </c>
      <c r="FO27" s="109" t="s">
        <v>1621</v>
      </c>
      <c r="FP27" s="109" t="s">
        <v>1621</v>
      </c>
      <c r="FQ27" s="109" t="s">
        <v>1621</v>
      </c>
      <c r="FR27" s="109" t="s">
        <v>1621</v>
      </c>
      <c r="FS27" s="109" t="s">
        <v>1621</v>
      </c>
      <c r="FT27" s="109" t="s">
        <v>1621</v>
      </c>
      <c r="FU27" s="109" t="s">
        <v>1621</v>
      </c>
      <c r="FV27" s="109" t="s">
        <v>1621</v>
      </c>
      <c r="FW27" s="109">
        <v>2005</v>
      </c>
      <c r="FX27" s="109">
        <v>2005</v>
      </c>
      <c r="FY27" s="109">
        <v>2004</v>
      </c>
      <c r="FZ27" s="109" t="s">
        <v>1621</v>
      </c>
      <c r="GA27" s="109" t="s">
        <v>1621</v>
      </c>
      <c r="GB27" s="109">
        <v>2005</v>
      </c>
      <c r="GC27" s="109">
        <v>2005</v>
      </c>
      <c r="GD27" s="109">
        <v>2000</v>
      </c>
      <c r="GE27" s="109">
        <v>2000</v>
      </c>
      <c r="GF27" s="109">
        <v>2000</v>
      </c>
      <c r="GG27" s="109">
        <v>2000</v>
      </c>
      <c r="GH27" s="109">
        <v>2000</v>
      </c>
      <c r="GI27" s="109">
        <v>2000</v>
      </c>
      <c r="GJ27" s="109">
        <v>2000</v>
      </c>
      <c r="GK27" s="109">
        <v>2000</v>
      </c>
      <c r="GL27" s="109">
        <v>2000</v>
      </c>
      <c r="GM27" s="109">
        <v>2000</v>
      </c>
      <c r="GN27" s="109">
        <v>2000</v>
      </c>
      <c r="GO27" s="109">
        <v>2000</v>
      </c>
      <c r="GP27" s="109">
        <v>2000</v>
      </c>
      <c r="GQ27" s="109">
        <v>2000</v>
      </c>
      <c r="GR27" s="109">
        <v>2000</v>
      </c>
      <c r="GS27" s="109">
        <v>2000</v>
      </c>
      <c r="GT27" s="109">
        <v>2000</v>
      </c>
      <c r="GU27" s="109">
        <v>2000</v>
      </c>
      <c r="GV27" s="109">
        <v>2000</v>
      </c>
      <c r="GW27" s="109">
        <v>2000</v>
      </c>
      <c r="GX27" s="109">
        <v>2000</v>
      </c>
      <c r="GY27" s="109">
        <v>2000</v>
      </c>
      <c r="GZ27" s="109">
        <v>2000</v>
      </c>
      <c r="HA27" s="109">
        <v>2005</v>
      </c>
      <c r="HB27" s="109">
        <v>2005</v>
      </c>
      <c r="HC27" s="109">
        <v>2005</v>
      </c>
      <c r="HD27" s="109">
        <v>2005</v>
      </c>
      <c r="HE27" s="109">
        <v>2005</v>
      </c>
      <c r="HF27" s="109">
        <v>2005</v>
      </c>
      <c r="HG27" s="109">
        <v>2005</v>
      </c>
      <c r="HH27" s="109">
        <v>2005</v>
      </c>
      <c r="HI27" s="109">
        <v>2005</v>
      </c>
      <c r="HJ27" s="109">
        <v>2005</v>
      </c>
      <c r="HK27" s="109">
        <v>2005</v>
      </c>
      <c r="HL27" s="109">
        <v>2005</v>
      </c>
      <c r="HM27" s="109">
        <v>2005</v>
      </c>
      <c r="HN27" s="109">
        <v>2005</v>
      </c>
      <c r="HO27" s="109">
        <v>2005</v>
      </c>
      <c r="HP27" s="109">
        <v>2005</v>
      </c>
      <c r="HQ27" s="109">
        <v>2005</v>
      </c>
      <c r="HR27" s="109">
        <v>2005</v>
      </c>
      <c r="HS27" s="109">
        <v>2005</v>
      </c>
      <c r="HT27" s="109">
        <v>2005</v>
      </c>
      <c r="HU27" s="109">
        <v>2005</v>
      </c>
      <c r="HV27" s="109">
        <v>2005</v>
      </c>
      <c r="HW27" s="109">
        <v>2005</v>
      </c>
      <c r="HX27" s="109">
        <v>2005</v>
      </c>
      <c r="HY27" s="109">
        <v>2005</v>
      </c>
    </row>
    <row r="28" spans="1:233">
      <c r="A28" s="297"/>
      <c r="B28" s="301">
        <v>602</v>
      </c>
      <c r="C28" s="173" t="s">
        <v>557</v>
      </c>
      <c r="D28" s="109">
        <v>1992</v>
      </c>
      <c r="E28" s="109">
        <v>1992</v>
      </c>
      <c r="F28" s="109">
        <v>1992</v>
      </c>
      <c r="G28" s="109">
        <v>1992</v>
      </c>
      <c r="H28" s="109">
        <v>2000</v>
      </c>
      <c r="I28" s="109">
        <v>2000</v>
      </c>
      <c r="J28" s="109">
        <v>2000</v>
      </c>
      <c r="K28" s="109">
        <v>2000</v>
      </c>
      <c r="L28" s="109">
        <v>2000</v>
      </c>
      <c r="M28" s="109">
        <v>2000</v>
      </c>
      <c r="N28" s="109">
        <v>2000</v>
      </c>
      <c r="O28" s="109">
        <v>2000</v>
      </c>
      <c r="P28" s="109">
        <v>2000</v>
      </c>
      <c r="Q28" s="109">
        <v>2002</v>
      </c>
      <c r="R28" s="109">
        <v>2002</v>
      </c>
      <c r="S28" s="109">
        <v>2002</v>
      </c>
      <c r="T28" s="109">
        <v>2002</v>
      </c>
      <c r="U28" s="109">
        <v>2013</v>
      </c>
      <c r="V28" s="109">
        <v>2013</v>
      </c>
      <c r="W28" s="109">
        <v>2013</v>
      </c>
      <c r="X28" s="109">
        <v>2013</v>
      </c>
      <c r="Y28" s="109">
        <v>2005</v>
      </c>
      <c r="Z28" s="109">
        <v>2005</v>
      </c>
      <c r="AA28" s="109">
        <v>2005</v>
      </c>
      <c r="AB28" s="109">
        <v>2005</v>
      </c>
      <c r="AC28" s="109">
        <v>1992</v>
      </c>
      <c r="AD28" s="109">
        <v>2006</v>
      </c>
      <c r="AE28" s="109">
        <v>2006</v>
      </c>
      <c r="AF28" s="109">
        <v>2006</v>
      </c>
      <c r="AG28" s="109">
        <v>2006</v>
      </c>
      <c r="AH28" s="109">
        <v>2006</v>
      </c>
      <c r="AI28" s="109">
        <v>1998</v>
      </c>
      <c r="AJ28" s="109">
        <v>2000</v>
      </c>
      <c r="AK28" s="109">
        <v>2000</v>
      </c>
      <c r="AL28" s="109">
        <v>2000</v>
      </c>
      <c r="AM28" s="109">
        <v>2000</v>
      </c>
      <c r="AN28" s="109">
        <v>2006</v>
      </c>
      <c r="AO28" s="109">
        <v>2006</v>
      </c>
      <c r="AP28" s="109">
        <v>2006</v>
      </c>
      <c r="AQ28" s="109">
        <v>2006</v>
      </c>
      <c r="AR28" s="109">
        <v>2006</v>
      </c>
      <c r="AS28" s="109">
        <v>2006</v>
      </c>
      <c r="AT28" s="109">
        <v>2006</v>
      </c>
      <c r="AU28" s="109">
        <v>2006</v>
      </c>
      <c r="AV28" s="109">
        <v>2006</v>
      </c>
      <c r="AW28" s="109">
        <v>2006</v>
      </c>
      <c r="AX28" s="109">
        <v>2006</v>
      </c>
      <c r="AY28" s="109">
        <v>2006</v>
      </c>
      <c r="AZ28" s="109">
        <v>2006</v>
      </c>
      <c r="BA28" s="109">
        <v>2006</v>
      </c>
      <c r="BB28" s="109">
        <v>2006</v>
      </c>
      <c r="BC28" s="109">
        <v>2006</v>
      </c>
      <c r="BD28" s="109">
        <v>2006</v>
      </c>
      <c r="BE28" s="109">
        <v>2006</v>
      </c>
      <c r="BF28" s="109">
        <v>2006</v>
      </c>
      <c r="BG28" s="109">
        <v>2006</v>
      </c>
      <c r="BH28" s="109">
        <v>2006</v>
      </c>
      <c r="BI28" s="109">
        <v>2006</v>
      </c>
      <c r="BJ28" s="109">
        <v>2006</v>
      </c>
      <c r="BK28" s="109">
        <v>2006</v>
      </c>
      <c r="BL28" s="109">
        <v>2006</v>
      </c>
      <c r="BM28" s="109">
        <v>2006</v>
      </c>
      <c r="BN28" s="109">
        <v>2006</v>
      </c>
      <c r="BO28" s="109">
        <v>2006</v>
      </c>
      <c r="BP28" s="109">
        <v>2006</v>
      </c>
      <c r="BQ28" s="109">
        <v>2006</v>
      </c>
      <c r="BR28" s="109">
        <v>2006</v>
      </c>
      <c r="BS28" s="109">
        <v>2006</v>
      </c>
      <c r="BT28" s="109">
        <v>2006</v>
      </c>
      <c r="BU28" s="109">
        <v>2009</v>
      </c>
      <c r="BV28" s="109">
        <v>2009</v>
      </c>
      <c r="BW28" s="109">
        <v>2009</v>
      </c>
      <c r="BX28" s="109">
        <v>2009</v>
      </c>
      <c r="BY28" s="109">
        <v>2009</v>
      </c>
      <c r="BZ28" s="109">
        <v>2009</v>
      </c>
      <c r="CA28" s="109">
        <v>2009</v>
      </c>
      <c r="CB28" s="109">
        <v>2009</v>
      </c>
      <c r="CC28" s="109">
        <v>2009</v>
      </c>
      <c r="CD28" s="109">
        <v>2009</v>
      </c>
      <c r="CE28" s="109">
        <v>2009</v>
      </c>
      <c r="CF28" s="109">
        <v>2009</v>
      </c>
      <c r="CG28" s="109">
        <v>2009</v>
      </c>
      <c r="CH28" s="109">
        <v>2009</v>
      </c>
      <c r="CI28" s="109">
        <v>1991</v>
      </c>
      <c r="CJ28" s="109">
        <v>1991</v>
      </c>
      <c r="CK28" s="109">
        <v>2006</v>
      </c>
      <c r="CL28" s="109">
        <v>2006</v>
      </c>
      <c r="CM28" s="109">
        <v>2006</v>
      </c>
      <c r="CN28" s="109">
        <v>2006</v>
      </c>
      <c r="CO28" s="109">
        <v>2006</v>
      </c>
      <c r="CP28" s="109">
        <v>2000</v>
      </c>
      <c r="CQ28" s="109">
        <v>2006</v>
      </c>
      <c r="CR28" s="109" t="s">
        <v>1621</v>
      </c>
      <c r="CS28" s="109" t="s">
        <v>1621</v>
      </c>
      <c r="CT28" s="109">
        <v>2006</v>
      </c>
      <c r="CU28" s="109">
        <v>2006</v>
      </c>
      <c r="CV28" s="109">
        <v>2006</v>
      </c>
      <c r="CW28" s="109">
        <v>2006</v>
      </c>
      <c r="CX28" s="109">
        <v>2006</v>
      </c>
      <c r="CY28" s="109">
        <v>2006</v>
      </c>
      <c r="CZ28" s="109">
        <v>2006</v>
      </c>
      <c r="DA28" s="109">
        <v>2006</v>
      </c>
      <c r="DB28" s="109">
        <v>2006</v>
      </c>
      <c r="DC28" s="109">
        <v>2006</v>
      </c>
      <c r="DD28" s="109">
        <v>2006</v>
      </c>
      <c r="DE28" s="109">
        <v>2006</v>
      </c>
      <c r="DF28" s="109">
        <v>2010</v>
      </c>
      <c r="DG28" s="109">
        <v>2010</v>
      </c>
      <c r="DH28" s="109">
        <v>2010</v>
      </c>
      <c r="DI28" s="109">
        <v>2010</v>
      </c>
      <c r="DJ28" s="109">
        <v>2010</v>
      </c>
      <c r="DK28" s="109">
        <v>1992</v>
      </c>
      <c r="DL28" s="109">
        <v>2006</v>
      </c>
      <c r="DM28" s="109">
        <v>2006</v>
      </c>
      <c r="DN28" s="109">
        <v>2006</v>
      </c>
      <c r="DO28" s="109">
        <v>2006</v>
      </c>
      <c r="DP28" s="109">
        <v>2009</v>
      </c>
      <c r="DQ28" s="109">
        <v>2006</v>
      </c>
      <c r="DR28" s="109">
        <v>2009</v>
      </c>
      <c r="DS28" s="109">
        <v>1993</v>
      </c>
      <c r="DT28" s="109" t="s">
        <v>1621</v>
      </c>
      <c r="DU28" s="109" t="s">
        <v>1621</v>
      </c>
      <c r="DV28" s="109" t="s">
        <v>1621</v>
      </c>
      <c r="DW28" s="109" t="s">
        <v>1621</v>
      </c>
      <c r="DX28" s="109" t="s">
        <v>1621</v>
      </c>
      <c r="DY28" s="109" t="s">
        <v>1621</v>
      </c>
      <c r="DZ28" s="109" t="s">
        <v>1621</v>
      </c>
      <c r="EA28" s="109" t="s">
        <v>1621</v>
      </c>
      <c r="EB28" s="109" t="s">
        <v>1621</v>
      </c>
      <c r="EC28" s="109" t="s">
        <v>1621</v>
      </c>
      <c r="ED28" s="109" t="s">
        <v>1621</v>
      </c>
      <c r="EE28" s="109" t="s">
        <v>1621</v>
      </c>
      <c r="EF28" s="109" t="s">
        <v>1621</v>
      </c>
      <c r="EG28" s="109" t="s">
        <v>1621</v>
      </c>
      <c r="EH28" s="109" t="s">
        <v>1621</v>
      </c>
      <c r="EI28" s="109" t="s">
        <v>1621</v>
      </c>
      <c r="EJ28" s="109" t="s">
        <v>1621</v>
      </c>
      <c r="EK28" s="109" t="s">
        <v>1621</v>
      </c>
      <c r="EL28" s="109" t="s">
        <v>1621</v>
      </c>
      <c r="EM28" s="109" t="s">
        <v>1621</v>
      </c>
      <c r="EN28" s="109" t="s">
        <v>1621</v>
      </c>
      <c r="EO28" s="109" t="s">
        <v>1621</v>
      </c>
      <c r="EP28" s="109" t="s">
        <v>1621</v>
      </c>
      <c r="EQ28" s="109" t="s">
        <v>1621</v>
      </c>
      <c r="ER28" s="109" t="s">
        <v>1621</v>
      </c>
      <c r="ES28" s="109" t="s">
        <v>1621</v>
      </c>
      <c r="ET28" s="109" t="s">
        <v>1621</v>
      </c>
      <c r="EU28" s="109" t="s">
        <v>1621</v>
      </c>
      <c r="EV28" s="109" t="s">
        <v>1621</v>
      </c>
      <c r="EW28" s="109" t="s">
        <v>1621</v>
      </c>
      <c r="EX28" s="109" t="s">
        <v>1621</v>
      </c>
      <c r="EY28" s="109" t="s">
        <v>1621</v>
      </c>
      <c r="EZ28" s="109" t="s">
        <v>1621</v>
      </c>
      <c r="FA28" s="109" t="s">
        <v>1621</v>
      </c>
      <c r="FB28" s="109" t="s">
        <v>1621</v>
      </c>
      <c r="FC28" s="109" t="s">
        <v>1621</v>
      </c>
      <c r="FD28" s="109" t="s">
        <v>1621</v>
      </c>
      <c r="FE28" s="109" t="s">
        <v>1621</v>
      </c>
      <c r="FF28" s="109" t="s">
        <v>1621</v>
      </c>
      <c r="FG28" s="109" t="s">
        <v>1621</v>
      </c>
      <c r="FH28" s="109" t="s">
        <v>1621</v>
      </c>
      <c r="FI28" s="109" t="s">
        <v>1621</v>
      </c>
      <c r="FJ28" s="109" t="s">
        <v>1621</v>
      </c>
      <c r="FK28" s="109" t="s">
        <v>1621</v>
      </c>
      <c r="FL28" s="109" t="s">
        <v>1621</v>
      </c>
      <c r="FM28" s="109" t="s">
        <v>1621</v>
      </c>
      <c r="FN28" s="109" t="s">
        <v>1621</v>
      </c>
      <c r="FO28" s="109" t="s">
        <v>1621</v>
      </c>
      <c r="FP28" s="109" t="s">
        <v>1621</v>
      </c>
      <c r="FQ28" s="109" t="s">
        <v>1621</v>
      </c>
      <c r="FR28" s="109" t="s">
        <v>1621</v>
      </c>
      <c r="FS28" s="109" t="s">
        <v>1621</v>
      </c>
      <c r="FT28" s="109" t="s">
        <v>1621</v>
      </c>
      <c r="FU28" s="109" t="s">
        <v>1621</v>
      </c>
      <c r="FV28" s="109" t="s">
        <v>1621</v>
      </c>
      <c r="FW28" s="109">
        <v>2006</v>
      </c>
      <c r="FX28" s="109">
        <v>2006</v>
      </c>
      <c r="FY28" s="109">
        <v>2006</v>
      </c>
      <c r="FZ28" s="109" t="s">
        <v>1621</v>
      </c>
      <c r="GA28" s="109" t="s">
        <v>1621</v>
      </c>
      <c r="GB28" s="109">
        <v>2006</v>
      </c>
      <c r="GC28" s="109">
        <v>2006</v>
      </c>
      <c r="GD28" s="109">
        <v>2005</v>
      </c>
      <c r="GE28" s="109">
        <v>2005</v>
      </c>
      <c r="GF28" s="109">
        <v>2005</v>
      </c>
      <c r="GG28" s="109">
        <v>2005</v>
      </c>
      <c r="GH28" s="109">
        <v>2005</v>
      </c>
      <c r="GI28" s="109">
        <v>2005</v>
      </c>
      <c r="GJ28" s="109">
        <v>2005</v>
      </c>
      <c r="GK28" s="109">
        <v>2005</v>
      </c>
      <c r="GL28" s="109">
        <v>2005</v>
      </c>
      <c r="GM28" s="109">
        <v>2005</v>
      </c>
      <c r="GN28" s="109">
        <v>2005</v>
      </c>
      <c r="GO28" s="109">
        <v>2005</v>
      </c>
      <c r="GP28" s="109">
        <v>2005</v>
      </c>
      <c r="GQ28" s="109">
        <v>2005</v>
      </c>
      <c r="GR28" s="109">
        <v>2005</v>
      </c>
      <c r="GS28" s="109">
        <v>2005</v>
      </c>
      <c r="GT28" s="109">
        <v>2005</v>
      </c>
      <c r="GU28" s="109">
        <v>2005</v>
      </c>
      <c r="GV28" s="109">
        <v>2005</v>
      </c>
      <c r="GW28" s="109">
        <v>2005</v>
      </c>
      <c r="GX28" s="109">
        <v>2005</v>
      </c>
      <c r="GY28" s="109">
        <v>2005</v>
      </c>
      <c r="GZ28" s="109">
        <v>2005</v>
      </c>
      <c r="HA28" s="109">
        <v>2006</v>
      </c>
      <c r="HB28" s="109">
        <v>2006</v>
      </c>
      <c r="HC28" s="109">
        <v>2006</v>
      </c>
      <c r="HD28" s="109">
        <v>2006</v>
      </c>
      <c r="HE28" s="109">
        <v>2006</v>
      </c>
      <c r="HF28" s="109">
        <v>2006</v>
      </c>
      <c r="HG28" s="109">
        <v>2006</v>
      </c>
      <c r="HH28" s="109">
        <v>2006</v>
      </c>
      <c r="HI28" s="109">
        <v>2006</v>
      </c>
      <c r="HJ28" s="109">
        <v>2006</v>
      </c>
      <c r="HK28" s="109">
        <v>2006</v>
      </c>
      <c r="HL28" s="109">
        <v>2006</v>
      </c>
      <c r="HM28" s="109">
        <v>2006</v>
      </c>
      <c r="HN28" s="109">
        <v>2006</v>
      </c>
      <c r="HO28" s="109">
        <v>2006</v>
      </c>
      <c r="HP28" s="109">
        <v>2006</v>
      </c>
      <c r="HQ28" s="109">
        <v>2006</v>
      </c>
      <c r="HR28" s="109">
        <v>2006</v>
      </c>
      <c r="HS28" s="109">
        <v>2006</v>
      </c>
      <c r="HT28" s="109">
        <v>2006</v>
      </c>
      <c r="HU28" s="109">
        <v>2006</v>
      </c>
      <c r="HV28" s="109">
        <v>2006</v>
      </c>
      <c r="HW28" s="109">
        <v>2006</v>
      </c>
      <c r="HX28" s="109">
        <v>2006</v>
      </c>
      <c r="HY28" s="109">
        <v>2006</v>
      </c>
    </row>
    <row r="29" spans="1:233" ht="24" outlineLevel="1">
      <c r="A29" s="297"/>
      <c r="B29" s="301">
        <v>603</v>
      </c>
      <c r="C29" s="173" t="s">
        <v>558</v>
      </c>
      <c r="D29" s="109">
        <v>1</v>
      </c>
      <c r="E29" s="109">
        <v>1</v>
      </c>
      <c r="F29" s="109">
        <v>1</v>
      </c>
      <c r="G29" s="109">
        <v>1</v>
      </c>
      <c r="H29" s="109">
        <v>1</v>
      </c>
      <c r="I29" s="109">
        <v>1</v>
      </c>
      <c r="J29" s="109">
        <v>1</v>
      </c>
      <c r="K29" s="109">
        <v>1</v>
      </c>
      <c r="L29" s="109">
        <v>1</v>
      </c>
      <c r="M29" s="109">
        <v>1</v>
      </c>
      <c r="N29" s="109">
        <v>1</v>
      </c>
      <c r="O29" s="109">
        <v>1</v>
      </c>
      <c r="P29" s="109">
        <v>1</v>
      </c>
      <c r="Q29" s="109">
        <v>1</v>
      </c>
      <c r="R29" s="109">
        <v>1</v>
      </c>
      <c r="S29" s="109">
        <v>1</v>
      </c>
      <c r="T29" s="109">
        <v>1</v>
      </c>
      <c r="U29" s="109">
        <v>1</v>
      </c>
      <c r="V29" s="109">
        <v>1</v>
      </c>
      <c r="W29" s="109">
        <v>1</v>
      </c>
      <c r="X29" s="109">
        <v>1</v>
      </c>
      <c r="Y29" s="109">
        <v>1</v>
      </c>
      <c r="Z29" s="109">
        <v>1</v>
      </c>
      <c r="AA29" s="109">
        <v>1</v>
      </c>
      <c r="AB29" s="109">
        <v>1</v>
      </c>
      <c r="AC29" s="109">
        <v>1</v>
      </c>
      <c r="AD29" s="109">
        <v>1</v>
      </c>
      <c r="AE29" s="109">
        <v>1</v>
      </c>
      <c r="AF29" s="109">
        <v>1</v>
      </c>
      <c r="AG29" s="109">
        <v>1</v>
      </c>
      <c r="AH29" s="109">
        <v>1</v>
      </c>
      <c r="AI29" s="109">
        <v>1</v>
      </c>
      <c r="AJ29" s="109">
        <v>1</v>
      </c>
      <c r="AK29" s="109">
        <v>1</v>
      </c>
      <c r="AL29" s="109">
        <v>1</v>
      </c>
      <c r="AM29" s="109">
        <v>1</v>
      </c>
      <c r="AN29" s="109">
        <v>1</v>
      </c>
      <c r="AO29" s="109">
        <v>1</v>
      </c>
      <c r="AP29" s="109">
        <v>1</v>
      </c>
      <c r="AQ29" s="109">
        <v>1</v>
      </c>
      <c r="AR29" s="109">
        <v>1</v>
      </c>
      <c r="AS29" s="109">
        <v>1</v>
      </c>
      <c r="AT29" s="109">
        <v>1</v>
      </c>
      <c r="AU29" s="109">
        <v>1</v>
      </c>
      <c r="AV29" s="109">
        <v>1</v>
      </c>
      <c r="AW29" s="109">
        <v>1</v>
      </c>
      <c r="AX29" s="109">
        <v>1</v>
      </c>
      <c r="AY29" s="109">
        <v>1</v>
      </c>
      <c r="AZ29" s="109">
        <v>1</v>
      </c>
      <c r="BA29" s="109">
        <v>1</v>
      </c>
      <c r="BB29" s="109">
        <v>1</v>
      </c>
      <c r="BC29" s="109">
        <v>1</v>
      </c>
      <c r="BD29" s="109">
        <v>1</v>
      </c>
      <c r="BE29" s="109">
        <v>1</v>
      </c>
      <c r="BF29" s="109">
        <v>1</v>
      </c>
      <c r="BG29" s="109">
        <v>1</v>
      </c>
      <c r="BH29" s="109">
        <v>1</v>
      </c>
      <c r="BI29" s="109">
        <v>1</v>
      </c>
      <c r="BJ29" s="109">
        <v>1</v>
      </c>
      <c r="BK29" s="109">
        <v>1</v>
      </c>
      <c r="BL29" s="109">
        <v>1</v>
      </c>
      <c r="BM29" s="109">
        <v>1</v>
      </c>
      <c r="BN29" s="109">
        <v>1</v>
      </c>
      <c r="BO29" s="109">
        <v>1</v>
      </c>
      <c r="BP29" s="109">
        <v>1</v>
      </c>
      <c r="BQ29" s="109">
        <v>1</v>
      </c>
      <c r="BR29" s="109">
        <v>1</v>
      </c>
      <c r="BS29" s="109">
        <v>1</v>
      </c>
      <c r="BT29" s="109">
        <v>1</v>
      </c>
      <c r="BU29" s="109">
        <v>1</v>
      </c>
      <c r="BV29" s="109">
        <v>1</v>
      </c>
      <c r="BW29" s="109">
        <v>1</v>
      </c>
      <c r="BX29" s="109">
        <v>1</v>
      </c>
      <c r="BY29" s="109">
        <v>1</v>
      </c>
      <c r="BZ29" s="109">
        <v>1</v>
      </c>
      <c r="CA29" s="109">
        <v>1</v>
      </c>
      <c r="CB29" s="109">
        <v>1</v>
      </c>
      <c r="CC29" s="109">
        <v>1</v>
      </c>
      <c r="CD29" s="109">
        <v>1</v>
      </c>
      <c r="CE29" s="109">
        <v>1</v>
      </c>
      <c r="CF29" s="109">
        <v>1</v>
      </c>
      <c r="CG29" s="109">
        <v>1</v>
      </c>
      <c r="CH29" s="109">
        <v>1</v>
      </c>
      <c r="CI29" s="109">
        <v>1</v>
      </c>
      <c r="CJ29" s="109">
        <v>1</v>
      </c>
      <c r="CK29" s="109">
        <v>1</v>
      </c>
      <c r="CL29" s="109">
        <v>1</v>
      </c>
      <c r="CM29" s="109">
        <v>1</v>
      </c>
      <c r="CN29" s="109">
        <v>1</v>
      </c>
      <c r="CO29" s="109">
        <v>1</v>
      </c>
      <c r="CP29" s="109">
        <v>1</v>
      </c>
      <c r="CQ29" s="109">
        <v>1</v>
      </c>
      <c r="CR29" s="109">
        <v>1</v>
      </c>
      <c r="CS29" s="109">
        <v>1</v>
      </c>
      <c r="CT29" s="109">
        <v>1</v>
      </c>
      <c r="CU29" s="109">
        <v>1</v>
      </c>
      <c r="CV29" s="109">
        <v>1</v>
      </c>
      <c r="CW29" s="109">
        <v>1</v>
      </c>
      <c r="CX29" s="109">
        <v>1</v>
      </c>
      <c r="CY29" s="109">
        <v>1</v>
      </c>
      <c r="CZ29" s="109">
        <v>1</v>
      </c>
      <c r="DA29" s="109">
        <v>1</v>
      </c>
      <c r="DB29" s="109">
        <v>1</v>
      </c>
      <c r="DC29" s="109">
        <v>1</v>
      </c>
      <c r="DD29" s="109">
        <v>1</v>
      </c>
      <c r="DE29" s="109">
        <v>1</v>
      </c>
      <c r="DF29" s="109">
        <v>1</v>
      </c>
      <c r="DG29" s="109">
        <v>1</v>
      </c>
      <c r="DH29" s="109">
        <v>1</v>
      </c>
      <c r="DI29" s="109">
        <v>1</v>
      </c>
      <c r="DJ29" s="109">
        <v>1</v>
      </c>
      <c r="DK29" s="109">
        <v>1</v>
      </c>
      <c r="DL29" s="109">
        <v>1</v>
      </c>
      <c r="DM29" s="109">
        <v>1</v>
      </c>
      <c r="DN29" s="109">
        <v>1</v>
      </c>
      <c r="DO29" s="109">
        <v>1</v>
      </c>
      <c r="DP29" s="109">
        <v>1</v>
      </c>
      <c r="DQ29" s="109">
        <v>1</v>
      </c>
      <c r="DR29" s="109">
        <v>1</v>
      </c>
      <c r="DS29" s="109">
        <v>1</v>
      </c>
      <c r="DT29" s="109">
        <v>1</v>
      </c>
      <c r="DU29" s="109">
        <v>1</v>
      </c>
      <c r="DV29" s="109">
        <v>1</v>
      </c>
      <c r="DW29" s="109">
        <v>1</v>
      </c>
      <c r="DX29" s="109">
        <v>1</v>
      </c>
      <c r="DY29" s="109">
        <v>1</v>
      </c>
      <c r="DZ29" s="109">
        <v>1</v>
      </c>
      <c r="EA29" s="109">
        <v>1</v>
      </c>
      <c r="EB29" s="109">
        <v>1</v>
      </c>
      <c r="EC29" s="109">
        <v>1</v>
      </c>
      <c r="ED29" s="109">
        <v>1</v>
      </c>
      <c r="EE29" s="109">
        <v>1</v>
      </c>
      <c r="EF29" s="109">
        <v>1</v>
      </c>
      <c r="EG29" s="109">
        <v>1</v>
      </c>
      <c r="EH29" s="109">
        <v>1</v>
      </c>
      <c r="EI29" s="109">
        <v>1</v>
      </c>
      <c r="EJ29" s="109">
        <v>1</v>
      </c>
      <c r="EK29" s="109">
        <v>1</v>
      </c>
      <c r="EL29" s="109">
        <v>1</v>
      </c>
      <c r="EM29" s="109">
        <v>1</v>
      </c>
      <c r="EN29" s="109">
        <v>1</v>
      </c>
      <c r="EO29" s="109">
        <v>1</v>
      </c>
      <c r="EP29" s="109">
        <v>1</v>
      </c>
      <c r="EQ29" s="109">
        <v>1</v>
      </c>
      <c r="ER29" s="109">
        <v>1</v>
      </c>
      <c r="ES29" s="109">
        <v>1</v>
      </c>
      <c r="ET29" s="109">
        <v>1</v>
      </c>
      <c r="EU29" s="109">
        <v>1</v>
      </c>
      <c r="EV29" s="109">
        <v>1</v>
      </c>
      <c r="EW29" s="109">
        <v>1</v>
      </c>
      <c r="EX29" s="109">
        <v>1</v>
      </c>
      <c r="EY29" s="109">
        <v>1</v>
      </c>
      <c r="EZ29" s="109">
        <v>1</v>
      </c>
      <c r="FA29" s="109">
        <v>1</v>
      </c>
      <c r="FB29" s="109">
        <v>1</v>
      </c>
      <c r="FC29" s="109">
        <v>1</v>
      </c>
      <c r="FD29" s="109">
        <v>1</v>
      </c>
      <c r="FE29" s="109">
        <v>1</v>
      </c>
      <c r="FF29" s="109">
        <v>1</v>
      </c>
      <c r="FG29" s="109">
        <v>1</v>
      </c>
      <c r="FH29" s="109">
        <v>1</v>
      </c>
      <c r="FI29" s="109">
        <v>1</v>
      </c>
      <c r="FJ29" s="109">
        <v>1</v>
      </c>
      <c r="FK29" s="109">
        <v>1</v>
      </c>
      <c r="FL29" s="109">
        <v>1</v>
      </c>
      <c r="FM29" s="109">
        <v>1</v>
      </c>
      <c r="FN29" s="109">
        <v>1</v>
      </c>
      <c r="FO29" s="109">
        <v>1</v>
      </c>
      <c r="FP29" s="109">
        <v>1</v>
      </c>
      <c r="FQ29" s="109">
        <v>1</v>
      </c>
      <c r="FR29" s="109">
        <v>1</v>
      </c>
      <c r="FS29" s="109">
        <v>1</v>
      </c>
      <c r="FT29" s="109">
        <v>1</v>
      </c>
      <c r="FU29" s="109">
        <v>1</v>
      </c>
      <c r="FV29" s="109">
        <v>1</v>
      </c>
      <c r="FW29" s="109">
        <v>1</v>
      </c>
      <c r="FX29" s="109">
        <v>1</v>
      </c>
      <c r="FY29" s="109">
        <v>1</v>
      </c>
      <c r="FZ29" s="109">
        <v>1</v>
      </c>
      <c r="GA29" s="109">
        <v>1</v>
      </c>
      <c r="GB29" s="109">
        <v>1</v>
      </c>
      <c r="GC29" s="109">
        <v>1</v>
      </c>
      <c r="GD29" s="109">
        <v>1</v>
      </c>
      <c r="GE29" s="109">
        <v>1</v>
      </c>
      <c r="GF29" s="109">
        <v>1</v>
      </c>
      <c r="GG29" s="109">
        <v>1</v>
      </c>
      <c r="GH29" s="109">
        <v>1</v>
      </c>
      <c r="GI29" s="109">
        <v>1</v>
      </c>
      <c r="GJ29" s="109">
        <v>1</v>
      </c>
      <c r="GK29" s="109">
        <v>1</v>
      </c>
      <c r="GL29" s="109">
        <v>1</v>
      </c>
      <c r="GM29" s="109">
        <v>1</v>
      </c>
      <c r="GN29" s="109">
        <v>1</v>
      </c>
      <c r="GO29" s="109">
        <v>1</v>
      </c>
      <c r="GP29" s="109">
        <v>1</v>
      </c>
      <c r="GQ29" s="109">
        <v>1</v>
      </c>
      <c r="GR29" s="109">
        <v>1</v>
      </c>
      <c r="GS29" s="109">
        <v>1</v>
      </c>
      <c r="GT29" s="109">
        <v>1</v>
      </c>
      <c r="GU29" s="109">
        <v>1</v>
      </c>
      <c r="GV29" s="109">
        <v>1</v>
      </c>
      <c r="GW29" s="109">
        <v>1</v>
      </c>
      <c r="GX29" s="109">
        <v>1</v>
      </c>
      <c r="GY29" s="109">
        <v>1</v>
      </c>
      <c r="GZ29" s="109">
        <v>1</v>
      </c>
      <c r="HA29" s="109">
        <v>1</v>
      </c>
      <c r="HB29" s="109">
        <v>1</v>
      </c>
      <c r="HC29" s="109">
        <v>1</v>
      </c>
      <c r="HD29" s="109">
        <v>1</v>
      </c>
      <c r="HE29" s="109">
        <v>1</v>
      </c>
      <c r="HF29" s="109">
        <v>1</v>
      </c>
      <c r="HG29" s="109">
        <v>1</v>
      </c>
      <c r="HH29" s="109">
        <v>1</v>
      </c>
      <c r="HI29" s="109">
        <v>1</v>
      </c>
      <c r="HJ29" s="109">
        <v>1</v>
      </c>
      <c r="HK29" s="109">
        <v>1</v>
      </c>
      <c r="HL29" s="109">
        <v>1</v>
      </c>
      <c r="HM29" s="109">
        <v>1</v>
      </c>
      <c r="HN29" s="109">
        <v>1</v>
      </c>
      <c r="HO29" s="109">
        <v>1</v>
      </c>
      <c r="HP29" s="109">
        <v>1</v>
      </c>
      <c r="HQ29" s="109">
        <v>1</v>
      </c>
      <c r="HR29" s="109">
        <v>1</v>
      </c>
      <c r="HS29" s="109">
        <v>1</v>
      </c>
      <c r="HT29" s="109">
        <v>1</v>
      </c>
      <c r="HU29" s="109">
        <v>1</v>
      </c>
      <c r="HV29" s="109">
        <v>1</v>
      </c>
      <c r="HW29" s="109">
        <v>1</v>
      </c>
      <c r="HX29" s="109">
        <v>1</v>
      </c>
      <c r="HY29" s="109">
        <v>1</v>
      </c>
    </row>
    <row r="30" spans="1:233" ht="80.25" customHeight="1">
      <c r="A30" s="297"/>
      <c r="B30" s="301">
        <v>611</v>
      </c>
      <c r="C30" s="173" t="s">
        <v>233</v>
      </c>
      <c r="D30" s="109" t="s">
        <v>32</v>
      </c>
      <c r="E30" s="109" t="s">
        <v>32</v>
      </c>
      <c r="F30" s="109" t="s">
        <v>32</v>
      </c>
      <c r="G30" s="109" t="s">
        <v>32</v>
      </c>
      <c r="H30" s="109" t="s">
        <v>20</v>
      </c>
      <c r="I30" s="109" t="s">
        <v>20</v>
      </c>
      <c r="J30" s="109" t="s">
        <v>20</v>
      </c>
      <c r="K30" s="109" t="s">
        <v>20</v>
      </c>
      <c r="L30" s="109" t="s">
        <v>20</v>
      </c>
      <c r="M30" s="109" t="s">
        <v>20</v>
      </c>
      <c r="N30" s="109" t="s">
        <v>20</v>
      </c>
      <c r="O30" s="109" t="s">
        <v>20</v>
      </c>
      <c r="P30" s="109" t="s">
        <v>20</v>
      </c>
      <c r="Q30" s="109" t="s">
        <v>356</v>
      </c>
      <c r="R30" s="109" t="s">
        <v>356</v>
      </c>
      <c r="S30" s="109" t="s">
        <v>356</v>
      </c>
      <c r="T30" s="109" t="s">
        <v>356</v>
      </c>
      <c r="U30" s="109" t="s">
        <v>356</v>
      </c>
      <c r="V30" s="109" t="s">
        <v>356</v>
      </c>
      <c r="W30" s="109" t="s">
        <v>356</v>
      </c>
      <c r="X30" s="109" t="s">
        <v>356</v>
      </c>
      <c r="Y30" s="487" t="s">
        <v>1069</v>
      </c>
      <c r="Z30" s="487" t="s">
        <v>1069</v>
      </c>
      <c r="AA30" s="487" t="s">
        <v>1069</v>
      </c>
      <c r="AB30" s="487" t="s">
        <v>1069</v>
      </c>
      <c r="AC30" s="109" t="s">
        <v>32</v>
      </c>
      <c r="AD30" s="109" t="s">
        <v>738</v>
      </c>
      <c r="AE30" s="109" t="s">
        <v>437</v>
      </c>
      <c r="AF30" s="109" t="s">
        <v>437</v>
      </c>
      <c r="AG30" s="109" t="s">
        <v>437</v>
      </c>
      <c r="AH30" s="109" t="s">
        <v>437</v>
      </c>
      <c r="AI30" s="109" t="s">
        <v>437</v>
      </c>
      <c r="AJ30" s="487" t="s">
        <v>337</v>
      </c>
      <c r="AK30" s="487" t="s">
        <v>337</v>
      </c>
      <c r="AL30" s="487" t="s">
        <v>337</v>
      </c>
      <c r="AM30" s="487" t="s">
        <v>337</v>
      </c>
      <c r="AN30" s="109" t="s">
        <v>623</v>
      </c>
      <c r="AO30" s="109" t="s">
        <v>623</v>
      </c>
      <c r="AP30" s="109" t="s">
        <v>623</v>
      </c>
      <c r="AQ30" s="109" t="s">
        <v>623</v>
      </c>
      <c r="AR30" s="109" t="s">
        <v>623</v>
      </c>
      <c r="AS30" s="109" t="s">
        <v>623</v>
      </c>
      <c r="AT30" s="109" t="s">
        <v>623</v>
      </c>
      <c r="AU30" s="109" t="s">
        <v>623</v>
      </c>
      <c r="AV30" s="109" t="s">
        <v>623</v>
      </c>
      <c r="AW30" s="109" t="s">
        <v>748</v>
      </c>
      <c r="AX30" s="109" t="s">
        <v>748</v>
      </c>
      <c r="AY30" s="109" t="s">
        <v>748</v>
      </c>
      <c r="AZ30" s="109" t="s">
        <v>748</v>
      </c>
      <c r="BA30" s="109" t="s">
        <v>748</v>
      </c>
      <c r="BB30" s="109" t="s">
        <v>748</v>
      </c>
      <c r="BC30" s="109" t="s">
        <v>748</v>
      </c>
      <c r="BD30" s="109" t="s">
        <v>748</v>
      </c>
      <c r="BE30" s="109" t="s">
        <v>309</v>
      </c>
      <c r="BF30" s="109" t="s">
        <v>309</v>
      </c>
      <c r="BG30" s="109" t="s">
        <v>309</v>
      </c>
      <c r="BH30" s="109" t="s">
        <v>309</v>
      </c>
      <c r="BI30" s="109" t="s">
        <v>309</v>
      </c>
      <c r="BJ30" s="109" t="s">
        <v>309</v>
      </c>
      <c r="BK30" s="109" t="s">
        <v>309</v>
      </c>
      <c r="BL30" s="109" t="s">
        <v>309</v>
      </c>
      <c r="BM30" s="109" t="s">
        <v>309</v>
      </c>
      <c r="BN30" s="109" t="s">
        <v>309</v>
      </c>
      <c r="BO30" s="109" t="s">
        <v>309</v>
      </c>
      <c r="BP30" s="109" t="s">
        <v>309</v>
      </c>
      <c r="BQ30" s="109" t="s">
        <v>309</v>
      </c>
      <c r="BR30" s="109" t="s">
        <v>309</v>
      </c>
      <c r="BS30" s="109" t="s">
        <v>309</v>
      </c>
      <c r="BT30" s="109" t="s">
        <v>309</v>
      </c>
      <c r="BU30" s="487" t="s">
        <v>1066</v>
      </c>
      <c r="BV30" s="487" t="s">
        <v>1066</v>
      </c>
      <c r="BW30" s="487" t="s">
        <v>1066</v>
      </c>
      <c r="BX30" s="487" t="s">
        <v>1066</v>
      </c>
      <c r="BY30" s="487" t="s">
        <v>1066</v>
      </c>
      <c r="BZ30" s="487" t="s">
        <v>1066</v>
      </c>
      <c r="CA30" s="487" t="s">
        <v>1066</v>
      </c>
      <c r="CB30" s="487" t="s">
        <v>1066</v>
      </c>
      <c r="CC30" s="487" t="s">
        <v>1066</v>
      </c>
      <c r="CD30" s="487" t="s">
        <v>1066</v>
      </c>
      <c r="CE30" s="487" t="s">
        <v>1066</v>
      </c>
      <c r="CF30" s="487" t="s">
        <v>1066</v>
      </c>
      <c r="CG30" s="487" t="s">
        <v>1066</v>
      </c>
      <c r="CH30" s="487" t="s">
        <v>1066</v>
      </c>
      <c r="CI30" s="109" t="s">
        <v>20</v>
      </c>
      <c r="CJ30" s="109" t="s">
        <v>20</v>
      </c>
      <c r="CK30" s="109" t="s">
        <v>20</v>
      </c>
      <c r="CL30" s="109" t="s">
        <v>20</v>
      </c>
      <c r="CM30" s="109" t="s">
        <v>20</v>
      </c>
      <c r="CN30" s="109" t="s">
        <v>20</v>
      </c>
      <c r="CO30" s="109" t="s">
        <v>20</v>
      </c>
      <c r="CP30" s="109" t="s">
        <v>20</v>
      </c>
      <c r="CQ30" s="109" t="s">
        <v>738</v>
      </c>
      <c r="CR30" s="109" t="s">
        <v>37</v>
      </c>
      <c r="CS30" s="109" t="s">
        <v>37</v>
      </c>
      <c r="CT30" s="109" t="s">
        <v>315</v>
      </c>
      <c r="CU30" s="109" t="s">
        <v>424</v>
      </c>
      <c r="CV30" s="109" t="s">
        <v>424</v>
      </c>
      <c r="CW30" s="109" t="s">
        <v>424</v>
      </c>
      <c r="CX30" s="109" t="s">
        <v>624</v>
      </c>
      <c r="CY30" s="109" t="s">
        <v>748</v>
      </c>
      <c r="CZ30" s="109" t="s">
        <v>309</v>
      </c>
      <c r="DA30" s="109" t="s">
        <v>309</v>
      </c>
      <c r="DB30" s="109" t="s">
        <v>480</v>
      </c>
      <c r="DC30" s="109" t="s">
        <v>480</v>
      </c>
      <c r="DD30" s="109" t="s">
        <v>489</v>
      </c>
      <c r="DE30" s="109" t="s">
        <v>489</v>
      </c>
      <c r="DF30" s="486" t="s">
        <v>797</v>
      </c>
      <c r="DG30" s="486" t="s">
        <v>797</v>
      </c>
      <c r="DH30" s="486" t="s">
        <v>797</v>
      </c>
      <c r="DI30" s="487" t="s">
        <v>806</v>
      </c>
      <c r="DJ30" s="487" t="s">
        <v>806</v>
      </c>
      <c r="DK30" s="131" t="s">
        <v>25</v>
      </c>
      <c r="DL30" s="131" t="s">
        <v>144</v>
      </c>
      <c r="DM30" s="131" t="s">
        <v>144</v>
      </c>
      <c r="DN30" s="131" t="s">
        <v>144</v>
      </c>
      <c r="DO30" s="131" t="s">
        <v>144</v>
      </c>
      <c r="DP30" s="131" t="s">
        <v>434</v>
      </c>
      <c r="DQ30" s="131" t="s">
        <v>144</v>
      </c>
      <c r="DR30" s="131" t="s">
        <v>25</v>
      </c>
      <c r="DS30" s="131" t="s">
        <v>25</v>
      </c>
      <c r="DT30" s="109" t="s">
        <v>462</v>
      </c>
      <c r="DU30" s="109" t="s">
        <v>462</v>
      </c>
      <c r="DV30" s="109" t="s">
        <v>462</v>
      </c>
      <c r="DW30" s="109" t="s">
        <v>462</v>
      </c>
      <c r="DX30" s="109" t="s">
        <v>462</v>
      </c>
      <c r="DY30" s="109" t="s">
        <v>462</v>
      </c>
      <c r="DZ30" s="109" t="s">
        <v>462</v>
      </c>
      <c r="EA30" s="109" t="s">
        <v>462</v>
      </c>
      <c r="EB30" s="109" t="s">
        <v>462</v>
      </c>
      <c r="EC30" s="109" t="s">
        <v>25</v>
      </c>
      <c r="ED30" s="109" t="s">
        <v>25</v>
      </c>
      <c r="EE30" s="109" t="s">
        <v>25</v>
      </c>
      <c r="EF30" s="109" t="s">
        <v>25</v>
      </c>
      <c r="EG30" s="109" t="s">
        <v>25</v>
      </c>
      <c r="EH30" s="109" t="s">
        <v>25</v>
      </c>
      <c r="EI30" s="109" t="s">
        <v>25</v>
      </c>
      <c r="EJ30" s="109" t="s">
        <v>462</v>
      </c>
      <c r="EK30" s="109" t="s">
        <v>462</v>
      </c>
      <c r="EL30" s="109" t="s">
        <v>462</v>
      </c>
      <c r="EM30" s="109" t="s">
        <v>462</v>
      </c>
      <c r="EN30" s="109" t="s">
        <v>462</v>
      </c>
      <c r="EO30" s="109" t="s">
        <v>462</v>
      </c>
      <c r="EP30" s="109" t="s">
        <v>462</v>
      </c>
      <c r="EQ30" s="109" t="s">
        <v>462</v>
      </c>
      <c r="ER30" s="109" t="s">
        <v>462</v>
      </c>
      <c r="ES30" s="109" t="s">
        <v>462</v>
      </c>
      <c r="ET30" s="109" t="s">
        <v>462</v>
      </c>
      <c r="EU30" s="109" t="s">
        <v>462</v>
      </c>
      <c r="EV30" s="109" t="s">
        <v>462</v>
      </c>
      <c r="EW30" s="109" t="s">
        <v>462</v>
      </c>
      <c r="EX30" s="109" t="s">
        <v>462</v>
      </c>
      <c r="EY30" s="109" t="s">
        <v>462</v>
      </c>
      <c r="EZ30" s="109" t="s">
        <v>462</v>
      </c>
      <c r="FA30" s="109" t="s">
        <v>462</v>
      </c>
      <c r="FB30" s="109" t="s">
        <v>462</v>
      </c>
      <c r="FC30" s="109" t="s">
        <v>462</v>
      </c>
      <c r="FD30" s="109" t="s">
        <v>462</v>
      </c>
      <c r="FE30" s="109" t="s">
        <v>462</v>
      </c>
      <c r="FF30" s="109" t="s">
        <v>462</v>
      </c>
      <c r="FG30" s="109" t="s">
        <v>462</v>
      </c>
      <c r="FH30" s="109" t="s">
        <v>462</v>
      </c>
      <c r="FI30" s="109" t="s">
        <v>462</v>
      </c>
      <c r="FJ30" s="109" t="s">
        <v>462</v>
      </c>
      <c r="FK30" s="109" t="s">
        <v>462</v>
      </c>
      <c r="FL30" s="109" t="s">
        <v>462</v>
      </c>
      <c r="FM30" s="109" t="s">
        <v>462</v>
      </c>
      <c r="FN30" s="109" t="s">
        <v>462</v>
      </c>
      <c r="FO30" s="109" t="s">
        <v>462</v>
      </c>
      <c r="FP30" s="109" t="s">
        <v>462</v>
      </c>
      <c r="FQ30" s="109" t="s">
        <v>462</v>
      </c>
      <c r="FR30" s="109" t="s">
        <v>462</v>
      </c>
      <c r="FS30" s="109" t="s">
        <v>462</v>
      </c>
      <c r="FT30" s="109" t="s">
        <v>462</v>
      </c>
      <c r="FU30" s="109" t="s">
        <v>462</v>
      </c>
      <c r="FV30" s="109" t="s">
        <v>462</v>
      </c>
      <c r="FW30" s="109" t="s">
        <v>462</v>
      </c>
      <c r="FX30" s="109" t="s">
        <v>462</v>
      </c>
      <c r="FY30" s="109" t="s">
        <v>462</v>
      </c>
      <c r="FZ30" s="109" t="s">
        <v>462</v>
      </c>
      <c r="GA30" s="109" t="s">
        <v>462</v>
      </c>
      <c r="GB30" s="109" t="s">
        <v>462</v>
      </c>
      <c r="GC30" s="109" t="s">
        <v>462</v>
      </c>
      <c r="GD30" s="109" t="s">
        <v>625</v>
      </c>
      <c r="GE30" s="109" t="s">
        <v>625</v>
      </c>
      <c r="GF30" s="109" t="s">
        <v>625</v>
      </c>
      <c r="GG30" s="109" t="s">
        <v>625</v>
      </c>
      <c r="GH30" s="109" t="s">
        <v>625</v>
      </c>
      <c r="GI30" s="109" t="s">
        <v>625</v>
      </c>
      <c r="GJ30" s="109" t="s">
        <v>625</v>
      </c>
      <c r="GK30" s="109" t="s">
        <v>625</v>
      </c>
      <c r="GL30" s="109" t="s">
        <v>625</v>
      </c>
      <c r="GM30" s="109" t="s">
        <v>625</v>
      </c>
      <c r="GN30" s="109" t="s">
        <v>625</v>
      </c>
      <c r="GO30" s="109" t="s">
        <v>625</v>
      </c>
      <c r="GP30" s="109" t="s">
        <v>625</v>
      </c>
      <c r="GQ30" s="109" t="s">
        <v>625</v>
      </c>
      <c r="GR30" s="109" t="s">
        <v>625</v>
      </c>
      <c r="GS30" s="109" t="s">
        <v>625</v>
      </c>
      <c r="GT30" s="109" t="s">
        <v>625</v>
      </c>
      <c r="GU30" s="109" t="s">
        <v>625</v>
      </c>
      <c r="GV30" s="109" t="s">
        <v>625</v>
      </c>
      <c r="GW30" s="109" t="s">
        <v>625</v>
      </c>
      <c r="GX30" s="109" t="s">
        <v>625</v>
      </c>
      <c r="GY30" s="109" t="s">
        <v>625</v>
      </c>
      <c r="GZ30" s="109" t="s">
        <v>426</v>
      </c>
      <c r="HA30" s="109" t="s">
        <v>426</v>
      </c>
      <c r="HB30" s="109" t="s">
        <v>426</v>
      </c>
      <c r="HC30" s="109" t="s">
        <v>426</v>
      </c>
      <c r="HD30" s="109" t="s">
        <v>426</v>
      </c>
      <c r="HE30" s="109" t="s">
        <v>426</v>
      </c>
      <c r="HF30" s="109" t="s">
        <v>426</v>
      </c>
      <c r="HG30" s="109" t="s">
        <v>426</v>
      </c>
      <c r="HH30" s="109" t="s">
        <v>426</v>
      </c>
      <c r="HI30" s="109" t="s">
        <v>426</v>
      </c>
      <c r="HJ30" s="109" t="s">
        <v>426</v>
      </c>
      <c r="HK30" s="109" t="s">
        <v>426</v>
      </c>
      <c r="HL30" s="109" t="s">
        <v>426</v>
      </c>
      <c r="HM30" s="109" t="s">
        <v>426</v>
      </c>
      <c r="HN30" s="109" t="s">
        <v>426</v>
      </c>
      <c r="HO30" s="109" t="s">
        <v>426</v>
      </c>
      <c r="HP30" s="109" t="s">
        <v>426</v>
      </c>
      <c r="HQ30" s="109" t="s">
        <v>426</v>
      </c>
      <c r="HR30" s="109" t="s">
        <v>426</v>
      </c>
      <c r="HS30" s="109" t="s">
        <v>426</v>
      </c>
      <c r="HT30" s="109" t="s">
        <v>426</v>
      </c>
      <c r="HU30" s="109" t="s">
        <v>426</v>
      </c>
      <c r="HV30" s="109" t="s">
        <v>426</v>
      </c>
      <c r="HW30" s="109" t="s">
        <v>426</v>
      </c>
      <c r="HX30" s="109" t="s">
        <v>426</v>
      </c>
      <c r="HY30" s="109" t="s">
        <v>426</v>
      </c>
    </row>
    <row r="31" spans="1:233" ht="84">
      <c r="A31" s="297" t="s">
        <v>392</v>
      </c>
      <c r="B31" s="301">
        <v>663</v>
      </c>
      <c r="C31" s="173" t="s">
        <v>234</v>
      </c>
      <c r="D31" s="487" t="s">
        <v>821</v>
      </c>
      <c r="E31" s="487" t="s">
        <v>901</v>
      </c>
      <c r="F31" s="487" t="s">
        <v>902</v>
      </c>
      <c r="G31" s="109" t="s">
        <v>157</v>
      </c>
      <c r="H31" s="109" t="s">
        <v>177</v>
      </c>
      <c r="I31" s="593" t="s">
        <v>828</v>
      </c>
      <c r="J31" s="593" t="s">
        <v>828</v>
      </c>
      <c r="K31" s="593" t="s">
        <v>904</v>
      </c>
      <c r="L31" s="593" t="s">
        <v>904</v>
      </c>
      <c r="M31" s="593" t="s">
        <v>905</v>
      </c>
      <c r="N31" s="593" t="s">
        <v>905</v>
      </c>
      <c r="O31" s="109" t="s">
        <v>177</v>
      </c>
      <c r="P31" s="109" t="s">
        <v>177</v>
      </c>
      <c r="Q31" s="109" t="s">
        <v>631</v>
      </c>
      <c r="R31" s="109" t="s">
        <v>631</v>
      </c>
      <c r="S31" s="109" t="s">
        <v>631</v>
      </c>
      <c r="T31" s="109" t="s">
        <v>631</v>
      </c>
      <c r="U31" s="109" t="s">
        <v>631</v>
      </c>
      <c r="V31" s="109" t="s">
        <v>631</v>
      </c>
      <c r="W31" s="109" t="s">
        <v>631</v>
      </c>
      <c r="X31" s="109" t="s">
        <v>631</v>
      </c>
      <c r="Y31" s="109" t="s">
        <v>439</v>
      </c>
      <c r="Z31" s="109" t="s">
        <v>439</v>
      </c>
      <c r="AA31" s="109" t="s">
        <v>439</v>
      </c>
      <c r="AB31" s="109" t="s">
        <v>439</v>
      </c>
      <c r="AC31" s="109" t="s">
        <v>629</v>
      </c>
      <c r="AD31" s="109" t="s">
        <v>630</v>
      </c>
      <c r="AE31" s="593" t="s">
        <v>829</v>
      </c>
      <c r="AF31" s="593" t="s">
        <v>911</v>
      </c>
      <c r="AG31" s="593" t="s">
        <v>912</v>
      </c>
      <c r="AH31" s="109" t="s">
        <v>632</v>
      </c>
      <c r="AI31" s="109" t="s">
        <v>627</v>
      </c>
      <c r="AJ31" s="487" t="s">
        <v>163</v>
      </c>
      <c r="AK31" s="487" t="s">
        <v>917</v>
      </c>
      <c r="AL31" s="487" t="s">
        <v>918</v>
      </c>
      <c r="AM31" s="487" t="s">
        <v>919</v>
      </c>
      <c r="AN31" s="593" t="s">
        <v>837</v>
      </c>
      <c r="AO31" s="593" t="s">
        <v>920</v>
      </c>
      <c r="AP31" s="593" t="s">
        <v>921</v>
      </c>
      <c r="AQ31" s="109" t="s">
        <v>359</v>
      </c>
      <c r="AR31" s="593" t="s">
        <v>837</v>
      </c>
      <c r="AS31" s="593" t="s">
        <v>920</v>
      </c>
      <c r="AT31" s="593" t="s">
        <v>921</v>
      </c>
      <c r="AU31" s="109" t="s">
        <v>359</v>
      </c>
      <c r="AV31" s="109" t="s">
        <v>359</v>
      </c>
      <c r="AW31" s="593" t="s">
        <v>844</v>
      </c>
      <c r="AX31" s="593" t="s">
        <v>924</v>
      </c>
      <c r="AY31" s="593" t="s">
        <v>925</v>
      </c>
      <c r="AZ31" s="109" t="s">
        <v>628</v>
      </c>
      <c r="BA31" s="593" t="s">
        <v>844</v>
      </c>
      <c r="BB31" s="593" t="s">
        <v>924</v>
      </c>
      <c r="BC31" s="593" t="s">
        <v>928</v>
      </c>
      <c r="BD31" s="109" t="s">
        <v>628</v>
      </c>
      <c r="BE31" s="593" t="s">
        <v>846</v>
      </c>
      <c r="BF31" s="593" t="s">
        <v>929</v>
      </c>
      <c r="BG31" s="593" t="s">
        <v>930</v>
      </c>
      <c r="BH31" s="109" t="s">
        <v>310</v>
      </c>
      <c r="BI31" s="593" t="s">
        <v>846</v>
      </c>
      <c r="BJ31" s="593" t="s">
        <v>933</v>
      </c>
      <c r="BK31" s="593" t="s">
        <v>930</v>
      </c>
      <c r="BL31" s="109" t="s">
        <v>310</v>
      </c>
      <c r="BM31" s="593" t="s">
        <v>846</v>
      </c>
      <c r="BN31" s="593" t="s">
        <v>933</v>
      </c>
      <c r="BO31" s="593" t="s">
        <v>930</v>
      </c>
      <c r="BP31" s="109" t="s">
        <v>310</v>
      </c>
      <c r="BQ31" s="593" t="s">
        <v>846</v>
      </c>
      <c r="BR31" s="593" t="s">
        <v>933</v>
      </c>
      <c r="BS31" s="593" t="s">
        <v>930</v>
      </c>
      <c r="BT31" s="109" t="s">
        <v>310</v>
      </c>
      <c r="BU31" s="487" t="s">
        <v>786</v>
      </c>
      <c r="BV31" s="487" t="s">
        <v>786</v>
      </c>
      <c r="BW31" s="487" t="s">
        <v>786</v>
      </c>
      <c r="BX31" s="487" t="s">
        <v>786</v>
      </c>
      <c r="BY31" s="487" t="s">
        <v>1067</v>
      </c>
      <c r="BZ31" s="487" t="s">
        <v>1067</v>
      </c>
      <c r="CA31" s="487" t="s">
        <v>1067</v>
      </c>
      <c r="CB31" s="487" t="s">
        <v>1067</v>
      </c>
      <c r="CC31" s="487" t="s">
        <v>786</v>
      </c>
      <c r="CD31" s="487" t="s">
        <v>786</v>
      </c>
      <c r="CE31" s="487" t="s">
        <v>1067</v>
      </c>
      <c r="CF31" s="487" t="s">
        <v>1067</v>
      </c>
      <c r="CG31" s="487" t="s">
        <v>1068</v>
      </c>
      <c r="CH31" s="487" t="s">
        <v>1068</v>
      </c>
      <c r="CI31" s="109" t="s">
        <v>626</v>
      </c>
      <c r="CJ31" s="109" t="s">
        <v>28</v>
      </c>
      <c r="CK31" s="109" t="s">
        <v>301</v>
      </c>
      <c r="CL31" s="109" t="s">
        <v>301</v>
      </c>
      <c r="CM31" s="109" t="s">
        <v>301</v>
      </c>
      <c r="CN31" s="109" t="s">
        <v>301</v>
      </c>
      <c r="CO31" s="109" t="s">
        <v>301</v>
      </c>
      <c r="CP31" s="109" t="s">
        <v>177</v>
      </c>
      <c r="CQ31" s="109" t="s">
        <v>630</v>
      </c>
      <c r="CR31" s="109" t="s">
        <v>376</v>
      </c>
      <c r="CS31" s="109" t="s">
        <v>38</v>
      </c>
      <c r="CT31" s="109" t="s">
        <v>314</v>
      </c>
      <c r="CU31" s="109" t="s">
        <v>633</v>
      </c>
      <c r="CV31" s="109" t="s">
        <v>633</v>
      </c>
      <c r="CW31" s="109" t="s">
        <v>633</v>
      </c>
      <c r="CX31" s="109" t="s">
        <v>359</v>
      </c>
      <c r="CY31" s="109" t="s">
        <v>628</v>
      </c>
      <c r="CZ31" s="109" t="s">
        <v>310</v>
      </c>
      <c r="DA31" s="109" t="s">
        <v>310</v>
      </c>
      <c r="DB31" s="109" t="s">
        <v>634</v>
      </c>
      <c r="DC31" s="109" t="s">
        <v>634</v>
      </c>
      <c r="DD31" s="109" t="s">
        <v>635</v>
      </c>
      <c r="DE31" s="109" t="s">
        <v>635</v>
      </c>
      <c r="DF31" s="487" t="s">
        <v>798</v>
      </c>
      <c r="DG31" s="487" t="s">
        <v>802</v>
      </c>
      <c r="DH31" s="487" t="s">
        <v>801</v>
      </c>
      <c r="DI31" s="487" t="s">
        <v>807</v>
      </c>
      <c r="DJ31" s="487" t="s">
        <v>807</v>
      </c>
      <c r="DK31" s="109" t="s">
        <v>40</v>
      </c>
      <c r="DL31" s="109" t="s">
        <v>40</v>
      </c>
      <c r="DM31" s="109" t="s">
        <v>40</v>
      </c>
      <c r="DN31" s="109" t="s">
        <v>40</v>
      </c>
      <c r="DO31" s="109" t="s">
        <v>40</v>
      </c>
      <c r="DP31" s="109" t="s">
        <v>40</v>
      </c>
      <c r="DQ31" s="109" t="s">
        <v>40</v>
      </c>
      <c r="DR31" s="109" t="s">
        <v>40</v>
      </c>
      <c r="DS31" s="109" t="s">
        <v>40</v>
      </c>
      <c r="DT31" s="109" t="s">
        <v>43</v>
      </c>
      <c r="DU31" s="109" t="s">
        <v>43</v>
      </c>
      <c r="DV31" s="109" t="s">
        <v>43</v>
      </c>
      <c r="DW31" s="109" t="s">
        <v>43</v>
      </c>
      <c r="DX31" s="109" t="s">
        <v>43</v>
      </c>
      <c r="DY31" s="109" t="s">
        <v>43</v>
      </c>
      <c r="DZ31" s="487" t="s">
        <v>1055</v>
      </c>
      <c r="EA31" s="109" t="s">
        <v>1055</v>
      </c>
      <c r="EB31" s="109" t="s">
        <v>1055</v>
      </c>
      <c r="EC31" s="109" t="s">
        <v>1055</v>
      </c>
      <c r="ED31" s="109" t="s">
        <v>1055</v>
      </c>
      <c r="EE31" s="109" t="s">
        <v>1055</v>
      </c>
      <c r="EF31" s="109" t="s">
        <v>1055</v>
      </c>
      <c r="EG31" s="109" t="s">
        <v>1055</v>
      </c>
      <c r="EH31" s="109" t="s">
        <v>1055</v>
      </c>
      <c r="EI31" s="109" t="s">
        <v>1055</v>
      </c>
      <c r="EJ31" s="487" t="s">
        <v>1056</v>
      </c>
      <c r="EK31" s="109" t="s">
        <v>1056</v>
      </c>
      <c r="EL31" s="109" t="s">
        <v>1056</v>
      </c>
      <c r="EM31" s="109" t="s">
        <v>1056</v>
      </c>
      <c r="EN31" s="109" t="s">
        <v>1056</v>
      </c>
      <c r="EO31" s="109" t="s">
        <v>1056</v>
      </c>
      <c r="EP31" s="109" t="s">
        <v>1056</v>
      </c>
      <c r="EQ31" s="109" t="s">
        <v>1056</v>
      </c>
      <c r="ER31" s="109" t="s">
        <v>1056</v>
      </c>
      <c r="ES31" s="109" t="s">
        <v>1056</v>
      </c>
      <c r="ET31" s="487" t="s">
        <v>1057</v>
      </c>
      <c r="EU31" s="109" t="s">
        <v>1057</v>
      </c>
      <c r="EV31" s="109" t="s">
        <v>1057</v>
      </c>
      <c r="EW31" s="109" t="s">
        <v>1057</v>
      </c>
      <c r="EX31" s="109" t="s">
        <v>1057</v>
      </c>
      <c r="EY31" s="109" t="s">
        <v>1057</v>
      </c>
      <c r="EZ31" s="109" t="s">
        <v>1057</v>
      </c>
      <c r="FA31" s="109" t="s">
        <v>1057</v>
      </c>
      <c r="FB31" s="109" t="s">
        <v>1057</v>
      </c>
      <c r="FC31" s="109" t="s">
        <v>1057</v>
      </c>
      <c r="FD31" s="487" t="s">
        <v>1058</v>
      </c>
      <c r="FE31" s="109" t="s">
        <v>1058</v>
      </c>
      <c r="FF31" s="109" t="s">
        <v>1058</v>
      </c>
      <c r="FG31" s="109" t="s">
        <v>1058</v>
      </c>
      <c r="FH31" s="109" t="s">
        <v>1058</v>
      </c>
      <c r="FI31" s="109" t="s">
        <v>1058</v>
      </c>
      <c r="FJ31" s="109" t="s">
        <v>1058</v>
      </c>
      <c r="FK31" s="109" t="s">
        <v>1058</v>
      </c>
      <c r="FL31" s="109" t="s">
        <v>1058</v>
      </c>
      <c r="FM31" s="109" t="s">
        <v>1058</v>
      </c>
      <c r="FN31" s="109" t="s">
        <v>43</v>
      </c>
      <c r="FO31" s="109" t="s">
        <v>43</v>
      </c>
      <c r="FP31" s="109" t="s">
        <v>43</v>
      </c>
      <c r="FQ31" s="109" t="s">
        <v>43</v>
      </c>
      <c r="FR31" s="109" t="s">
        <v>43</v>
      </c>
      <c r="FS31" s="109" t="s">
        <v>43</v>
      </c>
      <c r="FT31" s="109" t="s">
        <v>43</v>
      </c>
      <c r="FU31" s="109" t="s">
        <v>43</v>
      </c>
      <c r="FV31" s="109" t="s">
        <v>43</v>
      </c>
      <c r="FW31" s="109" t="s">
        <v>43</v>
      </c>
      <c r="FX31" s="109" t="s">
        <v>43</v>
      </c>
      <c r="FY31" s="109" t="s">
        <v>43</v>
      </c>
      <c r="FZ31" s="109" t="s">
        <v>43</v>
      </c>
      <c r="GA31" s="109" t="s">
        <v>43</v>
      </c>
      <c r="GB31" s="109" t="s">
        <v>43</v>
      </c>
      <c r="GC31" s="109" t="s">
        <v>43</v>
      </c>
      <c r="GD31" s="109" t="s">
        <v>44</v>
      </c>
      <c r="GE31" s="109" t="s">
        <v>44</v>
      </c>
      <c r="GF31" s="109" t="s">
        <v>44</v>
      </c>
      <c r="GG31" s="109" t="s">
        <v>44</v>
      </c>
      <c r="GH31" s="109" t="s">
        <v>44</v>
      </c>
      <c r="GI31" s="109" t="s">
        <v>44</v>
      </c>
      <c r="GJ31" s="109" t="s">
        <v>44</v>
      </c>
      <c r="GK31" s="109" t="s">
        <v>44</v>
      </c>
      <c r="GL31" s="109" t="s">
        <v>44</v>
      </c>
      <c r="GM31" s="109" t="s">
        <v>44</v>
      </c>
      <c r="GN31" s="109" t="s">
        <v>44</v>
      </c>
      <c r="GO31" s="109" t="s">
        <v>44</v>
      </c>
      <c r="GP31" s="109" t="s">
        <v>44</v>
      </c>
      <c r="GQ31" s="109" t="s">
        <v>44</v>
      </c>
      <c r="GR31" s="109" t="s">
        <v>44</v>
      </c>
      <c r="GS31" s="109" t="s">
        <v>44</v>
      </c>
      <c r="GT31" s="109" t="s">
        <v>44</v>
      </c>
      <c r="GU31" s="109" t="s">
        <v>44</v>
      </c>
      <c r="GV31" s="109" t="s">
        <v>44</v>
      </c>
      <c r="GW31" s="109" t="s">
        <v>44</v>
      </c>
      <c r="GX31" s="109" t="s">
        <v>44</v>
      </c>
      <c r="GY31" s="109" t="s">
        <v>44</v>
      </c>
      <c r="GZ31" s="109" t="s">
        <v>44</v>
      </c>
      <c r="HA31" s="109"/>
      <c r="HB31" s="109"/>
      <c r="HC31" s="109"/>
      <c r="HD31" s="109"/>
      <c r="HE31" s="109"/>
      <c r="HF31" s="109"/>
      <c r="HG31" s="109"/>
      <c r="HH31" s="109"/>
      <c r="HI31" s="109"/>
      <c r="HJ31" s="109"/>
      <c r="HK31" s="109"/>
      <c r="HL31" s="109"/>
      <c r="HM31" s="109"/>
      <c r="HN31" s="109"/>
      <c r="HO31" s="109"/>
      <c r="HP31" s="109"/>
      <c r="HQ31" s="109"/>
      <c r="HR31" s="109"/>
      <c r="HS31" s="109"/>
      <c r="HT31" s="109"/>
      <c r="HU31" s="109"/>
      <c r="HV31" s="109"/>
      <c r="HW31" s="109"/>
      <c r="HX31" s="109"/>
      <c r="HY31" s="109"/>
    </row>
    <row r="32" spans="1:233" ht="128.25" customHeight="1">
      <c r="A32" s="297" t="s">
        <v>391</v>
      </c>
      <c r="B32" s="301">
        <v>692</v>
      </c>
      <c r="C32" s="173" t="s">
        <v>234</v>
      </c>
      <c r="D32" s="109" t="s">
        <v>205</v>
      </c>
      <c r="E32" s="109" t="s">
        <v>205</v>
      </c>
      <c r="F32" s="109" t="s">
        <v>205</v>
      </c>
      <c r="G32" s="109" t="s">
        <v>205</v>
      </c>
      <c r="H32" s="109" t="s">
        <v>209</v>
      </c>
      <c r="I32" s="109" t="s">
        <v>209</v>
      </c>
      <c r="J32" s="109" t="s">
        <v>209</v>
      </c>
      <c r="K32" s="109" t="s">
        <v>209</v>
      </c>
      <c r="L32" s="109" t="s">
        <v>209</v>
      </c>
      <c r="M32" s="109" t="s">
        <v>209</v>
      </c>
      <c r="N32" s="109" t="s">
        <v>209</v>
      </c>
      <c r="O32" s="109" t="s">
        <v>209</v>
      </c>
      <c r="P32" s="109" t="s">
        <v>209</v>
      </c>
      <c r="Q32" s="109" t="s">
        <v>639</v>
      </c>
      <c r="R32" s="109" t="s">
        <v>639</v>
      </c>
      <c r="S32" s="109" t="s">
        <v>639</v>
      </c>
      <c r="T32" s="109" t="s">
        <v>639</v>
      </c>
      <c r="U32" s="487" t="s">
        <v>1078</v>
      </c>
      <c r="V32" s="109" t="s">
        <v>1078</v>
      </c>
      <c r="W32" s="109" t="s">
        <v>1078</v>
      </c>
      <c r="X32" s="109" t="s">
        <v>1078</v>
      </c>
      <c r="Y32" s="109" t="s">
        <v>440</v>
      </c>
      <c r="Z32" s="109" t="s">
        <v>440</v>
      </c>
      <c r="AA32" s="109" t="s">
        <v>440</v>
      </c>
      <c r="AB32" s="109" t="s">
        <v>440</v>
      </c>
      <c r="AC32" s="109" t="s">
        <v>636</v>
      </c>
      <c r="AD32" s="109" t="s">
        <v>728</v>
      </c>
      <c r="AE32" s="109" t="s">
        <v>416</v>
      </c>
      <c r="AF32" s="109" t="s">
        <v>416</v>
      </c>
      <c r="AG32" s="109" t="s">
        <v>416</v>
      </c>
      <c r="AH32" s="109" t="s">
        <v>416</v>
      </c>
      <c r="AI32" s="109" t="s">
        <v>416</v>
      </c>
      <c r="AJ32" s="487" t="s">
        <v>833</v>
      </c>
      <c r="AK32" s="487" t="s">
        <v>834</v>
      </c>
      <c r="AL32" s="487" t="s">
        <v>834</v>
      </c>
      <c r="AM32" s="487" t="s">
        <v>834</v>
      </c>
      <c r="AN32" s="109" t="s">
        <v>50</v>
      </c>
      <c r="AO32" s="109" t="s">
        <v>50</v>
      </c>
      <c r="AP32" s="109" t="s">
        <v>50</v>
      </c>
      <c r="AQ32" s="109" t="s">
        <v>50</v>
      </c>
      <c r="AR32" s="109" t="s">
        <v>50</v>
      </c>
      <c r="AS32" s="109" t="s">
        <v>50</v>
      </c>
      <c r="AT32" s="109" t="s">
        <v>50</v>
      </c>
      <c r="AU32" s="109" t="s">
        <v>50</v>
      </c>
      <c r="AV32" s="109" t="s">
        <v>50</v>
      </c>
      <c r="AW32" s="109" t="s">
        <v>438</v>
      </c>
      <c r="AX32" s="109" t="s">
        <v>438</v>
      </c>
      <c r="AY32" s="109" t="s">
        <v>438</v>
      </c>
      <c r="AZ32" s="109" t="s">
        <v>438</v>
      </c>
      <c r="BA32" s="109" t="s">
        <v>438</v>
      </c>
      <c r="BB32" s="109" t="s">
        <v>438</v>
      </c>
      <c r="BC32" s="109" t="s">
        <v>438</v>
      </c>
      <c r="BD32" s="109" t="s">
        <v>438</v>
      </c>
      <c r="BE32" s="109" t="s">
        <v>654</v>
      </c>
      <c r="BF32" s="109" t="s">
        <v>654</v>
      </c>
      <c r="BG32" s="109" t="s">
        <v>654</v>
      </c>
      <c r="BH32" s="109" t="s">
        <v>654</v>
      </c>
      <c r="BI32" s="109" t="s">
        <v>654</v>
      </c>
      <c r="BJ32" s="109" t="s">
        <v>654</v>
      </c>
      <c r="BK32" s="109" t="s">
        <v>654</v>
      </c>
      <c r="BL32" s="109" t="s">
        <v>654</v>
      </c>
      <c r="BM32" s="109" t="s">
        <v>654</v>
      </c>
      <c r="BN32" s="109" t="s">
        <v>654</v>
      </c>
      <c r="BO32" s="109" t="s">
        <v>654</v>
      </c>
      <c r="BP32" s="109" t="s">
        <v>654</v>
      </c>
      <c r="BQ32" s="109" t="s">
        <v>654</v>
      </c>
      <c r="BR32" s="109" t="s">
        <v>654</v>
      </c>
      <c r="BS32" s="109" t="s">
        <v>654</v>
      </c>
      <c r="BT32" s="109" t="s">
        <v>654</v>
      </c>
      <c r="BU32" s="109" t="s">
        <v>241</v>
      </c>
      <c r="BV32" s="109" t="s">
        <v>241</v>
      </c>
      <c r="BW32" s="109" t="s">
        <v>241</v>
      </c>
      <c r="BX32" s="109" t="s">
        <v>241</v>
      </c>
      <c r="BY32" s="109" t="s">
        <v>241</v>
      </c>
      <c r="BZ32" s="109" t="s">
        <v>241</v>
      </c>
      <c r="CA32" s="109" t="s">
        <v>241</v>
      </c>
      <c r="CB32" s="109" t="s">
        <v>241</v>
      </c>
      <c r="CC32" s="109" t="s">
        <v>241</v>
      </c>
      <c r="CD32" s="109" t="s">
        <v>241</v>
      </c>
      <c r="CE32" s="109" t="s">
        <v>241</v>
      </c>
      <c r="CF32" s="109" t="s">
        <v>241</v>
      </c>
      <c r="CG32" s="109" t="s">
        <v>241</v>
      </c>
      <c r="CH32" s="109" t="s">
        <v>241</v>
      </c>
      <c r="CI32" s="109" t="s">
        <v>48</v>
      </c>
      <c r="CJ32" s="109" t="s">
        <v>29</v>
      </c>
      <c r="CK32" s="109" t="s">
        <v>302</v>
      </c>
      <c r="CL32" s="109" t="s">
        <v>302</v>
      </c>
      <c r="CM32" s="109" t="s">
        <v>302</v>
      </c>
      <c r="CN32" s="109" t="s">
        <v>302</v>
      </c>
      <c r="CO32" s="109" t="s">
        <v>302</v>
      </c>
      <c r="CP32" s="109" t="s">
        <v>209</v>
      </c>
      <c r="CQ32" s="109" t="s">
        <v>728</v>
      </c>
      <c r="CR32" s="109" t="s">
        <v>377</v>
      </c>
      <c r="CS32" s="109" t="s">
        <v>165</v>
      </c>
      <c r="CT32" s="109" t="s">
        <v>166</v>
      </c>
      <c r="CU32" s="109" t="s">
        <v>436</v>
      </c>
      <c r="CV32" s="109" t="s">
        <v>436</v>
      </c>
      <c r="CW32" s="109" t="s">
        <v>436</v>
      </c>
      <c r="CX32" s="109" t="s">
        <v>358</v>
      </c>
      <c r="CY32" s="109" t="s">
        <v>438</v>
      </c>
      <c r="CZ32" s="109" t="s">
        <v>654</v>
      </c>
      <c r="DA32" s="109" t="s">
        <v>654</v>
      </c>
      <c r="DB32" s="109" t="s">
        <v>698</v>
      </c>
      <c r="DC32" s="109" t="s">
        <v>698</v>
      </c>
      <c r="DD32" s="109" t="s">
        <v>167</v>
      </c>
      <c r="DE32" s="109" t="s">
        <v>167</v>
      </c>
      <c r="DF32" s="131" t="s">
        <v>696</v>
      </c>
      <c r="DG32" s="131" t="s">
        <v>696</v>
      </c>
      <c r="DH32" s="131" t="s">
        <v>696</v>
      </c>
      <c r="DI32" s="109" t="s">
        <v>241</v>
      </c>
      <c r="DJ32" s="109" t="s">
        <v>241</v>
      </c>
      <c r="DK32" s="109" t="s">
        <v>172</v>
      </c>
      <c r="DL32" s="109" t="s">
        <v>672</v>
      </c>
      <c r="DM32" s="109" t="s">
        <v>672</v>
      </c>
      <c r="DN32" s="109" t="s">
        <v>672</v>
      </c>
      <c r="DO32" s="109" t="s">
        <v>672</v>
      </c>
      <c r="DP32" s="109" t="s">
        <v>672</v>
      </c>
      <c r="DQ32" s="109" t="s">
        <v>672</v>
      </c>
      <c r="DR32" s="109" t="s">
        <v>672</v>
      </c>
      <c r="DS32" s="109" t="s">
        <v>672</v>
      </c>
      <c r="DT32" s="109" t="s">
        <v>342</v>
      </c>
      <c r="DU32" s="109" t="s">
        <v>342</v>
      </c>
      <c r="DV32" s="109" t="s">
        <v>342</v>
      </c>
      <c r="DW32" s="109" t="s">
        <v>342</v>
      </c>
      <c r="DX32" s="109" t="s">
        <v>342</v>
      </c>
      <c r="DY32" s="109" t="s">
        <v>342</v>
      </c>
      <c r="DZ32" s="109" t="s">
        <v>342</v>
      </c>
      <c r="EA32" s="109" t="s">
        <v>342</v>
      </c>
      <c r="EB32" s="109" t="s">
        <v>342</v>
      </c>
      <c r="EC32" s="109" t="s">
        <v>672</v>
      </c>
      <c r="ED32" s="109" t="s">
        <v>672</v>
      </c>
      <c r="EE32" s="109" t="s">
        <v>672</v>
      </c>
      <c r="EF32" s="109" t="s">
        <v>672</v>
      </c>
      <c r="EG32" s="109" t="s">
        <v>672</v>
      </c>
      <c r="EH32" s="109" t="s">
        <v>672</v>
      </c>
      <c r="EI32" s="109" t="s">
        <v>672</v>
      </c>
      <c r="EJ32" s="109" t="s">
        <v>342</v>
      </c>
      <c r="EK32" s="109" t="s">
        <v>342</v>
      </c>
      <c r="EL32" s="109" t="s">
        <v>342</v>
      </c>
      <c r="EM32" s="109" t="s">
        <v>342</v>
      </c>
      <c r="EN32" s="109" t="s">
        <v>342</v>
      </c>
      <c r="EO32" s="109" t="s">
        <v>342</v>
      </c>
      <c r="EP32" s="109" t="s">
        <v>342</v>
      </c>
      <c r="EQ32" s="109" t="s">
        <v>342</v>
      </c>
      <c r="ER32" s="109" t="s">
        <v>342</v>
      </c>
      <c r="ES32" s="109" t="s">
        <v>342</v>
      </c>
      <c r="ET32" s="109" t="s">
        <v>342</v>
      </c>
      <c r="EU32" s="109" t="s">
        <v>342</v>
      </c>
      <c r="EV32" s="109" t="s">
        <v>342</v>
      </c>
      <c r="EW32" s="109" t="s">
        <v>342</v>
      </c>
      <c r="EX32" s="109" t="s">
        <v>342</v>
      </c>
      <c r="EY32" s="109" t="s">
        <v>342</v>
      </c>
      <c r="EZ32" s="109" t="s">
        <v>342</v>
      </c>
      <c r="FA32" s="109" t="s">
        <v>342</v>
      </c>
      <c r="FB32" s="109" t="s">
        <v>342</v>
      </c>
      <c r="FC32" s="109" t="s">
        <v>342</v>
      </c>
      <c r="FD32" s="109" t="s">
        <v>342</v>
      </c>
      <c r="FE32" s="109" t="s">
        <v>342</v>
      </c>
      <c r="FF32" s="109" t="s">
        <v>342</v>
      </c>
      <c r="FG32" s="109" t="s">
        <v>342</v>
      </c>
      <c r="FH32" s="109" t="s">
        <v>342</v>
      </c>
      <c r="FI32" s="109" t="s">
        <v>342</v>
      </c>
      <c r="FJ32" s="109" t="s">
        <v>342</v>
      </c>
      <c r="FK32" s="109" t="s">
        <v>342</v>
      </c>
      <c r="FL32" s="109" t="s">
        <v>342</v>
      </c>
      <c r="FM32" s="109" t="s">
        <v>342</v>
      </c>
      <c r="FN32" s="109" t="s">
        <v>342</v>
      </c>
      <c r="FO32" s="109" t="s">
        <v>342</v>
      </c>
      <c r="FP32" s="109" t="s">
        <v>342</v>
      </c>
      <c r="FQ32" s="109" t="s">
        <v>342</v>
      </c>
      <c r="FR32" s="109" t="s">
        <v>342</v>
      </c>
      <c r="FS32" s="109" t="s">
        <v>342</v>
      </c>
      <c r="FT32" s="109" t="s">
        <v>342</v>
      </c>
      <c r="FU32" s="109" t="s">
        <v>342</v>
      </c>
      <c r="FV32" s="109" t="s">
        <v>342</v>
      </c>
      <c r="FW32" s="109" t="s">
        <v>342</v>
      </c>
      <c r="FX32" s="109" t="s">
        <v>342</v>
      </c>
      <c r="FY32" s="109" t="s">
        <v>342</v>
      </c>
      <c r="FZ32" s="109" t="s">
        <v>342</v>
      </c>
      <c r="GA32" s="109" t="s">
        <v>342</v>
      </c>
      <c r="GB32" s="109" t="s">
        <v>342</v>
      </c>
      <c r="GC32" s="109" t="s">
        <v>342</v>
      </c>
      <c r="GD32" s="109" t="s">
        <v>185</v>
      </c>
      <c r="GE32" s="109" t="s">
        <v>186</v>
      </c>
      <c r="GF32" s="109" t="s">
        <v>187</v>
      </c>
      <c r="GG32" s="109" t="s">
        <v>188</v>
      </c>
      <c r="GH32" s="109" t="s">
        <v>189</v>
      </c>
      <c r="GI32" s="109" t="s">
        <v>190</v>
      </c>
      <c r="GJ32" s="109" t="s">
        <v>191</v>
      </c>
      <c r="GK32" s="109" t="s">
        <v>192</v>
      </c>
      <c r="GL32" s="109" t="s">
        <v>750</v>
      </c>
      <c r="GM32" s="109" t="s">
        <v>648</v>
      </c>
      <c r="GN32" s="109" t="s">
        <v>648</v>
      </c>
      <c r="GO32" s="109" t="s">
        <v>191</v>
      </c>
      <c r="GP32" s="109" t="s">
        <v>192</v>
      </c>
      <c r="GQ32" s="109" t="s">
        <v>750</v>
      </c>
      <c r="GR32" s="109" t="s">
        <v>648</v>
      </c>
      <c r="GS32" s="109" t="s">
        <v>649</v>
      </c>
      <c r="GT32" s="109" t="s">
        <v>650</v>
      </c>
      <c r="GU32" s="109" t="s">
        <v>651</v>
      </c>
      <c r="GV32" s="109" t="s">
        <v>651</v>
      </c>
      <c r="GW32" s="109" t="s">
        <v>652</v>
      </c>
      <c r="GX32" s="109" t="s">
        <v>653</v>
      </c>
      <c r="GY32" s="109" t="s">
        <v>653</v>
      </c>
      <c r="GZ32" s="109" t="s">
        <v>601</v>
      </c>
      <c r="HA32" s="109" t="s">
        <v>601</v>
      </c>
      <c r="HB32" s="109" t="s">
        <v>601</v>
      </c>
      <c r="HC32" s="109" t="s">
        <v>601</v>
      </c>
      <c r="HD32" s="109" t="s">
        <v>601</v>
      </c>
      <c r="HE32" s="109" t="s">
        <v>601</v>
      </c>
      <c r="HF32" s="109" t="s">
        <v>601</v>
      </c>
      <c r="HG32" s="109" t="s">
        <v>601</v>
      </c>
      <c r="HH32" s="109" t="s">
        <v>601</v>
      </c>
      <c r="HI32" s="109" t="s">
        <v>601</v>
      </c>
      <c r="HJ32" s="109" t="s">
        <v>601</v>
      </c>
      <c r="HK32" s="109" t="s">
        <v>601</v>
      </c>
      <c r="HL32" s="109" t="s">
        <v>601</v>
      </c>
      <c r="HM32" s="109" t="s">
        <v>601</v>
      </c>
      <c r="HN32" s="109" t="s">
        <v>601</v>
      </c>
      <c r="HO32" s="109" t="s">
        <v>601</v>
      </c>
      <c r="HP32" s="109" t="s">
        <v>601</v>
      </c>
      <c r="HQ32" s="109" t="s">
        <v>601</v>
      </c>
      <c r="HR32" s="109" t="s">
        <v>601</v>
      </c>
      <c r="HS32" s="109" t="s">
        <v>601</v>
      </c>
      <c r="HT32" s="109" t="s">
        <v>601</v>
      </c>
      <c r="HU32" s="109" t="s">
        <v>601</v>
      </c>
      <c r="HV32" s="109" t="s">
        <v>601</v>
      </c>
      <c r="HW32" s="109" t="s">
        <v>601</v>
      </c>
      <c r="HX32" s="109" t="s">
        <v>601</v>
      </c>
      <c r="HY32" s="109" t="s">
        <v>601</v>
      </c>
    </row>
    <row r="33" spans="1:233">
      <c r="A33" s="304" t="s">
        <v>235</v>
      </c>
      <c r="B33" s="301">
        <v>722</v>
      </c>
      <c r="C33" s="173" t="s">
        <v>236</v>
      </c>
      <c r="D33" s="633">
        <v>0</v>
      </c>
      <c r="E33" s="487">
        <v>0</v>
      </c>
      <c r="F33" s="487">
        <v>0</v>
      </c>
      <c r="G33" s="487">
        <v>0</v>
      </c>
      <c r="H33" s="487">
        <v>0</v>
      </c>
      <c r="I33" s="487">
        <v>0</v>
      </c>
      <c r="J33" s="487">
        <v>0</v>
      </c>
      <c r="K33" s="487">
        <v>0</v>
      </c>
      <c r="L33" s="487">
        <v>0</v>
      </c>
      <c r="M33" s="487">
        <v>0</v>
      </c>
      <c r="N33" s="487">
        <v>0</v>
      </c>
      <c r="O33" s="487">
        <v>0</v>
      </c>
      <c r="P33" s="487">
        <v>0</v>
      </c>
      <c r="Q33" s="487">
        <v>0</v>
      </c>
      <c r="R33" s="487">
        <v>0</v>
      </c>
      <c r="S33" s="487">
        <v>0</v>
      </c>
      <c r="T33" s="487">
        <v>0</v>
      </c>
      <c r="U33" s="487">
        <v>0</v>
      </c>
      <c r="V33" s="487">
        <v>0</v>
      </c>
      <c r="W33" s="487">
        <v>0</v>
      </c>
      <c r="X33" s="487">
        <v>0</v>
      </c>
      <c r="Y33" s="487">
        <v>0</v>
      </c>
      <c r="Z33" s="487">
        <v>0</v>
      </c>
      <c r="AA33" s="487">
        <v>0</v>
      </c>
      <c r="AB33" s="487">
        <v>0</v>
      </c>
      <c r="AC33" s="487">
        <v>0</v>
      </c>
      <c r="AD33" s="487">
        <v>0</v>
      </c>
      <c r="AE33" s="487">
        <v>0</v>
      </c>
      <c r="AF33" s="487">
        <v>0</v>
      </c>
      <c r="AG33" s="487">
        <v>0</v>
      </c>
      <c r="AH33" s="487">
        <v>0</v>
      </c>
      <c r="AI33" s="487">
        <v>0</v>
      </c>
      <c r="AJ33" s="487">
        <v>0</v>
      </c>
      <c r="AK33" s="487">
        <v>0</v>
      </c>
      <c r="AL33" s="487">
        <v>0</v>
      </c>
      <c r="AM33" s="487">
        <v>0</v>
      </c>
      <c r="AN33" s="487">
        <v>0</v>
      </c>
      <c r="AO33" s="487">
        <v>0</v>
      </c>
      <c r="AP33" s="487">
        <v>0</v>
      </c>
      <c r="AQ33" s="487">
        <v>0</v>
      </c>
      <c r="AR33" s="487">
        <v>0</v>
      </c>
      <c r="AS33" s="487">
        <v>0</v>
      </c>
      <c r="AT33" s="487">
        <v>0</v>
      </c>
      <c r="AU33" s="487">
        <v>0</v>
      </c>
      <c r="AV33" s="487">
        <v>0</v>
      </c>
      <c r="AW33" s="487">
        <v>0</v>
      </c>
      <c r="AX33" s="487">
        <v>0</v>
      </c>
      <c r="AY33" s="487">
        <v>0</v>
      </c>
      <c r="AZ33" s="487">
        <v>0</v>
      </c>
      <c r="BA33" s="487">
        <v>0</v>
      </c>
      <c r="BB33" s="487">
        <v>0</v>
      </c>
      <c r="BC33" s="487">
        <v>0</v>
      </c>
      <c r="BD33" s="487">
        <v>0</v>
      </c>
      <c r="BE33" s="487">
        <v>0</v>
      </c>
      <c r="BF33" s="487">
        <v>0</v>
      </c>
      <c r="BG33" s="487">
        <v>0</v>
      </c>
      <c r="BH33" s="487">
        <v>0</v>
      </c>
      <c r="BI33" s="487">
        <v>0</v>
      </c>
      <c r="BJ33" s="487">
        <v>0</v>
      </c>
      <c r="BK33" s="487">
        <v>0</v>
      </c>
      <c r="BL33" s="487">
        <v>0</v>
      </c>
      <c r="BM33" s="487">
        <v>0</v>
      </c>
      <c r="BN33" s="487">
        <v>0</v>
      </c>
      <c r="BO33" s="487">
        <v>0</v>
      </c>
      <c r="BP33" s="487">
        <v>0</v>
      </c>
      <c r="BQ33" s="487">
        <v>0</v>
      </c>
      <c r="BR33" s="487">
        <v>0</v>
      </c>
      <c r="BS33" s="487">
        <v>0</v>
      </c>
      <c r="BT33" s="487">
        <v>0</v>
      </c>
      <c r="BU33" s="487">
        <v>0</v>
      </c>
      <c r="BV33" s="487">
        <v>0</v>
      </c>
      <c r="BW33" s="487">
        <v>0</v>
      </c>
      <c r="BX33" s="487">
        <v>0</v>
      </c>
      <c r="BY33" s="487">
        <v>0</v>
      </c>
      <c r="BZ33" s="487">
        <v>0</v>
      </c>
      <c r="CA33" s="487">
        <v>0</v>
      </c>
      <c r="CB33" s="487">
        <v>0</v>
      </c>
      <c r="CC33" s="487">
        <v>0</v>
      </c>
      <c r="CD33" s="487">
        <v>0</v>
      </c>
      <c r="CE33" s="487">
        <v>0</v>
      </c>
      <c r="CF33" s="487">
        <v>0</v>
      </c>
      <c r="CG33" s="487">
        <v>0</v>
      </c>
      <c r="CH33" s="487">
        <v>0</v>
      </c>
      <c r="CI33" s="109">
        <v>10</v>
      </c>
      <c r="CJ33" s="109">
        <v>10</v>
      </c>
      <c r="CK33" s="109">
        <v>50</v>
      </c>
      <c r="CL33" s="109">
        <v>50</v>
      </c>
      <c r="CM33" s="109">
        <v>50</v>
      </c>
      <c r="CN33" s="109">
        <v>50</v>
      </c>
      <c r="CO33" s="109">
        <v>50</v>
      </c>
      <c r="CP33" s="109">
        <v>0</v>
      </c>
      <c r="CQ33" s="109">
        <v>10</v>
      </c>
      <c r="CR33" s="487">
        <v>0</v>
      </c>
      <c r="CS33" s="487">
        <v>0</v>
      </c>
      <c r="CT33" s="487">
        <v>0</v>
      </c>
      <c r="CU33" s="487">
        <v>0</v>
      </c>
      <c r="CV33" s="487">
        <v>0</v>
      </c>
      <c r="CW33" s="487">
        <v>0</v>
      </c>
      <c r="CX33" s="487">
        <v>0</v>
      </c>
      <c r="CY33" s="487">
        <v>0</v>
      </c>
      <c r="CZ33" s="487">
        <v>0</v>
      </c>
      <c r="DA33" s="487">
        <v>0</v>
      </c>
      <c r="DB33" s="487">
        <v>0</v>
      </c>
      <c r="DC33" s="487">
        <v>0</v>
      </c>
      <c r="DD33" s="487">
        <v>0</v>
      </c>
      <c r="DE33" s="487">
        <v>0</v>
      </c>
      <c r="DF33" s="487">
        <v>0</v>
      </c>
      <c r="DG33" s="487">
        <v>0</v>
      </c>
      <c r="DH33" s="487">
        <v>0</v>
      </c>
      <c r="DI33" s="487">
        <v>0</v>
      </c>
      <c r="DJ33" s="487">
        <v>0</v>
      </c>
      <c r="DK33" s="109">
        <v>5</v>
      </c>
      <c r="DL33" s="109">
        <v>10</v>
      </c>
      <c r="DM33" s="109">
        <v>10</v>
      </c>
      <c r="DN33" s="109">
        <v>10</v>
      </c>
      <c r="DO33" s="109">
        <v>10</v>
      </c>
      <c r="DP33" s="109">
        <v>0</v>
      </c>
      <c r="DQ33" s="109">
        <v>10</v>
      </c>
      <c r="DR33" s="109">
        <v>10</v>
      </c>
      <c r="DS33" s="109">
        <v>10</v>
      </c>
      <c r="DT33" s="109">
        <v>50</v>
      </c>
      <c r="DU33" s="109">
        <v>50</v>
      </c>
      <c r="DV33" s="109">
        <v>50</v>
      </c>
      <c r="DW33" s="109">
        <v>50</v>
      </c>
      <c r="DX33" s="109">
        <v>50</v>
      </c>
      <c r="DY33" s="109">
        <v>50</v>
      </c>
      <c r="DZ33" s="109">
        <v>50</v>
      </c>
      <c r="EA33" s="109">
        <v>50</v>
      </c>
      <c r="EB33" s="109">
        <v>50</v>
      </c>
      <c r="EC33" s="109">
        <v>50</v>
      </c>
      <c r="ED33" s="109">
        <v>50</v>
      </c>
      <c r="EE33" s="109">
        <v>50</v>
      </c>
      <c r="EF33" s="109">
        <v>50</v>
      </c>
      <c r="EG33" s="109">
        <v>50</v>
      </c>
      <c r="EH33" s="109">
        <v>50</v>
      </c>
      <c r="EI33" s="109">
        <v>50</v>
      </c>
      <c r="EJ33" s="109">
        <v>50</v>
      </c>
      <c r="EK33" s="109">
        <v>50</v>
      </c>
      <c r="EL33" s="109">
        <v>50</v>
      </c>
      <c r="EM33" s="109">
        <v>50</v>
      </c>
      <c r="EN33" s="109">
        <v>50</v>
      </c>
      <c r="EO33" s="109">
        <v>50</v>
      </c>
      <c r="EP33" s="109">
        <v>50</v>
      </c>
      <c r="EQ33" s="109">
        <v>50</v>
      </c>
      <c r="ER33" s="109">
        <v>50</v>
      </c>
      <c r="ES33" s="109">
        <v>50</v>
      </c>
      <c r="ET33" s="109">
        <v>50</v>
      </c>
      <c r="EU33" s="109">
        <v>50</v>
      </c>
      <c r="EV33" s="109">
        <v>50</v>
      </c>
      <c r="EW33" s="109">
        <v>50</v>
      </c>
      <c r="EX33" s="109">
        <v>50</v>
      </c>
      <c r="EY33" s="109">
        <v>50</v>
      </c>
      <c r="EZ33" s="109">
        <v>50</v>
      </c>
      <c r="FA33" s="109">
        <v>50</v>
      </c>
      <c r="FB33" s="109">
        <v>50</v>
      </c>
      <c r="FC33" s="109">
        <v>50</v>
      </c>
      <c r="FD33" s="109">
        <v>50</v>
      </c>
      <c r="FE33" s="109">
        <v>50</v>
      </c>
      <c r="FF33" s="109">
        <v>50</v>
      </c>
      <c r="FG33" s="109">
        <v>50</v>
      </c>
      <c r="FH33" s="109">
        <v>50</v>
      </c>
      <c r="FI33" s="109">
        <v>50</v>
      </c>
      <c r="FJ33" s="109">
        <v>50</v>
      </c>
      <c r="FK33" s="109">
        <v>50</v>
      </c>
      <c r="FL33" s="109">
        <v>50</v>
      </c>
      <c r="FM33" s="109">
        <v>50</v>
      </c>
      <c r="FN33" s="109">
        <v>50</v>
      </c>
      <c r="FO33" s="109">
        <v>50</v>
      </c>
      <c r="FP33" s="109">
        <v>50</v>
      </c>
      <c r="FQ33" s="109">
        <v>50</v>
      </c>
      <c r="FR33" s="109">
        <v>50</v>
      </c>
      <c r="FS33" s="109">
        <v>50</v>
      </c>
      <c r="FT33" s="109">
        <v>50</v>
      </c>
      <c r="FU33" s="109">
        <v>50</v>
      </c>
      <c r="FV33" s="109">
        <v>50</v>
      </c>
      <c r="FW33" s="109">
        <v>50</v>
      </c>
      <c r="FX33" s="109">
        <v>50</v>
      </c>
      <c r="FY33" s="109">
        <v>50</v>
      </c>
      <c r="FZ33" s="109">
        <v>50</v>
      </c>
      <c r="GA33" s="109">
        <v>50</v>
      </c>
      <c r="GB33" s="109">
        <v>50</v>
      </c>
      <c r="GC33" s="109">
        <v>50</v>
      </c>
      <c r="GD33" s="109">
        <v>100</v>
      </c>
      <c r="GE33" s="109">
        <v>100</v>
      </c>
      <c r="GF33" s="109">
        <v>100</v>
      </c>
      <c r="GG33" s="109">
        <v>100</v>
      </c>
      <c r="GH33" s="109">
        <v>100</v>
      </c>
      <c r="GI33" s="109">
        <v>100</v>
      </c>
      <c r="GJ33" s="109">
        <v>100</v>
      </c>
      <c r="GK33" s="109">
        <v>100</v>
      </c>
      <c r="GL33" s="109">
        <v>100</v>
      </c>
      <c r="GM33" s="109">
        <v>100</v>
      </c>
      <c r="GN33" s="109">
        <v>100</v>
      </c>
      <c r="GO33" s="109">
        <v>100</v>
      </c>
      <c r="GP33" s="109">
        <v>100</v>
      </c>
      <c r="GQ33" s="109">
        <v>100</v>
      </c>
      <c r="GR33" s="109">
        <v>100</v>
      </c>
      <c r="GS33" s="109">
        <v>100</v>
      </c>
      <c r="GT33" s="109">
        <v>100</v>
      </c>
      <c r="GU33" s="109">
        <v>100</v>
      </c>
      <c r="GV33" s="109">
        <v>100</v>
      </c>
      <c r="GW33" s="109">
        <v>100</v>
      </c>
      <c r="GX33" s="109">
        <v>100</v>
      </c>
      <c r="GY33" s="109">
        <v>100</v>
      </c>
      <c r="GZ33" s="109">
        <v>100</v>
      </c>
      <c r="HA33" s="109">
        <v>100</v>
      </c>
      <c r="HB33" s="109">
        <v>100</v>
      </c>
      <c r="HC33" s="109">
        <v>100</v>
      </c>
      <c r="HD33" s="109">
        <v>100</v>
      </c>
      <c r="HE33" s="109">
        <v>100</v>
      </c>
      <c r="HF33" s="109">
        <v>100</v>
      </c>
      <c r="HG33" s="109">
        <v>100</v>
      </c>
      <c r="HH33" s="109">
        <v>100</v>
      </c>
      <c r="HI33" s="109">
        <v>100</v>
      </c>
      <c r="HJ33" s="109">
        <v>100</v>
      </c>
      <c r="HK33" s="109">
        <v>100</v>
      </c>
      <c r="HL33" s="109">
        <v>100</v>
      </c>
      <c r="HM33" s="109">
        <v>100</v>
      </c>
      <c r="HN33" s="109">
        <v>100</v>
      </c>
      <c r="HO33" s="109">
        <v>100</v>
      </c>
      <c r="HP33" s="109">
        <v>100</v>
      </c>
      <c r="HQ33" s="109">
        <v>100</v>
      </c>
      <c r="HR33" s="109">
        <v>100</v>
      </c>
      <c r="HS33" s="109">
        <v>100</v>
      </c>
      <c r="HT33" s="109">
        <v>100</v>
      </c>
      <c r="HU33" s="109">
        <v>100</v>
      </c>
      <c r="HV33" s="109">
        <v>100</v>
      </c>
      <c r="HW33" s="109">
        <v>100</v>
      </c>
      <c r="HX33" s="109">
        <v>100</v>
      </c>
      <c r="HY33" s="109">
        <v>100</v>
      </c>
    </row>
    <row r="34" spans="1:233" ht="51.75" customHeight="1">
      <c r="A34" s="304"/>
      <c r="B34" s="301">
        <v>724</v>
      </c>
      <c r="C34" s="173" t="s">
        <v>237</v>
      </c>
      <c r="D34" s="593" t="s">
        <v>822</v>
      </c>
      <c r="E34" s="593" t="s">
        <v>822</v>
      </c>
      <c r="F34" s="593" t="s">
        <v>822</v>
      </c>
      <c r="G34" s="593" t="s">
        <v>825</v>
      </c>
      <c r="H34" s="487" t="s">
        <v>826</v>
      </c>
      <c r="I34" s="487" t="s">
        <v>826</v>
      </c>
      <c r="J34" s="487" t="s">
        <v>826</v>
      </c>
      <c r="K34" s="487" t="s">
        <v>826</v>
      </c>
      <c r="L34" s="487" t="s">
        <v>826</v>
      </c>
      <c r="M34" s="487" t="s">
        <v>826</v>
      </c>
      <c r="N34" s="487" t="s">
        <v>826</v>
      </c>
      <c r="O34" s="487" t="s">
        <v>826</v>
      </c>
      <c r="P34" s="487" t="s">
        <v>826</v>
      </c>
      <c r="Q34" s="593" t="s">
        <v>824</v>
      </c>
      <c r="R34" s="593" t="s">
        <v>824</v>
      </c>
      <c r="S34" s="593" t="s">
        <v>824</v>
      </c>
      <c r="T34" s="593" t="s">
        <v>824</v>
      </c>
      <c r="U34" s="593" t="s">
        <v>824</v>
      </c>
      <c r="V34" s="593" t="s">
        <v>824</v>
      </c>
      <c r="W34" s="593" t="s">
        <v>824</v>
      </c>
      <c r="X34" s="593" t="s">
        <v>824</v>
      </c>
      <c r="Y34" s="109" t="s">
        <v>460</v>
      </c>
      <c r="Z34" s="109" t="s">
        <v>460</v>
      </c>
      <c r="AA34" s="109" t="s">
        <v>460</v>
      </c>
      <c r="AB34" s="109" t="s">
        <v>460</v>
      </c>
      <c r="AC34" s="109" t="s">
        <v>425</v>
      </c>
      <c r="AD34" s="109" t="s">
        <v>425</v>
      </c>
      <c r="AE34" s="109" t="s">
        <v>425</v>
      </c>
      <c r="AF34" s="109" t="s">
        <v>425</v>
      </c>
      <c r="AG34" s="109" t="s">
        <v>425</v>
      </c>
      <c r="AH34" s="109" t="s">
        <v>425</v>
      </c>
      <c r="AI34" s="109" t="s">
        <v>355</v>
      </c>
      <c r="AJ34" s="109" t="s">
        <v>34</v>
      </c>
      <c r="AK34" s="109" t="s">
        <v>34</v>
      </c>
      <c r="AL34" s="109" t="s">
        <v>34</v>
      </c>
      <c r="AM34" s="109" t="s">
        <v>34</v>
      </c>
      <c r="AN34" s="109" t="s">
        <v>369</v>
      </c>
      <c r="AO34" s="109" t="s">
        <v>369</v>
      </c>
      <c r="AP34" s="109" t="s">
        <v>369</v>
      </c>
      <c r="AQ34" s="109" t="s">
        <v>369</v>
      </c>
      <c r="AR34" s="109" t="s">
        <v>368</v>
      </c>
      <c r="AS34" s="109" t="s">
        <v>368</v>
      </c>
      <c r="AT34" s="109" t="s">
        <v>368</v>
      </c>
      <c r="AU34" s="109" t="s">
        <v>368</v>
      </c>
      <c r="AV34" s="109" t="s">
        <v>375</v>
      </c>
      <c r="AW34" s="593" t="s">
        <v>841</v>
      </c>
      <c r="AX34" s="593" t="s">
        <v>841</v>
      </c>
      <c r="AY34" s="593" t="s">
        <v>841</v>
      </c>
      <c r="AZ34" s="593" t="s">
        <v>841</v>
      </c>
      <c r="BA34" s="593" t="s">
        <v>841</v>
      </c>
      <c r="BB34" s="593" t="s">
        <v>841</v>
      </c>
      <c r="BC34" s="593" t="s">
        <v>841</v>
      </c>
      <c r="BD34" s="593" t="s">
        <v>841</v>
      </c>
      <c r="BE34" s="109" t="s">
        <v>206</v>
      </c>
      <c r="BF34" s="109" t="s">
        <v>206</v>
      </c>
      <c r="BG34" s="109" t="s">
        <v>206</v>
      </c>
      <c r="BH34" s="109" t="s">
        <v>206</v>
      </c>
      <c r="BI34" s="109" t="s">
        <v>206</v>
      </c>
      <c r="BJ34" s="109" t="s">
        <v>206</v>
      </c>
      <c r="BK34" s="109" t="s">
        <v>206</v>
      </c>
      <c r="BL34" s="109" t="s">
        <v>206</v>
      </c>
      <c r="BM34" s="109" t="s">
        <v>206</v>
      </c>
      <c r="BN34" s="109" t="s">
        <v>206</v>
      </c>
      <c r="BO34" s="109" t="s">
        <v>206</v>
      </c>
      <c r="BP34" s="109" t="s">
        <v>206</v>
      </c>
      <c r="BQ34" s="109" t="s">
        <v>206</v>
      </c>
      <c r="BR34" s="109" t="s">
        <v>206</v>
      </c>
      <c r="BS34" s="109" t="s">
        <v>206</v>
      </c>
      <c r="BT34" s="109" t="s">
        <v>206</v>
      </c>
      <c r="BU34" s="109"/>
      <c r="BV34" s="109"/>
      <c r="BW34" s="109"/>
      <c r="BX34" s="109"/>
      <c r="BY34" s="109"/>
      <c r="BZ34" s="109"/>
      <c r="CA34" s="109"/>
      <c r="CB34" s="109"/>
      <c r="CC34" s="109"/>
      <c r="CD34" s="109"/>
      <c r="CE34" s="109"/>
      <c r="CF34" s="109"/>
      <c r="CG34" s="109"/>
      <c r="CH34" s="109"/>
      <c r="CI34" s="131" t="s">
        <v>21</v>
      </c>
      <c r="CJ34" s="131" t="s">
        <v>30</v>
      </c>
      <c r="CK34" s="131" t="s">
        <v>303</v>
      </c>
      <c r="CL34" s="109" t="s">
        <v>303</v>
      </c>
      <c r="CM34" s="109" t="s">
        <v>303</v>
      </c>
      <c r="CN34" s="109" t="s">
        <v>303</v>
      </c>
      <c r="CO34" s="109" t="s">
        <v>303</v>
      </c>
      <c r="CP34" s="305" t="s">
        <v>826</v>
      </c>
      <c r="CQ34" s="109" t="s">
        <v>34</v>
      </c>
      <c r="CR34" s="109" t="s">
        <v>706</v>
      </c>
      <c r="CS34" s="109" t="s">
        <v>746</v>
      </c>
      <c r="CT34" s="109" t="s">
        <v>320</v>
      </c>
      <c r="CU34" s="109" t="s">
        <v>425</v>
      </c>
      <c r="CV34" s="109" t="s">
        <v>425</v>
      </c>
      <c r="CW34" s="109" t="s">
        <v>425</v>
      </c>
      <c r="CX34" s="109" t="s">
        <v>34</v>
      </c>
      <c r="CY34" s="109" t="s">
        <v>841</v>
      </c>
      <c r="CZ34" s="109" t="s">
        <v>206</v>
      </c>
      <c r="DA34" s="109" t="s">
        <v>206</v>
      </c>
      <c r="DB34" s="109" t="s">
        <v>478</v>
      </c>
      <c r="DC34" s="109" t="s">
        <v>478</v>
      </c>
      <c r="DD34" s="109" t="s">
        <v>508</v>
      </c>
      <c r="DE34" s="109" t="s">
        <v>508</v>
      </c>
      <c r="DF34" s="487" t="s">
        <v>799</v>
      </c>
      <c r="DG34" s="487" t="s">
        <v>803</v>
      </c>
      <c r="DH34" s="487" t="s">
        <v>804</v>
      </c>
      <c r="DI34" s="585" t="s">
        <v>808</v>
      </c>
      <c r="DJ34" s="585" t="s">
        <v>808</v>
      </c>
      <c r="DK34" s="109" t="s">
        <v>34</v>
      </c>
      <c r="DL34" s="109" t="s">
        <v>34</v>
      </c>
      <c r="DM34" s="109" t="s">
        <v>34</v>
      </c>
      <c r="DN34" s="109" t="s">
        <v>34</v>
      </c>
      <c r="DO34" s="109" t="s">
        <v>34</v>
      </c>
      <c r="DP34" s="109" t="s">
        <v>34</v>
      </c>
      <c r="DQ34" s="109" t="s">
        <v>34</v>
      </c>
      <c r="DR34" s="109" t="s">
        <v>34</v>
      </c>
      <c r="DS34" s="109" t="s">
        <v>34</v>
      </c>
      <c r="DT34" s="487" t="s">
        <v>343</v>
      </c>
      <c r="DU34" s="109" t="s">
        <v>343</v>
      </c>
      <c r="DV34" s="109" t="s">
        <v>343</v>
      </c>
      <c r="DW34" s="109" t="s">
        <v>343</v>
      </c>
      <c r="DX34" s="109" t="s">
        <v>343</v>
      </c>
      <c r="DY34" s="109" t="s">
        <v>343</v>
      </c>
      <c r="DZ34" s="109" t="s">
        <v>343</v>
      </c>
      <c r="EA34" s="109" t="s">
        <v>343</v>
      </c>
      <c r="EB34" s="109" t="s">
        <v>343</v>
      </c>
      <c r="EC34" s="109" t="s">
        <v>343</v>
      </c>
      <c r="ED34" s="109" t="s">
        <v>343</v>
      </c>
      <c r="EE34" s="109" t="s">
        <v>34</v>
      </c>
      <c r="EF34" s="109" t="s">
        <v>34</v>
      </c>
      <c r="EG34" s="109" t="s">
        <v>343</v>
      </c>
      <c r="EH34" s="305" t="s">
        <v>343</v>
      </c>
      <c r="EI34" s="305" t="s">
        <v>343</v>
      </c>
      <c r="EJ34" s="109" t="s">
        <v>343</v>
      </c>
      <c r="EK34" s="109" t="s">
        <v>343</v>
      </c>
      <c r="EL34" s="109" t="s">
        <v>343</v>
      </c>
      <c r="EM34" s="109" t="s">
        <v>343</v>
      </c>
      <c r="EN34" s="109" t="s">
        <v>343</v>
      </c>
      <c r="EO34" s="487" t="s">
        <v>303</v>
      </c>
      <c r="EP34" s="109" t="s">
        <v>303</v>
      </c>
      <c r="EQ34" s="109" t="s">
        <v>303</v>
      </c>
      <c r="ER34" s="305" t="s">
        <v>303</v>
      </c>
      <c r="ES34" s="305" t="s">
        <v>303</v>
      </c>
      <c r="ET34" s="109" t="s">
        <v>343</v>
      </c>
      <c r="EU34" s="109" t="s">
        <v>343</v>
      </c>
      <c r="EV34" s="109" t="s">
        <v>343</v>
      </c>
      <c r="EW34" s="109" t="s">
        <v>343</v>
      </c>
      <c r="EX34" s="109" t="s">
        <v>343</v>
      </c>
      <c r="EY34" s="487" t="s">
        <v>303</v>
      </c>
      <c r="EZ34" s="109" t="s">
        <v>303</v>
      </c>
      <c r="FA34" s="109" t="s">
        <v>303</v>
      </c>
      <c r="FB34" s="305" t="s">
        <v>303</v>
      </c>
      <c r="FC34" s="305" t="s">
        <v>303</v>
      </c>
      <c r="FD34" s="109" t="s">
        <v>343</v>
      </c>
      <c r="FE34" s="109" t="s">
        <v>343</v>
      </c>
      <c r="FF34" s="109" t="s">
        <v>343</v>
      </c>
      <c r="FG34" s="109" t="s">
        <v>343</v>
      </c>
      <c r="FH34" s="109" t="s">
        <v>343</v>
      </c>
      <c r="FI34" s="487" t="s">
        <v>303</v>
      </c>
      <c r="FJ34" s="109" t="s">
        <v>303</v>
      </c>
      <c r="FK34" s="109" t="s">
        <v>303</v>
      </c>
      <c r="FL34" s="305" t="s">
        <v>303</v>
      </c>
      <c r="FM34" s="305" t="s">
        <v>303</v>
      </c>
      <c r="FN34" s="109" t="s">
        <v>343</v>
      </c>
      <c r="FO34" s="109" t="s">
        <v>343</v>
      </c>
      <c r="FP34" s="305" t="s">
        <v>343</v>
      </c>
      <c r="FQ34" s="305" t="s">
        <v>343</v>
      </c>
      <c r="FR34" s="305" t="s">
        <v>343</v>
      </c>
      <c r="FS34" s="109" t="s">
        <v>343</v>
      </c>
      <c r="FT34" s="109" t="s">
        <v>343</v>
      </c>
      <c r="FU34" s="305" t="s">
        <v>343</v>
      </c>
      <c r="FV34" s="305" t="s">
        <v>343</v>
      </c>
      <c r="FW34" s="305" t="s">
        <v>425</v>
      </c>
      <c r="FX34" s="109" t="s">
        <v>425</v>
      </c>
      <c r="FY34" s="305" t="s">
        <v>425</v>
      </c>
      <c r="FZ34" s="305" t="s">
        <v>425</v>
      </c>
      <c r="GA34" s="305" t="s">
        <v>425</v>
      </c>
      <c r="GB34" s="305" t="s">
        <v>425</v>
      </c>
      <c r="GC34" s="305" t="s">
        <v>425</v>
      </c>
      <c r="GD34" s="305" t="s">
        <v>226</v>
      </c>
      <c r="GE34" s="305" t="s">
        <v>226</v>
      </c>
      <c r="GF34" s="305" t="s">
        <v>226</v>
      </c>
      <c r="GG34" s="305" t="s">
        <v>226</v>
      </c>
      <c r="GH34" s="305" t="s">
        <v>226</v>
      </c>
      <c r="GI34" s="305" t="s">
        <v>226</v>
      </c>
      <c r="GJ34" s="305" t="s">
        <v>226</v>
      </c>
      <c r="GK34" s="305" t="s">
        <v>226</v>
      </c>
      <c r="GL34" s="305" t="s">
        <v>226</v>
      </c>
      <c r="GM34" s="305" t="s">
        <v>226</v>
      </c>
      <c r="GN34" s="305" t="s">
        <v>226</v>
      </c>
      <c r="GO34" s="305" t="s">
        <v>226</v>
      </c>
      <c r="GP34" s="305" t="s">
        <v>226</v>
      </c>
      <c r="GQ34" s="305" t="s">
        <v>226</v>
      </c>
      <c r="GR34" s="305" t="s">
        <v>226</v>
      </c>
      <c r="GS34" s="305" t="s">
        <v>226</v>
      </c>
      <c r="GT34" s="305" t="s">
        <v>226</v>
      </c>
      <c r="GU34" s="305" t="s">
        <v>226</v>
      </c>
      <c r="GV34" s="305" t="s">
        <v>226</v>
      </c>
      <c r="GW34" s="305" t="s">
        <v>226</v>
      </c>
      <c r="GX34" s="305" t="s">
        <v>226</v>
      </c>
      <c r="GY34" s="305" t="s">
        <v>226</v>
      </c>
      <c r="GZ34" s="305" t="s">
        <v>226</v>
      </c>
      <c r="HA34" s="305" t="s">
        <v>610</v>
      </c>
      <c r="HB34" s="305" t="s">
        <v>425</v>
      </c>
      <c r="HC34" s="305" t="s">
        <v>425</v>
      </c>
      <c r="HD34" s="305" t="s">
        <v>611</v>
      </c>
      <c r="HE34" s="305" t="s">
        <v>612</v>
      </c>
      <c r="HF34" s="305" t="s">
        <v>425</v>
      </c>
      <c r="HG34" s="305" t="s">
        <v>613</v>
      </c>
      <c r="HH34" s="305" t="s">
        <v>614</v>
      </c>
      <c r="HI34" s="305" t="s">
        <v>615</v>
      </c>
      <c r="HJ34" s="305" t="s">
        <v>425</v>
      </c>
      <c r="HK34" s="305" t="s">
        <v>618</v>
      </c>
      <c r="HL34" s="305" t="s">
        <v>619</v>
      </c>
      <c r="HM34" s="305" t="s">
        <v>425</v>
      </c>
      <c r="HN34" s="305" t="s">
        <v>425</v>
      </c>
      <c r="HO34" s="305" t="s">
        <v>425</v>
      </c>
      <c r="HP34" s="305" t="s">
        <v>616</v>
      </c>
      <c r="HQ34" s="305" t="s">
        <v>617</v>
      </c>
      <c r="HR34" s="305" t="s">
        <v>425</v>
      </c>
      <c r="HS34" s="305" t="s">
        <v>603</v>
      </c>
      <c r="HT34" s="305" t="s">
        <v>604</v>
      </c>
      <c r="HU34" s="305" t="s">
        <v>605</v>
      </c>
      <c r="HV34" s="305" t="s">
        <v>606</v>
      </c>
      <c r="HW34" s="305" t="s">
        <v>607</v>
      </c>
      <c r="HX34" s="305" t="s">
        <v>608</v>
      </c>
      <c r="HY34" s="305" t="s">
        <v>609</v>
      </c>
    </row>
    <row r="35" spans="1:233" ht="23.25" customHeight="1">
      <c r="A35" s="304"/>
      <c r="B35" s="301">
        <v>725</v>
      </c>
      <c r="C35" s="173" t="s">
        <v>238</v>
      </c>
      <c r="D35" s="109" t="s">
        <v>158</v>
      </c>
      <c r="E35" s="109" t="s">
        <v>158</v>
      </c>
      <c r="F35" s="109" t="s">
        <v>158</v>
      </c>
      <c r="G35" s="109" t="s">
        <v>158</v>
      </c>
      <c r="H35" s="109" t="s">
        <v>159</v>
      </c>
      <c r="I35" s="109" t="s">
        <v>159</v>
      </c>
      <c r="J35" s="109" t="s">
        <v>159</v>
      </c>
      <c r="K35" s="109" t="s">
        <v>159</v>
      </c>
      <c r="L35" s="109" t="s">
        <v>159</v>
      </c>
      <c r="M35" s="109" t="s">
        <v>159</v>
      </c>
      <c r="N35" s="109" t="s">
        <v>159</v>
      </c>
      <c r="O35" s="109" t="s">
        <v>159</v>
      </c>
      <c r="P35" s="109" t="s">
        <v>159</v>
      </c>
      <c r="Q35" s="109" t="s">
        <v>357</v>
      </c>
      <c r="R35" s="109" t="s">
        <v>357</v>
      </c>
      <c r="S35" s="109" t="s">
        <v>357</v>
      </c>
      <c r="T35" s="487" t="s">
        <v>357</v>
      </c>
      <c r="U35" s="109" t="s">
        <v>357</v>
      </c>
      <c r="V35" s="109" t="s">
        <v>357</v>
      </c>
      <c r="W35" s="109" t="s">
        <v>357</v>
      </c>
      <c r="X35" s="487" t="s">
        <v>357</v>
      </c>
      <c r="Y35" s="109" t="s">
        <v>441</v>
      </c>
      <c r="Z35" s="109" t="s">
        <v>441</v>
      </c>
      <c r="AA35" s="109" t="s">
        <v>441</v>
      </c>
      <c r="AB35" s="109" t="s">
        <v>441</v>
      </c>
      <c r="AC35" s="109" t="s">
        <v>729</v>
      </c>
      <c r="AD35" s="109" t="s">
        <v>739</v>
      </c>
      <c r="AE35" s="487" t="s">
        <v>219</v>
      </c>
      <c r="AF35" s="487" t="s">
        <v>219</v>
      </c>
      <c r="AG35" s="487" t="s">
        <v>219</v>
      </c>
      <c r="AH35" s="109" t="s">
        <v>219</v>
      </c>
      <c r="AI35" s="109" t="s">
        <v>33</v>
      </c>
      <c r="AJ35" s="487" t="s">
        <v>159</v>
      </c>
      <c r="AK35" s="487" t="s">
        <v>159</v>
      </c>
      <c r="AL35" s="487" t="s">
        <v>159</v>
      </c>
      <c r="AM35" s="487" t="s">
        <v>159</v>
      </c>
      <c r="AN35" s="109" t="s">
        <v>367</v>
      </c>
      <c r="AO35" s="109" t="s">
        <v>367</v>
      </c>
      <c r="AP35" s="109" t="s">
        <v>367</v>
      </c>
      <c r="AQ35" s="109" t="s">
        <v>367</v>
      </c>
      <c r="AR35" s="109" t="s">
        <v>367</v>
      </c>
      <c r="AS35" s="109" t="s">
        <v>367</v>
      </c>
      <c r="AT35" s="109" t="s">
        <v>367</v>
      </c>
      <c r="AU35" s="109" t="s">
        <v>367</v>
      </c>
      <c r="AV35" s="109" t="s">
        <v>367</v>
      </c>
      <c r="AW35" s="109" t="s">
        <v>745</v>
      </c>
      <c r="AX35" s="109" t="s">
        <v>745</v>
      </c>
      <c r="AY35" s="109" t="s">
        <v>745</v>
      </c>
      <c r="AZ35" s="109" t="s">
        <v>745</v>
      </c>
      <c r="BA35" s="109" t="s">
        <v>745</v>
      </c>
      <c r="BB35" s="109" t="s">
        <v>745</v>
      </c>
      <c r="BC35" s="109" t="s">
        <v>745</v>
      </c>
      <c r="BD35" s="109" t="s">
        <v>745</v>
      </c>
      <c r="BE35" s="109" t="s">
        <v>311</v>
      </c>
      <c r="BF35" s="109" t="s">
        <v>311</v>
      </c>
      <c r="BG35" s="109" t="s">
        <v>311</v>
      </c>
      <c r="BH35" s="109" t="s">
        <v>311</v>
      </c>
      <c r="BI35" s="109" t="s">
        <v>311</v>
      </c>
      <c r="BJ35" s="109" t="s">
        <v>311</v>
      </c>
      <c r="BK35" s="109" t="s">
        <v>311</v>
      </c>
      <c r="BL35" s="109" t="s">
        <v>311</v>
      </c>
      <c r="BM35" s="109" t="s">
        <v>311</v>
      </c>
      <c r="BN35" s="109" t="s">
        <v>311</v>
      </c>
      <c r="BO35" s="109" t="s">
        <v>311</v>
      </c>
      <c r="BP35" s="109" t="s">
        <v>311</v>
      </c>
      <c r="BQ35" s="109" t="s">
        <v>311</v>
      </c>
      <c r="BR35" s="109" t="s">
        <v>311</v>
      </c>
      <c r="BS35" s="109" t="s">
        <v>311</v>
      </c>
      <c r="BT35" s="109" t="s">
        <v>311</v>
      </c>
      <c r="BU35" s="487" t="s">
        <v>787</v>
      </c>
      <c r="BV35" s="487" t="s">
        <v>787</v>
      </c>
      <c r="BW35" s="487" t="s">
        <v>787</v>
      </c>
      <c r="BX35" s="487" t="s">
        <v>787</v>
      </c>
      <c r="BY35" s="487" t="s">
        <v>787</v>
      </c>
      <c r="BZ35" s="487" t="s">
        <v>787</v>
      </c>
      <c r="CA35" s="487" t="s">
        <v>787</v>
      </c>
      <c r="CB35" s="487" t="s">
        <v>787</v>
      </c>
      <c r="CC35" s="487" t="s">
        <v>787</v>
      </c>
      <c r="CD35" s="487" t="s">
        <v>787</v>
      </c>
      <c r="CE35" s="487" t="s">
        <v>787</v>
      </c>
      <c r="CF35" s="487" t="s">
        <v>787</v>
      </c>
      <c r="CG35" s="487" t="s">
        <v>787</v>
      </c>
      <c r="CH35" s="487" t="s">
        <v>787</v>
      </c>
      <c r="CI35" s="109" t="s">
        <v>22</v>
      </c>
      <c r="CJ35" s="109" t="s">
        <v>31</v>
      </c>
      <c r="CK35" s="109" t="s">
        <v>304</v>
      </c>
      <c r="CL35" s="109" t="s">
        <v>304</v>
      </c>
      <c r="CM35" s="109" t="s">
        <v>304</v>
      </c>
      <c r="CN35" s="109" t="s">
        <v>304</v>
      </c>
      <c r="CO35" s="109" t="s">
        <v>304</v>
      </c>
      <c r="CP35" s="109" t="s">
        <v>159</v>
      </c>
      <c r="CQ35" s="109" t="s">
        <v>739</v>
      </c>
      <c r="CR35" s="109" t="s">
        <v>270</v>
      </c>
      <c r="CS35" s="109" t="s">
        <v>39</v>
      </c>
      <c r="CT35" s="109" t="s">
        <v>321</v>
      </c>
      <c r="CU35" s="109" t="s">
        <v>423</v>
      </c>
      <c r="CV35" s="109" t="s">
        <v>423</v>
      </c>
      <c r="CW35" s="109" t="s">
        <v>423</v>
      </c>
      <c r="CX35" s="109" t="s">
        <v>367</v>
      </c>
      <c r="CY35" s="109" t="s">
        <v>745</v>
      </c>
      <c r="CZ35" s="109" t="s">
        <v>311</v>
      </c>
      <c r="DA35" s="109" t="s">
        <v>311</v>
      </c>
      <c r="DB35" s="109" t="s">
        <v>485</v>
      </c>
      <c r="DC35" s="109" t="s">
        <v>485</v>
      </c>
      <c r="DD35" s="109" t="s">
        <v>485</v>
      </c>
      <c r="DE35" s="109" t="s">
        <v>485</v>
      </c>
      <c r="DF35" s="487" t="s">
        <v>800</v>
      </c>
      <c r="DG35" s="487" t="s">
        <v>800</v>
      </c>
      <c r="DH35" s="487" t="s">
        <v>800</v>
      </c>
      <c r="DI35" s="109" t="s">
        <v>142</v>
      </c>
      <c r="DJ35" s="109" t="s">
        <v>142</v>
      </c>
      <c r="DK35" s="109" t="s">
        <v>675</v>
      </c>
      <c r="DL35" s="109" t="s">
        <v>675</v>
      </c>
      <c r="DM35" s="109" t="s">
        <v>675</v>
      </c>
      <c r="DN35" s="109" t="s">
        <v>675</v>
      </c>
      <c r="DO35" s="109" t="s">
        <v>675</v>
      </c>
      <c r="DP35" s="109" t="s">
        <v>225</v>
      </c>
      <c r="DQ35" s="109" t="s">
        <v>675</v>
      </c>
      <c r="DR35" s="109" t="s">
        <v>700</v>
      </c>
      <c r="DS35" s="109" t="s">
        <v>700</v>
      </c>
      <c r="DT35" s="109" t="s">
        <v>344</v>
      </c>
      <c r="DU35" s="109" t="s">
        <v>344</v>
      </c>
      <c r="DV35" s="109" t="s">
        <v>344</v>
      </c>
      <c r="DW35" s="109" t="s">
        <v>344</v>
      </c>
      <c r="DX35" s="109" t="s">
        <v>344</v>
      </c>
      <c r="DY35" s="109" t="s">
        <v>344</v>
      </c>
      <c r="DZ35" s="109" t="s">
        <v>344</v>
      </c>
      <c r="EA35" s="109" t="s">
        <v>344</v>
      </c>
      <c r="EB35" s="109" t="s">
        <v>344</v>
      </c>
      <c r="EC35" s="109" t="s">
        <v>700</v>
      </c>
      <c r="ED35" s="109" t="s">
        <v>700</v>
      </c>
      <c r="EE35" s="109" t="s">
        <v>700</v>
      </c>
      <c r="EF35" s="109" t="s">
        <v>700</v>
      </c>
      <c r="EG35" s="109" t="s">
        <v>700</v>
      </c>
      <c r="EH35" s="109" t="s">
        <v>700</v>
      </c>
      <c r="EI35" s="109" t="s">
        <v>700</v>
      </c>
      <c r="EJ35" s="109" t="s">
        <v>344</v>
      </c>
      <c r="EK35" s="109" t="s">
        <v>344</v>
      </c>
      <c r="EL35" s="109" t="s">
        <v>344</v>
      </c>
      <c r="EM35" s="109" t="s">
        <v>344</v>
      </c>
      <c r="EN35" s="109" t="s">
        <v>344</v>
      </c>
      <c r="EO35" s="109" t="s">
        <v>344</v>
      </c>
      <c r="EP35" s="109" t="s">
        <v>344</v>
      </c>
      <c r="EQ35" s="109" t="s">
        <v>344</v>
      </c>
      <c r="ER35" s="109" t="s">
        <v>344</v>
      </c>
      <c r="ES35" s="109" t="s">
        <v>344</v>
      </c>
      <c r="ET35" s="109" t="s">
        <v>344</v>
      </c>
      <c r="EU35" s="109" t="s">
        <v>344</v>
      </c>
      <c r="EV35" s="109" t="s">
        <v>344</v>
      </c>
      <c r="EW35" s="109" t="s">
        <v>344</v>
      </c>
      <c r="EX35" s="109" t="s">
        <v>344</v>
      </c>
      <c r="EY35" s="109" t="s">
        <v>344</v>
      </c>
      <c r="EZ35" s="109" t="s">
        <v>344</v>
      </c>
      <c r="FA35" s="109" t="s">
        <v>344</v>
      </c>
      <c r="FB35" s="109" t="s">
        <v>344</v>
      </c>
      <c r="FC35" s="109" t="s">
        <v>344</v>
      </c>
      <c r="FD35" s="109" t="s">
        <v>344</v>
      </c>
      <c r="FE35" s="109" t="s">
        <v>344</v>
      </c>
      <c r="FF35" s="109" t="s">
        <v>344</v>
      </c>
      <c r="FG35" s="109" t="s">
        <v>344</v>
      </c>
      <c r="FH35" s="109" t="s">
        <v>344</v>
      </c>
      <c r="FI35" s="109" t="s">
        <v>344</v>
      </c>
      <c r="FJ35" s="109" t="s">
        <v>344</v>
      </c>
      <c r="FK35" s="109" t="s">
        <v>344</v>
      </c>
      <c r="FL35" s="109" t="s">
        <v>344</v>
      </c>
      <c r="FM35" s="109" t="s">
        <v>344</v>
      </c>
      <c r="FN35" s="109" t="s">
        <v>344</v>
      </c>
      <c r="FO35" s="109" t="s">
        <v>344</v>
      </c>
      <c r="FP35" s="109" t="s">
        <v>344</v>
      </c>
      <c r="FQ35" s="109" t="s">
        <v>344</v>
      </c>
      <c r="FR35" s="109" t="s">
        <v>344</v>
      </c>
      <c r="FS35" s="109" t="s">
        <v>344</v>
      </c>
      <c r="FT35" s="109" t="s">
        <v>344</v>
      </c>
      <c r="FU35" s="109" t="s">
        <v>344</v>
      </c>
      <c r="FV35" s="109" t="s">
        <v>344</v>
      </c>
      <c r="FW35" s="109" t="s">
        <v>344</v>
      </c>
      <c r="FX35" s="109" t="s">
        <v>344</v>
      </c>
      <c r="FY35" s="109" t="s">
        <v>344</v>
      </c>
      <c r="FZ35" s="109" t="s">
        <v>344</v>
      </c>
      <c r="GA35" s="109" t="s">
        <v>344</v>
      </c>
      <c r="GB35" s="109" t="s">
        <v>344</v>
      </c>
      <c r="GC35" s="109" t="s">
        <v>344</v>
      </c>
      <c r="GD35" s="109" t="s">
        <v>46</v>
      </c>
      <c r="GE35" s="109" t="s">
        <v>46</v>
      </c>
      <c r="GF35" s="109" t="s">
        <v>46</v>
      </c>
      <c r="GG35" s="109" t="s">
        <v>46</v>
      </c>
      <c r="GH35" s="109" t="s">
        <v>46</v>
      </c>
      <c r="GI35" s="109" t="s">
        <v>46</v>
      </c>
      <c r="GJ35" s="109" t="s">
        <v>46</v>
      </c>
      <c r="GK35" s="109" t="s">
        <v>46</v>
      </c>
      <c r="GL35" s="109" t="s">
        <v>46</v>
      </c>
      <c r="GM35" s="109" t="s">
        <v>46</v>
      </c>
      <c r="GN35" s="109" t="s">
        <v>46</v>
      </c>
      <c r="GO35" s="109" t="s">
        <v>46</v>
      </c>
      <c r="GP35" s="109" t="s">
        <v>46</v>
      </c>
      <c r="GQ35" s="109" t="s">
        <v>46</v>
      </c>
      <c r="GR35" s="109" t="s">
        <v>46</v>
      </c>
      <c r="GS35" s="109" t="s">
        <v>46</v>
      </c>
      <c r="GT35" s="109" t="s">
        <v>46</v>
      </c>
      <c r="GU35" s="109" t="s">
        <v>46</v>
      </c>
      <c r="GV35" s="109" t="s">
        <v>46</v>
      </c>
      <c r="GW35" s="109" t="s">
        <v>46</v>
      </c>
      <c r="GX35" s="109" t="s">
        <v>46</v>
      </c>
      <c r="GY35" s="109" t="s">
        <v>46</v>
      </c>
      <c r="GZ35" s="109" t="s">
        <v>46</v>
      </c>
      <c r="HA35" s="109" t="s">
        <v>602</v>
      </c>
      <c r="HB35" s="109" t="s">
        <v>602</v>
      </c>
      <c r="HC35" s="109" t="s">
        <v>602</v>
      </c>
      <c r="HD35" s="109" t="s">
        <v>602</v>
      </c>
      <c r="HE35" s="109" t="s">
        <v>602</v>
      </c>
      <c r="HF35" s="109" t="s">
        <v>602</v>
      </c>
      <c r="HG35" s="109" t="s">
        <v>602</v>
      </c>
      <c r="HH35" s="109" t="s">
        <v>602</v>
      </c>
      <c r="HI35" s="109" t="s">
        <v>602</v>
      </c>
      <c r="HJ35" s="109" t="s">
        <v>602</v>
      </c>
      <c r="HK35" s="109" t="s">
        <v>602</v>
      </c>
      <c r="HL35" s="109" t="s">
        <v>602</v>
      </c>
      <c r="HM35" s="109" t="s">
        <v>602</v>
      </c>
      <c r="HN35" s="109" t="s">
        <v>602</v>
      </c>
      <c r="HO35" s="109" t="s">
        <v>602</v>
      </c>
      <c r="HP35" s="109" t="s">
        <v>602</v>
      </c>
      <c r="HQ35" s="109" t="s">
        <v>602</v>
      </c>
      <c r="HR35" s="109" t="s">
        <v>602</v>
      </c>
      <c r="HS35" s="109" t="s">
        <v>602</v>
      </c>
      <c r="HT35" s="109" t="s">
        <v>602</v>
      </c>
      <c r="HU35" s="109" t="s">
        <v>602</v>
      </c>
      <c r="HV35" s="109" t="s">
        <v>602</v>
      </c>
      <c r="HW35" s="109" t="s">
        <v>602</v>
      </c>
      <c r="HX35" s="109" t="s">
        <v>602</v>
      </c>
      <c r="HY35" s="109" t="s">
        <v>602</v>
      </c>
    </row>
    <row r="36" spans="1:233" ht="100.5" customHeight="1">
      <c r="A36" s="304"/>
      <c r="B36" s="301">
        <v>726</v>
      </c>
      <c r="C36" s="173" t="s">
        <v>239</v>
      </c>
      <c r="D36" s="593" t="s">
        <v>823</v>
      </c>
      <c r="E36" s="593" t="s">
        <v>903</v>
      </c>
      <c r="F36" s="593" t="s">
        <v>908</v>
      </c>
      <c r="G36" s="109" t="s">
        <v>694</v>
      </c>
      <c r="H36" s="109" t="s">
        <v>160</v>
      </c>
      <c r="I36" s="487" t="s">
        <v>827</v>
      </c>
      <c r="J36" s="487" t="s">
        <v>827</v>
      </c>
      <c r="K36" s="487" t="s">
        <v>906</v>
      </c>
      <c r="L36" s="487" t="s">
        <v>906</v>
      </c>
      <c r="M36" s="487" t="s">
        <v>907</v>
      </c>
      <c r="N36" s="487" t="s">
        <v>907</v>
      </c>
      <c r="O36" s="109" t="s">
        <v>160</v>
      </c>
      <c r="P36" s="109" t="s">
        <v>160</v>
      </c>
      <c r="Q36" s="487" t="s">
        <v>830</v>
      </c>
      <c r="R36" s="487" t="s">
        <v>909</v>
      </c>
      <c r="S36" s="487" t="s">
        <v>910</v>
      </c>
      <c r="T36" s="109" t="s">
        <v>410</v>
      </c>
      <c r="U36" s="487" t="s">
        <v>830</v>
      </c>
      <c r="V36" s="487" t="s">
        <v>909</v>
      </c>
      <c r="W36" s="487" t="s">
        <v>910</v>
      </c>
      <c r="X36" s="109" t="s">
        <v>410</v>
      </c>
      <c r="Y36" s="109" t="s">
        <v>241</v>
      </c>
      <c r="Z36" s="109" t="s">
        <v>241</v>
      </c>
      <c r="AA36" s="109" t="s">
        <v>241</v>
      </c>
      <c r="AB36" s="109" t="s">
        <v>241</v>
      </c>
      <c r="AC36" s="109" t="s">
        <v>714</v>
      </c>
      <c r="AD36" s="109" t="s">
        <v>241</v>
      </c>
      <c r="AE36" s="594" t="s">
        <v>831</v>
      </c>
      <c r="AF36" s="593" t="s">
        <v>913</v>
      </c>
      <c r="AG36" s="593" t="s">
        <v>914</v>
      </c>
      <c r="AH36" s="109" t="s">
        <v>241</v>
      </c>
      <c r="AI36" s="109" t="s">
        <v>241</v>
      </c>
      <c r="AJ36" s="487" t="s">
        <v>417</v>
      </c>
      <c r="AK36" s="593" t="s">
        <v>835</v>
      </c>
      <c r="AL36" s="593" t="s">
        <v>915</v>
      </c>
      <c r="AM36" s="593" t="s">
        <v>916</v>
      </c>
      <c r="AN36" s="593" t="s">
        <v>838</v>
      </c>
      <c r="AO36" s="593" t="s">
        <v>922</v>
      </c>
      <c r="AP36" s="593" t="s">
        <v>923</v>
      </c>
      <c r="AQ36" s="109" t="s">
        <v>340</v>
      </c>
      <c r="AR36" s="593" t="s">
        <v>838</v>
      </c>
      <c r="AS36" s="593" t="s">
        <v>922</v>
      </c>
      <c r="AT36" s="593" t="s">
        <v>923</v>
      </c>
      <c r="AU36" s="109" t="s">
        <v>340</v>
      </c>
      <c r="AV36" s="109" t="s">
        <v>725</v>
      </c>
      <c r="AW36" s="593" t="s">
        <v>845</v>
      </c>
      <c r="AX36" s="593" t="s">
        <v>926</v>
      </c>
      <c r="AY36" s="593" t="s">
        <v>927</v>
      </c>
      <c r="AZ36" s="109" t="s">
        <v>747</v>
      </c>
      <c r="BA36" s="593" t="s">
        <v>845</v>
      </c>
      <c r="BB36" s="593" t="s">
        <v>926</v>
      </c>
      <c r="BC36" s="593" t="s">
        <v>927</v>
      </c>
      <c r="BD36" s="109" t="s">
        <v>747</v>
      </c>
      <c r="BE36" s="593" t="s">
        <v>847</v>
      </c>
      <c r="BF36" s="593" t="s">
        <v>931</v>
      </c>
      <c r="BG36" s="593" t="s">
        <v>932</v>
      </c>
      <c r="BH36" s="109" t="s">
        <v>312</v>
      </c>
      <c r="BI36" s="593" t="s">
        <v>847</v>
      </c>
      <c r="BJ36" s="593" t="s">
        <v>931</v>
      </c>
      <c r="BK36" s="593" t="s">
        <v>932</v>
      </c>
      <c r="BL36" s="109" t="s">
        <v>312</v>
      </c>
      <c r="BM36" s="593" t="s">
        <v>848</v>
      </c>
      <c r="BN36" s="593" t="s">
        <v>934</v>
      </c>
      <c r="BO36" s="593" t="s">
        <v>935</v>
      </c>
      <c r="BP36" s="109" t="s">
        <v>313</v>
      </c>
      <c r="BQ36" s="593" t="s">
        <v>848</v>
      </c>
      <c r="BR36" s="593" t="s">
        <v>934</v>
      </c>
      <c r="BS36" s="593" t="s">
        <v>935</v>
      </c>
      <c r="BT36" s="109" t="s">
        <v>313</v>
      </c>
      <c r="BU36" s="109" t="s">
        <v>143</v>
      </c>
      <c r="BV36" s="109" t="s">
        <v>143</v>
      </c>
      <c r="BW36" s="109" t="s">
        <v>143</v>
      </c>
      <c r="BX36" s="109" t="s">
        <v>143</v>
      </c>
      <c r="BY36" s="109" t="s">
        <v>143</v>
      </c>
      <c r="BZ36" s="109" t="s">
        <v>143</v>
      </c>
      <c r="CA36" s="109" t="s">
        <v>143</v>
      </c>
      <c r="CB36" s="109" t="s">
        <v>143</v>
      </c>
      <c r="CC36" s="109" t="s">
        <v>143</v>
      </c>
      <c r="CD36" s="109" t="s">
        <v>143</v>
      </c>
      <c r="CE36" s="109" t="s">
        <v>143</v>
      </c>
      <c r="CF36" s="109" t="s">
        <v>143</v>
      </c>
      <c r="CG36" s="109" t="s">
        <v>143</v>
      </c>
      <c r="CH36" s="109" t="s">
        <v>143</v>
      </c>
      <c r="CI36" s="109" t="s">
        <v>241</v>
      </c>
      <c r="CJ36" s="109" t="s">
        <v>347</v>
      </c>
      <c r="CK36" s="109" t="s">
        <v>348</v>
      </c>
      <c r="CL36" s="109" t="s">
        <v>348</v>
      </c>
      <c r="CM36" s="109" t="s">
        <v>348</v>
      </c>
      <c r="CN36" s="109" t="s">
        <v>348</v>
      </c>
      <c r="CO36" s="109" t="s">
        <v>348</v>
      </c>
      <c r="CP36" s="109" t="s">
        <v>160</v>
      </c>
      <c r="CQ36" s="109" t="s">
        <v>730</v>
      </c>
      <c r="CR36" s="109" t="s">
        <v>164</v>
      </c>
      <c r="CS36" s="109" t="s">
        <v>241</v>
      </c>
      <c r="CT36" s="109" t="s">
        <v>241</v>
      </c>
      <c r="CU36" s="109" t="s">
        <v>744</v>
      </c>
      <c r="CV36" s="109" t="s">
        <v>744</v>
      </c>
      <c r="CW36" s="109" t="s">
        <v>744</v>
      </c>
      <c r="CX36" s="109" t="s">
        <v>241</v>
      </c>
      <c r="CY36" s="109" t="s">
        <v>747</v>
      </c>
      <c r="CZ36" s="109" t="s">
        <v>312</v>
      </c>
      <c r="DA36" s="109" t="s">
        <v>313</v>
      </c>
      <c r="DB36" s="109" t="s">
        <v>479</v>
      </c>
      <c r="DC36" s="109" t="s">
        <v>509</v>
      </c>
      <c r="DD36" s="109" t="s">
        <v>202</v>
      </c>
      <c r="DE36" s="109" t="s">
        <v>241</v>
      </c>
      <c r="DF36" s="131" t="s">
        <v>306</v>
      </c>
      <c r="DG36" s="131" t="s">
        <v>306</v>
      </c>
      <c r="DH36" s="131" t="s">
        <v>306</v>
      </c>
      <c r="DI36" s="109" t="s">
        <v>143</v>
      </c>
      <c r="DJ36" s="109" t="s">
        <v>143</v>
      </c>
      <c r="DK36" s="109" t="s">
        <v>241</v>
      </c>
      <c r="DL36" s="109" t="s">
        <v>673</v>
      </c>
      <c r="DM36" s="109" t="s">
        <v>673</v>
      </c>
      <c r="DN36" s="109" t="s">
        <v>673</v>
      </c>
      <c r="DO36" s="109" t="s">
        <v>673</v>
      </c>
      <c r="DP36" s="109" t="s">
        <v>673</v>
      </c>
      <c r="DQ36" s="109" t="s">
        <v>673</v>
      </c>
      <c r="DR36" s="109" t="s">
        <v>701</v>
      </c>
      <c r="DS36" s="109" t="s">
        <v>581</v>
      </c>
      <c r="DT36" s="109" t="s">
        <v>720</v>
      </c>
      <c r="DU36" s="109" t="s">
        <v>720</v>
      </c>
      <c r="DV36" s="109" t="s">
        <v>720</v>
      </c>
      <c r="DW36" s="109" t="s">
        <v>720</v>
      </c>
      <c r="DX36" s="109" t="s">
        <v>720</v>
      </c>
      <c r="DY36" s="109" t="s">
        <v>720</v>
      </c>
      <c r="DZ36" s="109" t="s">
        <v>720</v>
      </c>
      <c r="EA36" s="109" t="s">
        <v>720</v>
      </c>
      <c r="EB36" s="109" t="s">
        <v>720</v>
      </c>
      <c r="EC36" s="109" t="s">
        <v>701</v>
      </c>
      <c r="ED36" s="109" t="s">
        <v>701</v>
      </c>
      <c r="EE36" s="109" t="s">
        <v>701</v>
      </c>
      <c r="EF36" s="109" t="s">
        <v>701</v>
      </c>
      <c r="EG36" s="109" t="s">
        <v>701</v>
      </c>
      <c r="EH36" s="109" t="s">
        <v>701</v>
      </c>
      <c r="EI36" s="109" t="s">
        <v>701</v>
      </c>
      <c r="EJ36" s="109" t="s">
        <v>720</v>
      </c>
      <c r="EK36" s="109" t="s">
        <v>720</v>
      </c>
      <c r="EL36" s="109" t="s">
        <v>720</v>
      </c>
      <c r="EM36" s="109" t="s">
        <v>720</v>
      </c>
      <c r="EN36" s="109" t="s">
        <v>720</v>
      </c>
      <c r="EO36" s="109" t="s">
        <v>720</v>
      </c>
      <c r="EP36" s="109" t="s">
        <v>720</v>
      </c>
      <c r="EQ36" s="109" t="s">
        <v>720</v>
      </c>
      <c r="ER36" s="109" t="s">
        <v>720</v>
      </c>
      <c r="ES36" s="109" t="s">
        <v>720</v>
      </c>
      <c r="ET36" s="109" t="s">
        <v>720</v>
      </c>
      <c r="EU36" s="109" t="s">
        <v>720</v>
      </c>
      <c r="EV36" s="109" t="s">
        <v>720</v>
      </c>
      <c r="EW36" s="109" t="s">
        <v>720</v>
      </c>
      <c r="EX36" s="109" t="s">
        <v>720</v>
      </c>
      <c r="EY36" s="109" t="s">
        <v>720</v>
      </c>
      <c r="EZ36" s="109" t="s">
        <v>720</v>
      </c>
      <c r="FA36" s="109" t="s">
        <v>720</v>
      </c>
      <c r="FB36" s="109" t="s">
        <v>720</v>
      </c>
      <c r="FC36" s="109" t="s">
        <v>720</v>
      </c>
      <c r="FD36" s="109" t="s">
        <v>720</v>
      </c>
      <c r="FE36" s="109" t="s">
        <v>720</v>
      </c>
      <c r="FF36" s="109" t="s">
        <v>720</v>
      </c>
      <c r="FG36" s="109" t="s">
        <v>720</v>
      </c>
      <c r="FH36" s="109" t="s">
        <v>720</v>
      </c>
      <c r="FI36" s="109" t="s">
        <v>720</v>
      </c>
      <c r="FJ36" s="109" t="s">
        <v>720</v>
      </c>
      <c r="FK36" s="109" t="s">
        <v>720</v>
      </c>
      <c r="FL36" s="109" t="s">
        <v>720</v>
      </c>
      <c r="FM36" s="109" t="s">
        <v>720</v>
      </c>
      <c r="FN36" s="109" t="s">
        <v>720</v>
      </c>
      <c r="FO36" s="109" t="s">
        <v>720</v>
      </c>
      <c r="FP36" s="109" t="s">
        <v>720</v>
      </c>
      <c r="FQ36" s="109" t="s">
        <v>720</v>
      </c>
      <c r="FR36" s="109" t="s">
        <v>720</v>
      </c>
      <c r="FS36" s="109" t="s">
        <v>720</v>
      </c>
      <c r="FT36" s="109" t="s">
        <v>720</v>
      </c>
      <c r="FU36" s="109" t="s">
        <v>720</v>
      </c>
      <c r="FV36" s="109" t="s">
        <v>720</v>
      </c>
      <c r="FW36" s="109" t="s">
        <v>720</v>
      </c>
      <c r="FX36" s="109" t="s">
        <v>720</v>
      </c>
      <c r="FY36" s="109" t="s">
        <v>720</v>
      </c>
      <c r="FZ36" s="109" t="s">
        <v>720</v>
      </c>
      <c r="GA36" s="109" t="s">
        <v>720</v>
      </c>
      <c r="GB36" s="109" t="s">
        <v>720</v>
      </c>
      <c r="GC36" s="109" t="s">
        <v>720</v>
      </c>
      <c r="GD36" s="109" t="s">
        <v>241</v>
      </c>
      <c r="GE36" s="109" t="s">
        <v>241</v>
      </c>
      <c r="GF36" s="109" t="s">
        <v>241</v>
      </c>
      <c r="GG36" s="109" t="s">
        <v>241</v>
      </c>
      <c r="GH36" s="109" t="s">
        <v>241</v>
      </c>
      <c r="GI36" s="109" t="s">
        <v>241</v>
      </c>
      <c r="GJ36" s="109" t="s">
        <v>241</v>
      </c>
      <c r="GK36" s="109" t="s">
        <v>241</v>
      </c>
      <c r="GL36" s="109" t="s">
        <v>241</v>
      </c>
      <c r="GM36" s="109" t="s">
        <v>241</v>
      </c>
      <c r="GN36" s="109" t="s">
        <v>241</v>
      </c>
      <c r="GO36" s="109" t="s">
        <v>241</v>
      </c>
      <c r="GP36" s="109" t="s">
        <v>241</v>
      </c>
      <c r="GQ36" s="109" t="s">
        <v>241</v>
      </c>
      <c r="GR36" s="109" t="s">
        <v>241</v>
      </c>
      <c r="GS36" s="109" t="s">
        <v>241</v>
      </c>
      <c r="GT36" s="109" t="s">
        <v>241</v>
      </c>
      <c r="GU36" s="109" t="s">
        <v>241</v>
      </c>
      <c r="GV36" s="109" t="s">
        <v>241</v>
      </c>
      <c r="GW36" s="109" t="s">
        <v>241</v>
      </c>
      <c r="GX36" s="109" t="s">
        <v>241</v>
      </c>
      <c r="GY36" s="109" t="s">
        <v>241</v>
      </c>
      <c r="GZ36" s="109" t="s">
        <v>241</v>
      </c>
      <c r="HA36" s="109" t="s">
        <v>169</v>
      </c>
      <c r="HB36" s="109" t="s">
        <v>169</v>
      </c>
      <c r="HC36" s="109" t="s">
        <v>169</v>
      </c>
      <c r="HD36" s="109" t="s">
        <v>169</v>
      </c>
      <c r="HE36" s="109" t="s">
        <v>169</v>
      </c>
      <c r="HF36" s="109" t="s">
        <v>169</v>
      </c>
      <c r="HG36" s="109" t="s">
        <v>169</v>
      </c>
      <c r="HH36" s="109" t="s">
        <v>169</v>
      </c>
      <c r="HI36" s="109" t="s">
        <v>169</v>
      </c>
      <c r="HJ36" s="109" t="s">
        <v>169</v>
      </c>
      <c r="HK36" s="109" t="s">
        <v>169</v>
      </c>
      <c r="HL36" s="109" t="s">
        <v>169</v>
      </c>
      <c r="HM36" s="109" t="s">
        <v>169</v>
      </c>
      <c r="HN36" s="109" t="s">
        <v>169</v>
      </c>
      <c r="HO36" s="109" t="s">
        <v>169</v>
      </c>
      <c r="HP36" s="109" t="s">
        <v>169</v>
      </c>
      <c r="HQ36" s="109" t="s">
        <v>169</v>
      </c>
      <c r="HR36" s="109" t="s">
        <v>169</v>
      </c>
      <c r="HS36" s="109" t="s">
        <v>169</v>
      </c>
      <c r="HT36" s="109" t="s">
        <v>169</v>
      </c>
      <c r="HU36" s="109" t="s">
        <v>169</v>
      </c>
      <c r="HV36" s="109" t="s">
        <v>169</v>
      </c>
      <c r="HW36" s="109" t="s">
        <v>169</v>
      </c>
      <c r="HX36" s="109" t="s">
        <v>169</v>
      </c>
      <c r="HY36" s="109" t="s">
        <v>169</v>
      </c>
    </row>
    <row r="37" spans="1:233">
      <c r="A37" s="304"/>
      <c r="B37" s="301">
        <v>727</v>
      </c>
      <c r="C37" s="173" t="s">
        <v>240</v>
      </c>
      <c r="D37" s="109" t="s">
        <v>241</v>
      </c>
      <c r="E37" s="109" t="s">
        <v>241</v>
      </c>
      <c r="F37" s="109" t="s">
        <v>241</v>
      </c>
      <c r="G37" s="109" t="s">
        <v>241</v>
      </c>
      <c r="H37" s="109" t="s">
        <v>241</v>
      </c>
      <c r="I37" s="109" t="s">
        <v>241</v>
      </c>
      <c r="J37" s="487" t="s">
        <v>241</v>
      </c>
      <c r="K37" s="109" t="s">
        <v>241</v>
      </c>
      <c r="L37" s="487" t="s">
        <v>241</v>
      </c>
      <c r="M37" s="109" t="s">
        <v>241</v>
      </c>
      <c r="N37" s="487" t="s">
        <v>241</v>
      </c>
      <c r="O37" s="109" t="s">
        <v>241</v>
      </c>
      <c r="P37" s="109" t="s">
        <v>241</v>
      </c>
      <c r="Q37" s="109" t="s">
        <v>241</v>
      </c>
      <c r="R37" s="109" t="s">
        <v>241</v>
      </c>
      <c r="S37" s="109" t="s">
        <v>241</v>
      </c>
      <c r="T37" s="109" t="s">
        <v>241</v>
      </c>
      <c r="U37" s="109" t="s">
        <v>241</v>
      </c>
      <c r="V37" s="109" t="s">
        <v>241</v>
      </c>
      <c r="W37" s="109" t="s">
        <v>241</v>
      </c>
      <c r="X37" s="109" t="s">
        <v>241</v>
      </c>
      <c r="Y37" s="109" t="s">
        <v>241</v>
      </c>
      <c r="Z37" s="109" t="s">
        <v>241</v>
      </c>
      <c r="AA37" s="109" t="s">
        <v>241</v>
      </c>
      <c r="AB37" s="109" t="s">
        <v>241</v>
      </c>
      <c r="AC37" s="109" t="s">
        <v>241</v>
      </c>
      <c r="AD37" s="109" t="s">
        <v>241</v>
      </c>
      <c r="AE37" s="109" t="s">
        <v>241</v>
      </c>
      <c r="AF37" s="109" t="s">
        <v>241</v>
      </c>
      <c r="AG37" s="109" t="s">
        <v>241</v>
      </c>
      <c r="AH37" s="109" t="s">
        <v>241</v>
      </c>
      <c r="AI37" s="109" t="s">
        <v>241</v>
      </c>
      <c r="AJ37" s="109" t="s">
        <v>241</v>
      </c>
      <c r="AK37" s="109" t="s">
        <v>241</v>
      </c>
      <c r="AL37" s="109" t="s">
        <v>241</v>
      </c>
      <c r="AM37" s="109" t="s">
        <v>241</v>
      </c>
      <c r="AN37" s="109" t="s">
        <v>241</v>
      </c>
      <c r="AO37" s="109" t="s">
        <v>241</v>
      </c>
      <c r="AP37" s="109" t="s">
        <v>241</v>
      </c>
      <c r="AQ37" s="109" t="s">
        <v>241</v>
      </c>
      <c r="AR37" s="109" t="s">
        <v>241</v>
      </c>
      <c r="AS37" s="109" t="s">
        <v>241</v>
      </c>
      <c r="AT37" s="109" t="s">
        <v>241</v>
      </c>
      <c r="AU37" s="109" t="s">
        <v>241</v>
      </c>
      <c r="AV37" s="109" t="s">
        <v>241</v>
      </c>
      <c r="AW37" s="109" t="s">
        <v>241</v>
      </c>
      <c r="AX37" s="109" t="s">
        <v>241</v>
      </c>
      <c r="AY37" s="109" t="s">
        <v>241</v>
      </c>
      <c r="AZ37" s="109" t="s">
        <v>241</v>
      </c>
      <c r="BA37" s="109" t="s">
        <v>241</v>
      </c>
      <c r="BB37" s="109" t="s">
        <v>241</v>
      </c>
      <c r="BC37" s="109" t="s">
        <v>241</v>
      </c>
      <c r="BD37" s="109" t="s">
        <v>241</v>
      </c>
      <c r="BE37" s="109" t="s">
        <v>241</v>
      </c>
      <c r="BF37" s="109" t="s">
        <v>241</v>
      </c>
      <c r="BG37" s="109" t="s">
        <v>241</v>
      </c>
      <c r="BH37" s="109" t="s">
        <v>241</v>
      </c>
      <c r="BI37" s="109" t="s">
        <v>241</v>
      </c>
      <c r="BJ37" s="109" t="s">
        <v>241</v>
      </c>
      <c r="BK37" s="109" t="s">
        <v>241</v>
      </c>
      <c r="BL37" s="109" t="s">
        <v>241</v>
      </c>
      <c r="BM37" s="109" t="s">
        <v>241</v>
      </c>
      <c r="BN37" s="109" t="s">
        <v>241</v>
      </c>
      <c r="BO37" s="109" t="s">
        <v>241</v>
      </c>
      <c r="BP37" s="109" t="s">
        <v>241</v>
      </c>
      <c r="BQ37" s="109" t="s">
        <v>241</v>
      </c>
      <c r="BR37" s="109" t="s">
        <v>241</v>
      </c>
      <c r="BS37" s="109" t="s">
        <v>241</v>
      </c>
      <c r="BT37" s="109" t="s">
        <v>241</v>
      </c>
      <c r="BU37" s="109" t="s">
        <v>241</v>
      </c>
      <c r="BV37" s="109" t="s">
        <v>241</v>
      </c>
      <c r="BW37" s="109" t="s">
        <v>241</v>
      </c>
      <c r="BX37" s="109" t="s">
        <v>241</v>
      </c>
      <c r="BY37" s="109" t="s">
        <v>241</v>
      </c>
      <c r="BZ37" s="109" t="s">
        <v>241</v>
      </c>
      <c r="CA37" s="109" t="s">
        <v>241</v>
      </c>
      <c r="CB37" s="109" t="s">
        <v>241</v>
      </c>
      <c r="CC37" s="109" t="s">
        <v>241</v>
      </c>
      <c r="CD37" s="109" t="s">
        <v>241</v>
      </c>
      <c r="CE37" s="109" t="s">
        <v>241</v>
      </c>
      <c r="CF37" s="109" t="s">
        <v>241</v>
      </c>
      <c r="CG37" s="109" t="s">
        <v>241</v>
      </c>
      <c r="CH37" s="109" t="s">
        <v>241</v>
      </c>
      <c r="CI37" s="109" t="s">
        <v>241</v>
      </c>
      <c r="CJ37" s="109" t="s">
        <v>241</v>
      </c>
      <c r="CK37" s="109" t="s">
        <v>241</v>
      </c>
      <c r="CL37" s="109" t="s">
        <v>241</v>
      </c>
      <c r="CM37" s="109" t="s">
        <v>241</v>
      </c>
      <c r="CN37" s="109" t="s">
        <v>241</v>
      </c>
      <c r="CO37" s="109" t="s">
        <v>241</v>
      </c>
      <c r="CP37" s="109" t="s">
        <v>241</v>
      </c>
      <c r="CQ37" s="109" t="s">
        <v>241</v>
      </c>
      <c r="CR37" s="109" t="s">
        <v>241</v>
      </c>
      <c r="CS37" s="109" t="s">
        <v>241</v>
      </c>
      <c r="CT37" s="109" t="s">
        <v>241</v>
      </c>
      <c r="CU37" s="109" t="s">
        <v>241</v>
      </c>
      <c r="CV37" s="109" t="s">
        <v>241</v>
      </c>
      <c r="CW37" s="109" t="s">
        <v>241</v>
      </c>
      <c r="CX37" s="109" t="s">
        <v>241</v>
      </c>
      <c r="CY37" s="109" t="s">
        <v>241</v>
      </c>
      <c r="CZ37" s="109" t="s">
        <v>241</v>
      </c>
      <c r="DA37" s="109" t="s">
        <v>241</v>
      </c>
      <c r="DB37" s="109" t="s">
        <v>241</v>
      </c>
      <c r="DC37" s="109" t="s">
        <v>241</v>
      </c>
      <c r="DD37" s="109" t="s">
        <v>241</v>
      </c>
      <c r="DE37" s="109" t="s">
        <v>241</v>
      </c>
      <c r="DF37" s="109" t="s">
        <v>241</v>
      </c>
      <c r="DG37" s="109" t="s">
        <v>241</v>
      </c>
      <c r="DH37" s="109" t="s">
        <v>241</v>
      </c>
      <c r="DI37" s="109" t="s">
        <v>241</v>
      </c>
      <c r="DJ37" s="109" t="s">
        <v>241</v>
      </c>
      <c r="DK37" s="109" t="s">
        <v>241</v>
      </c>
      <c r="DL37" s="109" t="s">
        <v>241</v>
      </c>
      <c r="DM37" s="109" t="s">
        <v>241</v>
      </c>
      <c r="DN37" s="109" t="s">
        <v>241</v>
      </c>
      <c r="DO37" s="109" t="s">
        <v>241</v>
      </c>
      <c r="DP37" s="109" t="s">
        <v>241</v>
      </c>
      <c r="DQ37" s="109" t="s">
        <v>241</v>
      </c>
      <c r="DR37" s="109" t="s">
        <v>241</v>
      </c>
      <c r="DS37" s="109" t="s">
        <v>241</v>
      </c>
      <c r="DT37" s="109" t="s">
        <v>241</v>
      </c>
      <c r="DU37" s="109" t="s">
        <v>241</v>
      </c>
      <c r="DV37" s="109" t="s">
        <v>241</v>
      </c>
      <c r="DW37" s="109" t="s">
        <v>241</v>
      </c>
      <c r="DX37" s="109" t="s">
        <v>241</v>
      </c>
      <c r="DY37" s="109" t="s">
        <v>241</v>
      </c>
      <c r="DZ37" s="109" t="s">
        <v>241</v>
      </c>
      <c r="EA37" s="109" t="s">
        <v>241</v>
      </c>
      <c r="EB37" s="109" t="s">
        <v>241</v>
      </c>
      <c r="EC37" s="109" t="s">
        <v>241</v>
      </c>
      <c r="ED37" s="109" t="s">
        <v>241</v>
      </c>
      <c r="EE37" s="109" t="s">
        <v>241</v>
      </c>
      <c r="EF37" s="109" t="s">
        <v>241</v>
      </c>
      <c r="EG37" s="109" t="s">
        <v>241</v>
      </c>
      <c r="EH37" s="109" t="s">
        <v>241</v>
      </c>
      <c r="EI37" s="109" t="s">
        <v>241</v>
      </c>
      <c r="EJ37" s="109" t="s">
        <v>241</v>
      </c>
      <c r="EK37" s="109" t="s">
        <v>241</v>
      </c>
      <c r="EL37" s="109" t="s">
        <v>241</v>
      </c>
      <c r="EM37" s="109" t="s">
        <v>241</v>
      </c>
      <c r="EN37" s="109" t="s">
        <v>241</v>
      </c>
      <c r="EO37" s="109" t="s">
        <v>241</v>
      </c>
      <c r="EP37" s="109" t="s">
        <v>241</v>
      </c>
      <c r="EQ37" s="109" t="s">
        <v>241</v>
      </c>
      <c r="ER37" s="109" t="s">
        <v>241</v>
      </c>
      <c r="ES37" s="109" t="s">
        <v>241</v>
      </c>
      <c r="ET37" s="109" t="s">
        <v>241</v>
      </c>
      <c r="EU37" s="109" t="s">
        <v>241</v>
      </c>
      <c r="EV37" s="109" t="s">
        <v>241</v>
      </c>
      <c r="EW37" s="109" t="s">
        <v>241</v>
      </c>
      <c r="EX37" s="109" t="s">
        <v>241</v>
      </c>
      <c r="EY37" s="109" t="s">
        <v>241</v>
      </c>
      <c r="EZ37" s="109" t="s">
        <v>241</v>
      </c>
      <c r="FA37" s="109" t="s">
        <v>241</v>
      </c>
      <c r="FB37" s="109" t="s">
        <v>241</v>
      </c>
      <c r="FC37" s="109" t="s">
        <v>241</v>
      </c>
      <c r="FD37" s="109" t="s">
        <v>241</v>
      </c>
      <c r="FE37" s="109" t="s">
        <v>241</v>
      </c>
      <c r="FF37" s="109" t="s">
        <v>241</v>
      </c>
      <c r="FG37" s="109" t="s">
        <v>241</v>
      </c>
      <c r="FH37" s="109" t="s">
        <v>241</v>
      </c>
      <c r="FI37" s="109" t="s">
        <v>241</v>
      </c>
      <c r="FJ37" s="109" t="s">
        <v>241</v>
      </c>
      <c r="FK37" s="109" t="s">
        <v>241</v>
      </c>
      <c r="FL37" s="109" t="s">
        <v>241</v>
      </c>
      <c r="FM37" s="109" t="s">
        <v>241</v>
      </c>
      <c r="FN37" s="109" t="s">
        <v>241</v>
      </c>
      <c r="FO37" s="109" t="s">
        <v>241</v>
      </c>
      <c r="FP37" s="109" t="s">
        <v>241</v>
      </c>
      <c r="FQ37" s="109" t="s">
        <v>241</v>
      </c>
      <c r="FR37" s="109" t="s">
        <v>241</v>
      </c>
      <c r="FS37" s="109" t="s">
        <v>241</v>
      </c>
      <c r="FT37" s="109" t="s">
        <v>241</v>
      </c>
      <c r="FU37" s="109" t="s">
        <v>241</v>
      </c>
      <c r="FV37" s="109" t="s">
        <v>241</v>
      </c>
      <c r="FW37" s="109" t="s">
        <v>241</v>
      </c>
      <c r="FX37" s="109" t="s">
        <v>241</v>
      </c>
      <c r="FY37" s="109" t="s">
        <v>241</v>
      </c>
      <c r="FZ37" s="109" t="s">
        <v>241</v>
      </c>
      <c r="GA37" s="109" t="s">
        <v>241</v>
      </c>
      <c r="GB37" s="109" t="s">
        <v>241</v>
      </c>
      <c r="GC37" s="109" t="s">
        <v>241</v>
      </c>
      <c r="GD37" s="109" t="s">
        <v>241</v>
      </c>
      <c r="GE37" s="109" t="s">
        <v>241</v>
      </c>
      <c r="GF37" s="109" t="s">
        <v>241</v>
      </c>
      <c r="GG37" s="109" t="s">
        <v>241</v>
      </c>
      <c r="GH37" s="109" t="s">
        <v>241</v>
      </c>
      <c r="GI37" s="109" t="s">
        <v>241</v>
      </c>
      <c r="GJ37" s="109" t="s">
        <v>241</v>
      </c>
      <c r="GK37" s="109" t="s">
        <v>241</v>
      </c>
      <c r="GL37" s="109" t="s">
        <v>241</v>
      </c>
      <c r="GM37" s="109" t="s">
        <v>241</v>
      </c>
      <c r="GN37" s="109" t="s">
        <v>241</v>
      </c>
      <c r="GO37" s="109" t="s">
        <v>241</v>
      </c>
      <c r="GP37" s="109" t="s">
        <v>241</v>
      </c>
      <c r="GQ37" s="109" t="s">
        <v>241</v>
      </c>
      <c r="GR37" s="109" t="s">
        <v>241</v>
      </c>
      <c r="GS37" s="109" t="s">
        <v>241</v>
      </c>
      <c r="GT37" s="109" t="s">
        <v>241</v>
      </c>
      <c r="GU37" s="109" t="s">
        <v>241</v>
      </c>
      <c r="GV37" s="109" t="s">
        <v>241</v>
      </c>
      <c r="GW37" s="109" t="s">
        <v>241</v>
      </c>
      <c r="GX37" s="109" t="s">
        <v>241</v>
      </c>
      <c r="GY37" s="109" t="s">
        <v>241</v>
      </c>
      <c r="GZ37" s="109" t="s">
        <v>241</v>
      </c>
      <c r="HA37" s="109" t="s">
        <v>241</v>
      </c>
      <c r="HB37" s="109" t="s">
        <v>241</v>
      </c>
      <c r="HC37" s="109" t="s">
        <v>241</v>
      </c>
      <c r="HD37" s="109" t="s">
        <v>241</v>
      </c>
      <c r="HE37" s="109" t="s">
        <v>241</v>
      </c>
      <c r="HF37" s="109" t="s">
        <v>241</v>
      </c>
      <c r="HG37" s="109" t="s">
        <v>241</v>
      </c>
      <c r="HH37" s="109" t="s">
        <v>241</v>
      </c>
      <c r="HI37" s="109" t="s">
        <v>241</v>
      </c>
      <c r="HJ37" s="109" t="s">
        <v>241</v>
      </c>
      <c r="HK37" s="109" t="s">
        <v>241</v>
      </c>
      <c r="HL37" s="109" t="s">
        <v>241</v>
      </c>
      <c r="HM37" s="109" t="s">
        <v>241</v>
      </c>
      <c r="HN37" s="109" t="s">
        <v>241</v>
      </c>
      <c r="HO37" s="109" t="s">
        <v>241</v>
      </c>
      <c r="HP37" s="109" t="s">
        <v>241</v>
      </c>
      <c r="HQ37" s="109" t="s">
        <v>241</v>
      </c>
      <c r="HR37" s="109" t="s">
        <v>241</v>
      </c>
      <c r="HS37" s="109" t="s">
        <v>241</v>
      </c>
      <c r="HT37" s="109" t="s">
        <v>241</v>
      </c>
      <c r="HU37" s="109" t="s">
        <v>241</v>
      </c>
      <c r="HV37" s="109" t="s">
        <v>241</v>
      </c>
      <c r="HW37" s="109" t="s">
        <v>241</v>
      </c>
      <c r="HX37" s="109" t="s">
        <v>241</v>
      </c>
      <c r="HY37" s="109" t="s">
        <v>241</v>
      </c>
    </row>
    <row r="38" spans="1:233" outlineLevel="1">
      <c r="A38" s="297" t="s">
        <v>407</v>
      </c>
      <c r="B38" s="301">
        <v>751</v>
      </c>
      <c r="C38" s="173" t="s">
        <v>541</v>
      </c>
      <c r="D38" s="303">
        <v>87</v>
      </c>
      <c r="E38" s="303">
        <v>45</v>
      </c>
      <c r="F38" s="303">
        <v>45</v>
      </c>
      <c r="G38" s="250">
        <v>41</v>
      </c>
      <c r="H38" s="250">
        <v>41</v>
      </c>
      <c r="I38" s="303">
        <v>87</v>
      </c>
      <c r="J38" s="303">
        <v>87</v>
      </c>
      <c r="K38" s="303">
        <v>87</v>
      </c>
      <c r="L38" s="303">
        <v>87</v>
      </c>
      <c r="M38" s="303">
        <v>87</v>
      </c>
      <c r="N38" s="303">
        <v>87</v>
      </c>
      <c r="O38" s="326">
        <v>41</v>
      </c>
      <c r="P38" s="101">
        <v>41</v>
      </c>
      <c r="Q38" s="303">
        <v>87</v>
      </c>
      <c r="R38" s="303">
        <v>87</v>
      </c>
      <c r="S38" s="303">
        <v>87</v>
      </c>
      <c r="T38" s="250">
        <v>81</v>
      </c>
      <c r="U38" s="303">
        <v>87</v>
      </c>
      <c r="V38" s="303">
        <v>87</v>
      </c>
      <c r="W38" s="303">
        <v>87</v>
      </c>
      <c r="X38" s="250">
        <v>81</v>
      </c>
      <c r="Y38" s="303">
        <v>87</v>
      </c>
      <c r="Z38" s="303">
        <v>45</v>
      </c>
      <c r="AA38" s="303">
        <v>45</v>
      </c>
      <c r="AB38" s="250">
        <v>45</v>
      </c>
      <c r="AC38" s="250">
        <v>80</v>
      </c>
      <c r="AD38" s="250">
        <v>80</v>
      </c>
      <c r="AE38" s="303">
        <v>87</v>
      </c>
      <c r="AF38" s="303">
        <v>87</v>
      </c>
      <c r="AG38" s="303">
        <v>87</v>
      </c>
      <c r="AH38" s="250">
        <v>80</v>
      </c>
      <c r="AI38" s="250">
        <v>41</v>
      </c>
      <c r="AJ38" s="250">
        <v>80</v>
      </c>
      <c r="AK38" s="250">
        <v>80</v>
      </c>
      <c r="AL38" s="250">
        <v>80</v>
      </c>
      <c r="AM38" s="250">
        <v>80</v>
      </c>
      <c r="AN38" s="303">
        <v>87</v>
      </c>
      <c r="AO38" s="303">
        <v>87</v>
      </c>
      <c r="AP38" s="303">
        <v>87</v>
      </c>
      <c r="AQ38" s="250">
        <v>80</v>
      </c>
      <c r="AR38" s="303">
        <v>87</v>
      </c>
      <c r="AS38" s="303">
        <v>87</v>
      </c>
      <c r="AT38" s="303">
        <v>87</v>
      </c>
      <c r="AU38" s="250">
        <v>80</v>
      </c>
      <c r="AV38" s="250">
        <v>41</v>
      </c>
      <c r="AW38" s="303">
        <v>87</v>
      </c>
      <c r="AX38" s="303">
        <v>87</v>
      </c>
      <c r="AY38" s="303">
        <v>87</v>
      </c>
      <c r="AZ38" s="250">
        <v>80</v>
      </c>
      <c r="BA38" s="303">
        <v>87</v>
      </c>
      <c r="BB38" s="303">
        <v>87</v>
      </c>
      <c r="BC38" s="303">
        <v>87</v>
      </c>
      <c r="BD38" s="250">
        <v>80</v>
      </c>
      <c r="BE38" s="303">
        <v>87</v>
      </c>
      <c r="BF38" s="303">
        <v>87</v>
      </c>
      <c r="BG38" s="303">
        <v>87</v>
      </c>
      <c r="BH38" s="250">
        <v>41</v>
      </c>
      <c r="BI38" s="303">
        <v>87</v>
      </c>
      <c r="BJ38" s="303">
        <v>87</v>
      </c>
      <c r="BK38" s="303">
        <v>87</v>
      </c>
      <c r="BL38" s="250">
        <v>41</v>
      </c>
      <c r="BM38" s="303">
        <v>87</v>
      </c>
      <c r="BN38" s="303">
        <v>87</v>
      </c>
      <c r="BO38" s="303">
        <v>87</v>
      </c>
      <c r="BP38" s="250">
        <v>41</v>
      </c>
      <c r="BQ38" s="303">
        <v>87</v>
      </c>
      <c r="BR38" s="303">
        <v>87</v>
      </c>
      <c r="BS38" s="303">
        <v>87</v>
      </c>
      <c r="BT38" s="250">
        <v>41</v>
      </c>
      <c r="BU38" s="250">
        <v>45</v>
      </c>
      <c r="BV38" s="250">
        <v>45</v>
      </c>
      <c r="BW38" s="250">
        <v>45</v>
      </c>
      <c r="BX38" s="250">
        <v>45</v>
      </c>
      <c r="BY38" s="250">
        <v>45</v>
      </c>
      <c r="BZ38" s="250">
        <v>45</v>
      </c>
      <c r="CA38" s="250">
        <v>45</v>
      </c>
      <c r="CB38" s="250">
        <v>45</v>
      </c>
      <c r="CC38" s="250">
        <v>45</v>
      </c>
      <c r="CD38" s="250">
        <v>45</v>
      </c>
      <c r="CE38" s="250">
        <v>45</v>
      </c>
      <c r="CF38" s="250">
        <v>45</v>
      </c>
      <c r="CG38" s="250">
        <v>45</v>
      </c>
      <c r="CH38" s="250">
        <v>45</v>
      </c>
      <c r="CI38" s="250">
        <v>41</v>
      </c>
      <c r="CJ38" s="250">
        <v>41</v>
      </c>
      <c r="CK38" s="250">
        <v>41</v>
      </c>
      <c r="CL38" s="250">
        <v>41</v>
      </c>
      <c r="CM38" s="250">
        <v>41</v>
      </c>
      <c r="CN38" s="250">
        <v>41</v>
      </c>
      <c r="CO38" s="250">
        <v>41</v>
      </c>
      <c r="CP38" s="101">
        <v>41</v>
      </c>
      <c r="CQ38" s="250">
        <v>80</v>
      </c>
      <c r="CR38" s="250">
        <v>41</v>
      </c>
      <c r="CS38" s="250">
        <v>41</v>
      </c>
      <c r="CT38" s="250">
        <v>41</v>
      </c>
      <c r="CU38" s="250">
        <v>80</v>
      </c>
      <c r="CV38" s="250">
        <v>80</v>
      </c>
      <c r="CW38" s="250">
        <v>80</v>
      </c>
      <c r="CX38" s="250">
        <v>80</v>
      </c>
      <c r="CY38" s="250">
        <v>80</v>
      </c>
      <c r="CZ38" s="250">
        <v>80</v>
      </c>
      <c r="DA38" s="250">
        <v>80</v>
      </c>
      <c r="DB38" s="250">
        <v>41</v>
      </c>
      <c r="DC38" s="250">
        <v>41</v>
      </c>
      <c r="DD38" s="250">
        <v>41</v>
      </c>
      <c r="DE38" s="250">
        <v>41</v>
      </c>
      <c r="DF38" s="250">
        <v>87</v>
      </c>
      <c r="DG38" s="303">
        <v>87</v>
      </c>
      <c r="DH38" s="303">
        <v>87</v>
      </c>
      <c r="DI38" s="303">
        <v>87</v>
      </c>
      <c r="DJ38" s="303">
        <v>87</v>
      </c>
      <c r="DK38" s="250">
        <v>41</v>
      </c>
      <c r="DL38" s="250">
        <v>41</v>
      </c>
      <c r="DM38" s="250">
        <v>41</v>
      </c>
      <c r="DN38" s="250">
        <v>41</v>
      </c>
      <c r="DO38" s="250">
        <v>41</v>
      </c>
      <c r="DP38" s="250">
        <v>41</v>
      </c>
      <c r="DQ38" s="250">
        <v>41</v>
      </c>
      <c r="DR38" s="250">
        <v>87</v>
      </c>
      <c r="DS38" s="250">
        <v>87</v>
      </c>
      <c r="DT38" s="250">
        <v>41</v>
      </c>
      <c r="DU38" s="250">
        <v>41</v>
      </c>
      <c r="DV38" s="250">
        <v>41</v>
      </c>
      <c r="DW38" s="250">
        <v>41</v>
      </c>
      <c r="DX38" s="250">
        <v>41</v>
      </c>
      <c r="DY38" s="250">
        <v>41</v>
      </c>
      <c r="DZ38" s="250">
        <v>45</v>
      </c>
      <c r="EA38" s="250">
        <v>45</v>
      </c>
      <c r="EB38" s="250">
        <v>45</v>
      </c>
      <c r="EC38" s="250">
        <v>45</v>
      </c>
      <c r="ED38" s="250">
        <v>45</v>
      </c>
      <c r="EE38" s="250">
        <v>45</v>
      </c>
      <c r="EF38" s="250">
        <v>45</v>
      </c>
      <c r="EG38" s="250">
        <v>45</v>
      </c>
      <c r="EH38" s="250">
        <v>45</v>
      </c>
      <c r="EI38" s="250">
        <v>45</v>
      </c>
      <c r="EJ38" s="250">
        <v>45</v>
      </c>
      <c r="EK38" s="250">
        <v>45</v>
      </c>
      <c r="EL38" s="250">
        <v>45</v>
      </c>
      <c r="EM38" s="250">
        <v>45</v>
      </c>
      <c r="EN38" s="250">
        <v>45</v>
      </c>
      <c r="EO38" s="250">
        <v>45</v>
      </c>
      <c r="EP38" s="250">
        <v>45</v>
      </c>
      <c r="EQ38" s="250">
        <v>45</v>
      </c>
      <c r="ER38" s="250">
        <v>45</v>
      </c>
      <c r="ES38" s="250">
        <v>45</v>
      </c>
      <c r="ET38" s="250">
        <v>45</v>
      </c>
      <c r="EU38" s="250">
        <v>45</v>
      </c>
      <c r="EV38" s="250">
        <v>45</v>
      </c>
      <c r="EW38" s="250">
        <v>45</v>
      </c>
      <c r="EX38" s="250">
        <v>45</v>
      </c>
      <c r="EY38" s="250">
        <v>45</v>
      </c>
      <c r="EZ38" s="250">
        <v>45</v>
      </c>
      <c r="FA38" s="250">
        <v>45</v>
      </c>
      <c r="FB38" s="250">
        <v>45</v>
      </c>
      <c r="FC38" s="250">
        <v>45</v>
      </c>
      <c r="FD38" s="250">
        <v>45</v>
      </c>
      <c r="FE38" s="250">
        <v>45</v>
      </c>
      <c r="FF38" s="250">
        <v>45</v>
      </c>
      <c r="FG38" s="250">
        <v>45</v>
      </c>
      <c r="FH38" s="250">
        <v>45</v>
      </c>
      <c r="FI38" s="250">
        <v>45</v>
      </c>
      <c r="FJ38" s="250">
        <v>45</v>
      </c>
      <c r="FK38" s="250">
        <v>45</v>
      </c>
      <c r="FL38" s="250">
        <v>45</v>
      </c>
      <c r="FM38" s="250">
        <v>45</v>
      </c>
      <c r="FN38" s="250">
        <v>41</v>
      </c>
      <c r="FO38" s="250">
        <v>41</v>
      </c>
      <c r="FP38" s="250">
        <v>41</v>
      </c>
      <c r="FQ38" s="250">
        <v>41</v>
      </c>
      <c r="FR38" s="250">
        <v>41</v>
      </c>
      <c r="FS38" s="250">
        <v>41</v>
      </c>
      <c r="FT38" s="250">
        <v>41</v>
      </c>
      <c r="FU38" s="250">
        <v>41</v>
      </c>
      <c r="FV38" s="250">
        <v>41</v>
      </c>
      <c r="FW38" s="250">
        <v>41</v>
      </c>
      <c r="FX38" s="250">
        <v>41</v>
      </c>
      <c r="FY38" s="250">
        <v>41</v>
      </c>
      <c r="FZ38" s="250">
        <v>41</v>
      </c>
      <c r="GA38" s="250">
        <v>41</v>
      </c>
      <c r="GB38" s="250">
        <v>41</v>
      </c>
      <c r="GC38" s="250">
        <v>41</v>
      </c>
      <c r="GD38" s="250">
        <v>41</v>
      </c>
      <c r="GE38" s="250">
        <v>41</v>
      </c>
      <c r="GF38" s="250">
        <v>41</v>
      </c>
      <c r="GG38" s="250">
        <v>41</v>
      </c>
      <c r="GH38" s="101">
        <v>41</v>
      </c>
      <c r="GI38" s="101">
        <v>41</v>
      </c>
      <c r="GJ38" s="101">
        <v>41</v>
      </c>
      <c r="GK38" s="101">
        <v>41</v>
      </c>
      <c r="GL38" s="101">
        <v>41</v>
      </c>
      <c r="GM38" s="101">
        <v>41</v>
      </c>
      <c r="GN38" s="101">
        <v>41</v>
      </c>
      <c r="GO38" s="101">
        <v>41</v>
      </c>
      <c r="GP38" s="101">
        <v>41</v>
      </c>
      <c r="GQ38" s="101">
        <v>41</v>
      </c>
      <c r="GR38" s="101">
        <v>41</v>
      </c>
      <c r="GS38" s="101">
        <v>41</v>
      </c>
      <c r="GT38" s="101">
        <v>41</v>
      </c>
      <c r="GU38" s="101">
        <v>41</v>
      </c>
      <c r="GV38" s="101">
        <v>41</v>
      </c>
      <c r="GW38" s="101">
        <v>41</v>
      </c>
      <c r="GX38" s="101">
        <v>41</v>
      </c>
      <c r="GY38" s="101">
        <v>41</v>
      </c>
      <c r="GZ38" s="101">
        <v>41</v>
      </c>
      <c r="HA38" s="101">
        <v>41</v>
      </c>
      <c r="HB38" s="101">
        <v>41</v>
      </c>
      <c r="HC38" s="101">
        <v>41</v>
      </c>
      <c r="HD38" s="101">
        <v>41</v>
      </c>
      <c r="HE38" s="101">
        <v>41</v>
      </c>
      <c r="HF38" s="101">
        <v>41</v>
      </c>
      <c r="HG38" s="101">
        <v>41</v>
      </c>
      <c r="HH38" s="101">
        <v>41</v>
      </c>
      <c r="HI38" s="101">
        <v>41</v>
      </c>
      <c r="HJ38" s="101">
        <v>41</v>
      </c>
      <c r="HK38" s="101">
        <v>41</v>
      </c>
      <c r="HL38" s="101">
        <v>41</v>
      </c>
      <c r="HM38" s="101">
        <v>41</v>
      </c>
      <c r="HN38" s="101">
        <v>41</v>
      </c>
      <c r="HO38" s="101">
        <v>41</v>
      </c>
      <c r="HP38" s="101">
        <v>41</v>
      </c>
      <c r="HQ38" s="101">
        <v>41</v>
      </c>
      <c r="HR38" s="101">
        <v>41</v>
      </c>
      <c r="HS38" s="101">
        <v>41</v>
      </c>
      <c r="HT38" s="101">
        <v>41</v>
      </c>
      <c r="HU38" s="101">
        <v>41</v>
      </c>
      <c r="HV38" s="101">
        <v>41</v>
      </c>
      <c r="HW38" s="101">
        <v>41</v>
      </c>
      <c r="HX38" s="101">
        <v>41</v>
      </c>
      <c r="HY38" s="101">
        <v>41</v>
      </c>
    </row>
    <row r="39" spans="1:233" outlineLevel="1">
      <c r="A39" s="297" t="s">
        <v>408</v>
      </c>
      <c r="B39" s="301">
        <v>756</v>
      </c>
      <c r="C39" s="173" t="s">
        <v>242</v>
      </c>
      <c r="D39" s="109">
        <v>2</v>
      </c>
      <c r="E39" s="109">
        <v>2</v>
      </c>
      <c r="F39" s="109">
        <v>2</v>
      </c>
      <c r="G39" s="109">
        <v>2</v>
      </c>
      <c r="H39" s="109">
        <v>2</v>
      </c>
      <c r="I39" s="101">
        <v>2</v>
      </c>
      <c r="J39" s="101">
        <v>2</v>
      </c>
      <c r="K39" s="101">
        <v>2</v>
      </c>
      <c r="L39" s="101">
        <v>2</v>
      </c>
      <c r="M39" s="101">
        <v>2</v>
      </c>
      <c r="N39" s="101">
        <v>2</v>
      </c>
      <c r="O39" s="101">
        <v>2</v>
      </c>
      <c r="P39" s="101">
        <v>2</v>
      </c>
      <c r="Q39" s="109">
        <v>2</v>
      </c>
      <c r="R39" s="109">
        <v>2</v>
      </c>
      <c r="S39" s="109">
        <v>2</v>
      </c>
      <c r="T39" s="109">
        <v>2</v>
      </c>
      <c r="U39" s="109">
        <v>2</v>
      </c>
      <c r="V39" s="109">
        <v>2</v>
      </c>
      <c r="W39" s="109">
        <v>2</v>
      </c>
      <c r="X39" s="109">
        <v>2</v>
      </c>
      <c r="Y39" s="109">
        <v>2</v>
      </c>
      <c r="Z39" s="109">
        <v>2</v>
      </c>
      <c r="AA39" s="109">
        <v>2</v>
      </c>
      <c r="AB39" s="109">
        <v>2</v>
      </c>
      <c r="AC39" s="109">
        <v>2</v>
      </c>
      <c r="AD39" s="109">
        <v>2</v>
      </c>
      <c r="AE39" s="109">
        <v>2</v>
      </c>
      <c r="AF39" s="109">
        <v>2</v>
      </c>
      <c r="AG39" s="109">
        <v>2</v>
      </c>
      <c r="AH39" s="109">
        <v>2</v>
      </c>
      <c r="AI39" s="109">
        <v>2</v>
      </c>
      <c r="AJ39" s="109">
        <v>2</v>
      </c>
      <c r="AK39" s="109">
        <v>2</v>
      </c>
      <c r="AL39" s="109">
        <v>2</v>
      </c>
      <c r="AM39" s="109">
        <v>2</v>
      </c>
      <c r="AN39" s="109">
        <v>2</v>
      </c>
      <c r="AO39" s="109">
        <v>2</v>
      </c>
      <c r="AP39" s="109">
        <v>2</v>
      </c>
      <c r="AQ39" s="109">
        <v>2</v>
      </c>
      <c r="AR39" s="109">
        <v>2</v>
      </c>
      <c r="AS39" s="109">
        <v>2</v>
      </c>
      <c r="AT39" s="109">
        <v>2</v>
      </c>
      <c r="AU39" s="109">
        <v>2</v>
      </c>
      <c r="AV39" s="109">
        <v>2</v>
      </c>
      <c r="AW39" s="109">
        <v>2</v>
      </c>
      <c r="AX39" s="109">
        <v>2</v>
      </c>
      <c r="AY39" s="109">
        <v>2</v>
      </c>
      <c r="AZ39" s="109">
        <v>2</v>
      </c>
      <c r="BA39" s="109">
        <v>2</v>
      </c>
      <c r="BB39" s="109">
        <v>2</v>
      </c>
      <c r="BC39" s="109">
        <v>2</v>
      </c>
      <c r="BD39" s="109">
        <v>2</v>
      </c>
      <c r="BE39" s="109">
        <v>2</v>
      </c>
      <c r="BF39" s="109">
        <v>2</v>
      </c>
      <c r="BG39" s="109">
        <v>2</v>
      </c>
      <c r="BH39" s="109">
        <v>2</v>
      </c>
      <c r="BI39" s="109">
        <v>2</v>
      </c>
      <c r="BJ39" s="109">
        <v>2</v>
      </c>
      <c r="BK39" s="109">
        <v>2</v>
      </c>
      <c r="BL39" s="109">
        <v>2</v>
      </c>
      <c r="BM39" s="109">
        <v>2</v>
      </c>
      <c r="BN39" s="109">
        <v>2</v>
      </c>
      <c r="BO39" s="109">
        <v>2</v>
      </c>
      <c r="BP39" s="109">
        <v>2</v>
      </c>
      <c r="BQ39" s="109">
        <v>2</v>
      </c>
      <c r="BR39" s="109">
        <v>2</v>
      </c>
      <c r="BS39" s="109">
        <v>2</v>
      </c>
      <c r="BT39" s="109">
        <v>2</v>
      </c>
      <c r="BU39" s="109">
        <v>2</v>
      </c>
      <c r="BV39" s="109">
        <v>2</v>
      </c>
      <c r="BW39" s="109">
        <v>2</v>
      </c>
      <c r="BX39" s="109">
        <v>2</v>
      </c>
      <c r="BY39" s="109">
        <v>2</v>
      </c>
      <c r="BZ39" s="109">
        <v>2</v>
      </c>
      <c r="CA39" s="109">
        <v>2</v>
      </c>
      <c r="CB39" s="109">
        <v>2</v>
      </c>
      <c r="CC39" s="109">
        <v>2</v>
      </c>
      <c r="CD39" s="109">
        <v>2</v>
      </c>
      <c r="CE39" s="109">
        <v>2</v>
      </c>
      <c r="CF39" s="109">
        <v>2</v>
      </c>
      <c r="CG39" s="109">
        <v>2</v>
      </c>
      <c r="CH39" s="109">
        <v>2</v>
      </c>
      <c r="CI39" s="109">
        <v>2</v>
      </c>
      <c r="CJ39" s="109">
        <v>2</v>
      </c>
      <c r="CK39" s="109">
        <v>2</v>
      </c>
      <c r="CL39" s="109">
        <v>2</v>
      </c>
      <c r="CM39" s="109">
        <v>2</v>
      </c>
      <c r="CN39" s="109">
        <v>2</v>
      </c>
      <c r="CO39" s="109">
        <v>2</v>
      </c>
      <c r="CP39" s="101">
        <v>2</v>
      </c>
      <c r="CQ39" s="109">
        <v>2</v>
      </c>
      <c r="CR39" s="109">
        <v>2</v>
      </c>
      <c r="CS39" s="109">
        <v>2</v>
      </c>
      <c r="CT39" s="109">
        <v>2</v>
      </c>
      <c r="CU39" s="109">
        <v>2</v>
      </c>
      <c r="CV39" s="109">
        <v>2</v>
      </c>
      <c r="CW39" s="109">
        <v>2</v>
      </c>
      <c r="CX39" s="109">
        <v>2</v>
      </c>
      <c r="CY39" s="109">
        <v>2</v>
      </c>
      <c r="CZ39" s="109">
        <v>2</v>
      </c>
      <c r="DA39" s="109">
        <v>2</v>
      </c>
      <c r="DB39" s="109">
        <v>2</v>
      </c>
      <c r="DC39" s="109">
        <v>2</v>
      </c>
      <c r="DD39" s="109">
        <v>2</v>
      </c>
      <c r="DE39" s="109">
        <v>2</v>
      </c>
      <c r="DF39" s="109">
        <v>2</v>
      </c>
      <c r="DG39" s="109">
        <v>2</v>
      </c>
      <c r="DH39" s="109">
        <v>2</v>
      </c>
      <c r="DI39" s="109">
        <v>2</v>
      </c>
      <c r="DJ39" s="109">
        <v>2</v>
      </c>
      <c r="DK39" s="109">
        <v>2</v>
      </c>
      <c r="DL39" s="109">
        <v>2</v>
      </c>
      <c r="DM39" s="109">
        <v>2</v>
      </c>
      <c r="DN39" s="109">
        <v>2</v>
      </c>
      <c r="DO39" s="109">
        <v>2</v>
      </c>
      <c r="DP39" s="109">
        <v>2</v>
      </c>
      <c r="DQ39" s="109">
        <v>2</v>
      </c>
      <c r="DR39" s="109">
        <v>2</v>
      </c>
      <c r="DS39" s="109">
        <v>2</v>
      </c>
      <c r="DT39" s="109">
        <v>2</v>
      </c>
      <c r="DU39" s="109">
        <v>2</v>
      </c>
      <c r="DV39" s="109">
        <v>2</v>
      </c>
      <c r="DW39" s="109">
        <v>2</v>
      </c>
      <c r="DX39" s="109">
        <v>2</v>
      </c>
      <c r="DY39" s="109">
        <v>2</v>
      </c>
      <c r="DZ39" s="109">
        <v>2</v>
      </c>
      <c r="EA39" s="109">
        <v>2</v>
      </c>
      <c r="EB39" s="109">
        <v>2</v>
      </c>
      <c r="EC39" s="109">
        <v>2</v>
      </c>
      <c r="ED39" s="109">
        <v>2</v>
      </c>
      <c r="EE39" s="109">
        <v>2</v>
      </c>
      <c r="EF39" s="109">
        <v>2</v>
      </c>
      <c r="EG39" s="109">
        <v>2</v>
      </c>
      <c r="EH39" s="109">
        <v>2</v>
      </c>
      <c r="EI39" s="109">
        <v>2</v>
      </c>
      <c r="EJ39" s="109">
        <v>2</v>
      </c>
      <c r="EK39" s="109">
        <v>2</v>
      </c>
      <c r="EL39" s="109">
        <v>2</v>
      </c>
      <c r="EM39" s="109">
        <v>2</v>
      </c>
      <c r="EN39" s="109">
        <v>2</v>
      </c>
      <c r="EO39" s="109">
        <v>2</v>
      </c>
      <c r="EP39" s="109">
        <v>2</v>
      </c>
      <c r="EQ39" s="109">
        <v>2</v>
      </c>
      <c r="ER39" s="109">
        <v>2</v>
      </c>
      <c r="ES39" s="109">
        <v>2</v>
      </c>
      <c r="ET39" s="109">
        <v>2</v>
      </c>
      <c r="EU39" s="109">
        <v>2</v>
      </c>
      <c r="EV39" s="109">
        <v>2</v>
      </c>
      <c r="EW39" s="109">
        <v>2</v>
      </c>
      <c r="EX39" s="109">
        <v>2</v>
      </c>
      <c r="EY39" s="109">
        <v>2</v>
      </c>
      <c r="EZ39" s="109">
        <v>2</v>
      </c>
      <c r="FA39" s="109">
        <v>2</v>
      </c>
      <c r="FB39" s="109">
        <v>2</v>
      </c>
      <c r="FC39" s="109">
        <v>2</v>
      </c>
      <c r="FD39" s="109">
        <v>2</v>
      </c>
      <c r="FE39" s="109">
        <v>2</v>
      </c>
      <c r="FF39" s="109">
        <v>2</v>
      </c>
      <c r="FG39" s="109">
        <v>2</v>
      </c>
      <c r="FH39" s="109">
        <v>2</v>
      </c>
      <c r="FI39" s="109">
        <v>2</v>
      </c>
      <c r="FJ39" s="109">
        <v>2</v>
      </c>
      <c r="FK39" s="109">
        <v>2</v>
      </c>
      <c r="FL39" s="109">
        <v>2</v>
      </c>
      <c r="FM39" s="109">
        <v>2</v>
      </c>
      <c r="FN39" s="109">
        <v>2</v>
      </c>
      <c r="FO39" s="109">
        <v>2</v>
      </c>
      <c r="FP39" s="109">
        <v>2</v>
      </c>
      <c r="FQ39" s="109">
        <v>2</v>
      </c>
      <c r="FR39" s="109">
        <v>2</v>
      </c>
      <c r="FS39" s="109">
        <v>2</v>
      </c>
      <c r="FT39" s="109">
        <v>2</v>
      </c>
      <c r="FU39" s="109">
        <v>2</v>
      </c>
      <c r="FV39" s="109">
        <v>2</v>
      </c>
      <c r="FW39" s="109">
        <v>2</v>
      </c>
      <c r="FX39" s="109">
        <v>2</v>
      </c>
      <c r="FY39" s="109">
        <v>2</v>
      </c>
      <c r="FZ39" s="109">
        <v>2</v>
      </c>
      <c r="GA39" s="109">
        <v>2</v>
      </c>
      <c r="GB39" s="109">
        <v>2</v>
      </c>
      <c r="GC39" s="109">
        <v>2</v>
      </c>
      <c r="GD39" s="109">
        <v>2</v>
      </c>
      <c r="GE39" s="109">
        <v>2</v>
      </c>
      <c r="GF39" s="109">
        <v>2</v>
      </c>
      <c r="GG39" s="109">
        <v>2</v>
      </c>
      <c r="GH39" s="101">
        <v>2</v>
      </c>
      <c r="GI39" s="101">
        <v>2</v>
      </c>
      <c r="GJ39" s="101">
        <v>2</v>
      </c>
      <c r="GK39" s="101">
        <v>2</v>
      </c>
      <c r="GL39" s="101">
        <v>2</v>
      </c>
      <c r="GM39" s="101">
        <v>2</v>
      </c>
      <c r="GN39" s="101">
        <v>2</v>
      </c>
      <c r="GO39" s="101">
        <v>2</v>
      </c>
      <c r="GP39" s="101">
        <v>2</v>
      </c>
      <c r="GQ39" s="101">
        <v>2</v>
      </c>
      <c r="GR39" s="101">
        <v>2</v>
      </c>
      <c r="GS39" s="101">
        <v>2</v>
      </c>
      <c r="GT39" s="101">
        <v>2</v>
      </c>
      <c r="GU39" s="101">
        <v>2</v>
      </c>
      <c r="GV39" s="101">
        <v>2</v>
      </c>
      <c r="GW39" s="101">
        <v>2</v>
      </c>
      <c r="GX39" s="101">
        <v>2</v>
      </c>
      <c r="GY39" s="101">
        <v>2</v>
      </c>
      <c r="GZ39" s="101">
        <v>2</v>
      </c>
      <c r="HA39" s="101">
        <v>2</v>
      </c>
      <c r="HB39" s="101">
        <v>2</v>
      </c>
      <c r="HC39" s="101">
        <v>2</v>
      </c>
      <c r="HD39" s="101">
        <v>2</v>
      </c>
      <c r="HE39" s="101">
        <v>2</v>
      </c>
      <c r="HF39" s="101">
        <v>2</v>
      </c>
      <c r="HG39" s="101">
        <v>2</v>
      </c>
      <c r="HH39" s="101">
        <v>2</v>
      </c>
      <c r="HI39" s="101">
        <v>2</v>
      </c>
      <c r="HJ39" s="101">
        <v>2</v>
      </c>
      <c r="HK39" s="101">
        <v>2</v>
      </c>
      <c r="HL39" s="101">
        <v>2</v>
      </c>
      <c r="HM39" s="101">
        <v>2</v>
      </c>
      <c r="HN39" s="101">
        <v>2</v>
      </c>
      <c r="HO39" s="101">
        <v>2</v>
      </c>
      <c r="HP39" s="101">
        <v>2</v>
      </c>
      <c r="HQ39" s="101">
        <v>2</v>
      </c>
      <c r="HR39" s="101">
        <v>2</v>
      </c>
      <c r="HS39" s="101">
        <v>2</v>
      </c>
      <c r="HT39" s="101">
        <v>2</v>
      </c>
      <c r="HU39" s="101">
        <v>2</v>
      </c>
      <c r="HV39" s="101">
        <v>2</v>
      </c>
      <c r="HW39" s="101">
        <v>2</v>
      </c>
      <c r="HX39" s="101">
        <v>2</v>
      </c>
      <c r="HY39" s="101">
        <v>2</v>
      </c>
    </row>
    <row r="40" spans="1:233" ht="24" outlineLevel="1">
      <c r="A40" s="297"/>
      <c r="B40" s="301">
        <v>757</v>
      </c>
      <c r="C40" s="173" t="s">
        <v>243</v>
      </c>
      <c r="D40" s="109">
        <v>24</v>
      </c>
      <c r="E40" s="109">
        <v>41</v>
      </c>
      <c r="F40" s="109">
        <v>41</v>
      </c>
      <c r="G40" s="109">
        <v>41</v>
      </c>
      <c r="H40" s="109">
        <v>41</v>
      </c>
      <c r="I40" s="101">
        <v>41</v>
      </c>
      <c r="J40" s="101">
        <v>41</v>
      </c>
      <c r="K40" s="101">
        <v>41</v>
      </c>
      <c r="L40" s="101">
        <v>41</v>
      </c>
      <c r="M40" s="101">
        <v>41</v>
      </c>
      <c r="N40" s="101">
        <v>41</v>
      </c>
      <c r="O40" s="101">
        <v>41</v>
      </c>
      <c r="P40" s="101">
        <v>41</v>
      </c>
      <c r="Q40" s="109">
        <v>24</v>
      </c>
      <c r="R40" s="109">
        <v>24</v>
      </c>
      <c r="S40" s="109">
        <v>24</v>
      </c>
      <c r="T40" s="109">
        <v>41</v>
      </c>
      <c r="U40" s="109">
        <v>24</v>
      </c>
      <c r="V40" s="109">
        <v>24</v>
      </c>
      <c r="W40" s="109">
        <v>24</v>
      </c>
      <c r="X40" s="109">
        <v>41</v>
      </c>
      <c r="Y40" s="109">
        <v>24</v>
      </c>
      <c r="Z40" s="109">
        <v>41</v>
      </c>
      <c r="AA40" s="109">
        <v>41</v>
      </c>
      <c r="AB40" s="109">
        <v>41</v>
      </c>
      <c r="AC40" s="109">
        <v>41</v>
      </c>
      <c r="AD40" s="109">
        <v>41</v>
      </c>
      <c r="AE40" s="109">
        <v>24</v>
      </c>
      <c r="AF40" s="109">
        <v>24</v>
      </c>
      <c r="AG40" s="109">
        <v>24</v>
      </c>
      <c r="AH40" s="109">
        <v>41</v>
      </c>
      <c r="AI40" s="109">
        <v>41</v>
      </c>
      <c r="AJ40" s="109">
        <v>41</v>
      </c>
      <c r="AK40" s="109">
        <v>41</v>
      </c>
      <c r="AL40" s="109">
        <v>41</v>
      </c>
      <c r="AM40" s="109">
        <v>41</v>
      </c>
      <c r="AN40" s="109">
        <v>24</v>
      </c>
      <c r="AO40" s="109">
        <v>24</v>
      </c>
      <c r="AP40" s="109">
        <v>24</v>
      </c>
      <c r="AQ40" s="109">
        <v>41</v>
      </c>
      <c r="AR40" s="109">
        <v>24</v>
      </c>
      <c r="AS40" s="109">
        <v>24</v>
      </c>
      <c r="AT40" s="109">
        <v>24</v>
      </c>
      <c r="AU40" s="109">
        <v>41</v>
      </c>
      <c r="AV40" s="109">
        <v>41</v>
      </c>
      <c r="AW40" s="109">
        <v>24</v>
      </c>
      <c r="AX40" s="109">
        <v>24</v>
      </c>
      <c r="AY40" s="109">
        <v>24</v>
      </c>
      <c r="AZ40" s="109">
        <v>41</v>
      </c>
      <c r="BA40" s="109">
        <v>24</v>
      </c>
      <c r="BB40" s="109">
        <v>24</v>
      </c>
      <c r="BC40" s="109">
        <v>24</v>
      </c>
      <c r="BD40" s="109">
        <v>41</v>
      </c>
      <c r="BE40" s="109">
        <v>41</v>
      </c>
      <c r="BF40" s="109">
        <v>41</v>
      </c>
      <c r="BG40" s="109">
        <v>41</v>
      </c>
      <c r="BH40" s="109">
        <v>41</v>
      </c>
      <c r="BI40" s="109">
        <v>41</v>
      </c>
      <c r="BJ40" s="109">
        <v>41</v>
      </c>
      <c r="BK40" s="109">
        <v>41</v>
      </c>
      <c r="BL40" s="109">
        <v>41</v>
      </c>
      <c r="BM40" s="109">
        <v>24</v>
      </c>
      <c r="BN40" s="109">
        <v>24</v>
      </c>
      <c r="BO40" s="109">
        <v>24</v>
      </c>
      <c r="BP40" s="109">
        <v>41</v>
      </c>
      <c r="BQ40" s="109">
        <v>24</v>
      </c>
      <c r="BR40" s="109">
        <v>24</v>
      </c>
      <c r="BS40" s="109">
        <v>24</v>
      </c>
      <c r="BT40" s="109">
        <v>41</v>
      </c>
      <c r="BU40" s="109">
        <v>41</v>
      </c>
      <c r="BV40" s="109">
        <v>41</v>
      </c>
      <c r="BW40" s="109">
        <v>41</v>
      </c>
      <c r="BX40" s="109">
        <v>41</v>
      </c>
      <c r="BY40" s="109">
        <v>41</v>
      </c>
      <c r="BZ40" s="109">
        <v>41</v>
      </c>
      <c r="CA40" s="109">
        <v>41</v>
      </c>
      <c r="CB40" s="109">
        <v>41</v>
      </c>
      <c r="CC40" s="109">
        <v>41</v>
      </c>
      <c r="CD40" s="109">
        <v>41</v>
      </c>
      <c r="CE40" s="109">
        <v>41</v>
      </c>
      <c r="CF40" s="109">
        <v>41</v>
      </c>
      <c r="CG40" s="109">
        <v>41</v>
      </c>
      <c r="CH40" s="109">
        <v>41</v>
      </c>
      <c r="CI40" s="109">
        <v>41</v>
      </c>
      <c r="CJ40" s="109">
        <v>41</v>
      </c>
      <c r="CK40" s="109">
        <v>41</v>
      </c>
      <c r="CL40" s="109">
        <v>41</v>
      </c>
      <c r="CM40" s="109">
        <v>41</v>
      </c>
      <c r="CN40" s="109">
        <v>41</v>
      </c>
      <c r="CO40" s="109">
        <v>41</v>
      </c>
      <c r="CP40" s="101">
        <v>41</v>
      </c>
      <c r="CQ40" s="109">
        <v>41</v>
      </c>
      <c r="CR40" s="109">
        <v>41</v>
      </c>
      <c r="CS40" s="109">
        <v>41</v>
      </c>
      <c r="CT40" s="109">
        <v>41</v>
      </c>
      <c r="CU40" s="109">
        <v>41</v>
      </c>
      <c r="CV40" s="109">
        <v>41</v>
      </c>
      <c r="CW40" s="109">
        <v>41</v>
      </c>
      <c r="CX40" s="109">
        <v>41</v>
      </c>
      <c r="CY40" s="109">
        <v>41</v>
      </c>
      <c r="CZ40" s="109">
        <v>41</v>
      </c>
      <c r="DA40" s="109">
        <v>41</v>
      </c>
      <c r="DB40" s="109">
        <v>41</v>
      </c>
      <c r="DC40" s="109">
        <v>41</v>
      </c>
      <c r="DD40" s="109">
        <v>41</v>
      </c>
      <c r="DE40" s="109">
        <v>41</v>
      </c>
      <c r="DF40" s="109">
        <v>41</v>
      </c>
      <c r="DG40" s="109">
        <v>41</v>
      </c>
      <c r="DH40" s="109">
        <v>41</v>
      </c>
      <c r="DI40" s="109">
        <v>41</v>
      </c>
      <c r="DJ40" s="109">
        <v>41</v>
      </c>
      <c r="DK40" s="109">
        <v>41</v>
      </c>
      <c r="DL40" s="109">
        <v>41</v>
      </c>
      <c r="DM40" s="109">
        <v>41</v>
      </c>
      <c r="DN40" s="109">
        <v>41</v>
      </c>
      <c r="DO40" s="109">
        <v>41</v>
      </c>
      <c r="DP40" s="109">
        <v>41</v>
      </c>
      <c r="DQ40" s="109">
        <v>41</v>
      </c>
      <c r="DR40" s="109">
        <v>41</v>
      </c>
      <c r="DS40" s="109">
        <v>41</v>
      </c>
      <c r="DT40" s="109">
        <v>41</v>
      </c>
      <c r="DU40" s="109">
        <v>41</v>
      </c>
      <c r="DV40" s="109">
        <v>41</v>
      </c>
      <c r="DW40" s="109">
        <v>41</v>
      </c>
      <c r="DX40" s="109">
        <v>41</v>
      </c>
      <c r="DY40" s="109">
        <v>41</v>
      </c>
      <c r="DZ40" s="109">
        <v>41</v>
      </c>
      <c r="EA40" s="109">
        <v>41</v>
      </c>
      <c r="EB40" s="109">
        <v>41</v>
      </c>
      <c r="EC40" s="109">
        <v>41</v>
      </c>
      <c r="ED40" s="109">
        <v>41</v>
      </c>
      <c r="EE40" s="109">
        <v>41</v>
      </c>
      <c r="EF40" s="109">
        <v>41</v>
      </c>
      <c r="EG40" s="109">
        <v>41</v>
      </c>
      <c r="EH40" s="109">
        <v>41</v>
      </c>
      <c r="EI40" s="109">
        <v>41</v>
      </c>
      <c r="EJ40" s="109">
        <v>41</v>
      </c>
      <c r="EK40" s="109">
        <v>41</v>
      </c>
      <c r="EL40" s="109">
        <v>41</v>
      </c>
      <c r="EM40" s="109">
        <v>41</v>
      </c>
      <c r="EN40" s="109">
        <v>41</v>
      </c>
      <c r="EO40" s="109">
        <v>41</v>
      </c>
      <c r="EP40" s="109">
        <v>41</v>
      </c>
      <c r="EQ40" s="109">
        <v>41</v>
      </c>
      <c r="ER40" s="109">
        <v>41</v>
      </c>
      <c r="ES40" s="109">
        <v>41</v>
      </c>
      <c r="ET40" s="109">
        <v>41</v>
      </c>
      <c r="EU40" s="109">
        <v>41</v>
      </c>
      <c r="EV40" s="109">
        <v>41</v>
      </c>
      <c r="EW40" s="109">
        <v>41</v>
      </c>
      <c r="EX40" s="109">
        <v>41</v>
      </c>
      <c r="EY40" s="109">
        <v>41</v>
      </c>
      <c r="EZ40" s="109">
        <v>41</v>
      </c>
      <c r="FA40" s="109">
        <v>41</v>
      </c>
      <c r="FB40" s="109">
        <v>41</v>
      </c>
      <c r="FC40" s="109">
        <v>41</v>
      </c>
      <c r="FD40" s="109">
        <v>41</v>
      </c>
      <c r="FE40" s="109">
        <v>41</v>
      </c>
      <c r="FF40" s="109">
        <v>41</v>
      </c>
      <c r="FG40" s="109">
        <v>41</v>
      </c>
      <c r="FH40" s="109">
        <v>41</v>
      </c>
      <c r="FI40" s="109">
        <v>41</v>
      </c>
      <c r="FJ40" s="109">
        <v>41</v>
      </c>
      <c r="FK40" s="109">
        <v>41</v>
      </c>
      <c r="FL40" s="109">
        <v>41</v>
      </c>
      <c r="FM40" s="109">
        <v>41</v>
      </c>
      <c r="FN40" s="109">
        <v>41</v>
      </c>
      <c r="FO40" s="109">
        <v>41</v>
      </c>
      <c r="FP40" s="109">
        <v>41</v>
      </c>
      <c r="FQ40" s="109">
        <v>41</v>
      </c>
      <c r="FR40" s="109">
        <v>41</v>
      </c>
      <c r="FS40" s="109">
        <v>41</v>
      </c>
      <c r="FT40" s="109">
        <v>41</v>
      </c>
      <c r="FU40" s="109">
        <v>41</v>
      </c>
      <c r="FV40" s="109">
        <v>41</v>
      </c>
      <c r="FW40" s="109">
        <v>41</v>
      </c>
      <c r="FX40" s="109">
        <v>41</v>
      </c>
      <c r="FY40" s="109">
        <v>41</v>
      </c>
      <c r="FZ40" s="109">
        <v>41</v>
      </c>
      <c r="GA40" s="109">
        <v>41</v>
      </c>
      <c r="GB40" s="109">
        <v>41</v>
      </c>
      <c r="GC40" s="109">
        <v>41</v>
      </c>
      <c r="GD40" s="109">
        <v>41</v>
      </c>
      <c r="GE40" s="109">
        <v>41</v>
      </c>
      <c r="GF40" s="109">
        <v>41</v>
      </c>
      <c r="GG40" s="109">
        <v>41</v>
      </c>
      <c r="GH40" s="101">
        <v>41</v>
      </c>
      <c r="GI40" s="101">
        <v>41</v>
      </c>
      <c r="GJ40" s="101">
        <v>41</v>
      </c>
      <c r="GK40" s="101">
        <v>41</v>
      </c>
      <c r="GL40" s="101">
        <v>41</v>
      </c>
      <c r="GM40" s="101">
        <v>41</v>
      </c>
      <c r="GN40" s="101">
        <v>41</v>
      </c>
      <c r="GO40" s="101">
        <v>41</v>
      </c>
      <c r="GP40" s="101">
        <v>41</v>
      </c>
      <c r="GQ40" s="101">
        <v>41</v>
      </c>
      <c r="GR40" s="101">
        <v>41</v>
      </c>
      <c r="GS40" s="101">
        <v>41</v>
      </c>
      <c r="GT40" s="101">
        <v>41</v>
      </c>
      <c r="GU40" s="101">
        <v>41</v>
      </c>
      <c r="GV40" s="101">
        <v>41</v>
      </c>
      <c r="GW40" s="101">
        <v>41</v>
      </c>
      <c r="GX40" s="101">
        <v>41</v>
      </c>
      <c r="GY40" s="101">
        <v>41</v>
      </c>
      <c r="GZ40" s="101">
        <v>41</v>
      </c>
      <c r="HA40" s="101">
        <v>41</v>
      </c>
      <c r="HB40" s="101">
        <v>41</v>
      </c>
      <c r="HC40" s="101">
        <v>41</v>
      </c>
      <c r="HD40" s="101">
        <v>41</v>
      </c>
      <c r="HE40" s="101">
        <v>41</v>
      </c>
      <c r="HF40" s="101">
        <v>41</v>
      </c>
      <c r="HG40" s="101">
        <v>41</v>
      </c>
      <c r="HH40" s="101">
        <v>41</v>
      </c>
      <c r="HI40" s="101">
        <v>41</v>
      </c>
      <c r="HJ40" s="101">
        <v>41</v>
      </c>
      <c r="HK40" s="101">
        <v>41</v>
      </c>
      <c r="HL40" s="101">
        <v>41</v>
      </c>
      <c r="HM40" s="101">
        <v>41</v>
      </c>
      <c r="HN40" s="101">
        <v>41</v>
      </c>
      <c r="HO40" s="101">
        <v>41</v>
      </c>
      <c r="HP40" s="101">
        <v>41</v>
      </c>
      <c r="HQ40" s="101">
        <v>41</v>
      </c>
      <c r="HR40" s="101">
        <v>41</v>
      </c>
      <c r="HS40" s="101">
        <v>41</v>
      </c>
      <c r="HT40" s="101">
        <v>41</v>
      </c>
      <c r="HU40" s="101">
        <v>41</v>
      </c>
      <c r="HV40" s="101">
        <v>41</v>
      </c>
      <c r="HW40" s="101">
        <v>41</v>
      </c>
      <c r="HX40" s="101">
        <v>41</v>
      </c>
      <c r="HY40" s="101">
        <v>41</v>
      </c>
    </row>
    <row r="41" spans="1:233" outlineLevel="1">
      <c r="A41" s="297"/>
      <c r="B41" s="301">
        <v>758</v>
      </c>
      <c r="C41" s="173" t="s">
        <v>244</v>
      </c>
      <c r="D41" s="109">
        <v>1</v>
      </c>
      <c r="E41" s="109">
        <v>1</v>
      </c>
      <c r="F41" s="109">
        <v>1</v>
      </c>
      <c r="G41" s="109">
        <v>1</v>
      </c>
      <c r="H41" s="109">
        <v>1</v>
      </c>
      <c r="I41" s="300">
        <v>1</v>
      </c>
      <c r="J41" s="300">
        <v>1</v>
      </c>
      <c r="K41" s="300">
        <v>1</v>
      </c>
      <c r="L41" s="300">
        <v>1</v>
      </c>
      <c r="M41" s="300">
        <v>1</v>
      </c>
      <c r="N41" s="300">
        <v>1</v>
      </c>
      <c r="O41" s="300">
        <v>1</v>
      </c>
      <c r="P41" s="300">
        <v>1</v>
      </c>
      <c r="Q41" s="109">
        <v>1</v>
      </c>
      <c r="R41" s="109">
        <v>1</v>
      </c>
      <c r="S41" s="109">
        <v>1</v>
      </c>
      <c r="T41" s="109">
        <v>1</v>
      </c>
      <c r="U41" s="109">
        <v>1</v>
      </c>
      <c r="V41" s="109">
        <v>1</v>
      </c>
      <c r="W41" s="109">
        <v>1</v>
      </c>
      <c r="X41" s="109">
        <v>1</v>
      </c>
      <c r="Y41" s="109">
        <v>1</v>
      </c>
      <c r="Z41" s="109">
        <v>1</v>
      </c>
      <c r="AA41" s="109">
        <v>1</v>
      </c>
      <c r="AB41" s="109">
        <v>1</v>
      </c>
      <c r="AC41" s="109">
        <v>1</v>
      </c>
      <c r="AD41" s="109">
        <v>1</v>
      </c>
      <c r="AE41" s="109">
        <v>1</v>
      </c>
      <c r="AF41" s="109">
        <v>1</v>
      </c>
      <c r="AG41" s="109">
        <v>1</v>
      </c>
      <c r="AH41" s="109">
        <v>1</v>
      </c>
      <c r="AI41" s="109">
        <v>1</v>
      </c>
      <c r="AJ41" s="109">
        <v>1</v>
      </c>
      <c r="AK41" s="109">
        <v>1</v>
      </c>
      <c r="AL41" s="109">
        <v>1</v>
      </c>
      <c r="AM41" s="109">
        <v>1</v>
      </c>
      <c r="AN41" s="109">
        <v>1</v>
      </c>
      <c r="AO41" s="109">
        <v>1</v>
      </c>
      <c r="AP41" s="109">
        <v>1</v>
      </c>
      <c r="AQ41" s="109">
        <v>1</v>
      </c>
      <c r="AR41" s="109">
        <v>1</v>
      </c>
      <c r="AS41" s="109">
        <v>1</v>
      </c>
      <c r="AT41" s="109">
        <v>1</v>
      </c>
      <c r="AU41" s="109">
        <v>1</v>
      </c>
      <c r="AV41" s="109">
        <v>1</v>
      </c>
      <c r="AW41" s="109">
        <v>1</v>
      </c>
      <c r="AX41" s="109">
        <v>1</v>
      </c>
      <c r="AY41" s="109">
        <v>1</v>
      </c>
      <c r="AZ41" s="109">
        <v>1</v>
      </c>
      <c r="BA41" s="109">
        <v>1</v>
      </c>
      <c r="BB41" s="109">
        <v>1</v>
      </c>
      <c r="BC41" s="109">
        <v>1</v>
      </c>
      <c r="BD41" s="109">
        <v>1</v>
      </c>
      <c r="BE41" s="109">
        <v>1</v>
      </c>
      <c r="BF41" s="109">
        <v>1</v>
      </c>
      <c r="BG41" s="109">
        <v>1</v>
      </c>
      <c r="BH41" s="109">
        <v>1</v>
      </c>
      <c r="BI41" s="109">
        <v>1</v>
      </c>
      <c r="BJ41" s="109">
        <v>1</v>
      </c>
      <c r="BK41" s="109">
        <v>1</v>
      </c>
      <c r="BL41" s="109">
        <v>1</v>
      </c>
      <c r="BM41" s="109">
        <v>1</v>
      </c>
      <c r="BN41" s="109">
        <v>1</v>
      </c>
      <c r="BO41" s="109">
        <v>1</v>
      </c>
      <c r="BP41" s="109">
        <v>1</v>
      </c>
      <c r="BQ41" s="109">
        <v>1</v>
      </c>
      <c r="BR41" s="109">
        <v>1</v>
      </c>
      <c r="BS41" s="109">
        <v>1</v>
      </c>
      <c r="BT41" s="109">
        <v>1</v>
      </c>
      <c r="BU41" s="109">
        <v>1</v>
      </c>
      <c r="BV41" s="109">
        <v>1</v>
      </c>
      <c r="BW41" s="109">
        <v>1</v>
      </c>
      <c r="BX41" s="109">
        <v>1</v>
      </c>
      <c r="BY41" s="109">
        <v>1</v>
      </c>
      <c r="BZ41" s="109">
        <v>1</v>
      </c>
      <c r="CA41" s="109">
        <v>1</v>
      </c>
      <c r="CB41" s="109">
        <v>1</v>
      </c>
      <c r="CC41" s="109">
        <v>1</v>
      </c>
      <c r="CD41" s="109">
        <v>1</v>
      </c>
      <c r="CE41" s="109">
        <v>1</v>
      </c>
      <c r="CF41" s="109">
        <v>1</v>
      </c>
      <c r="CG41" s="109">
        <v>1</v>
      </c>
      <c r="CH41" s="109">
        <v>1</v>
      </c>
      <c r="CI41" s="109">
        <v>1</v>
      </c>
      <c r="CJ41" s="109">
        <v>1</v>
      </c>
      <c r="CK41" s="109">
        <v>1</v>
      </c>
      <c r="CL41" s="109">
        <v>1</v>
      </c>
      <c r="CM41" s="109">
        <v>1</v>
      </c>
      <c r="CN41" s="109">
        <v>1</v>
      </c>
      <c r="CO41" s="109">
        <v>1</v>
      </c>
      <c r="CP41" s="300">
        <v>1</v>
      </c>
      <c r="CQ41" s="109">
        <v>1</v>
      </c>
      <c r="CR41" s="109">
        <v>1</v>
      </c>
      <c r="CS41" s="109">
        <v>1</v>
      </c>
      <c r="CT41" s="109">
        <v>1</v>
      </c>
      <c r="CU41" s="109">
        <v>1</v>
      </c>
      <c r="CV41" s="109">
        <v>1</v>
      </c>
      <c r="CW41" s="109">
        <v>1</v>
      </c>
      <c r="CX41" s="109">
        <v>1</v>
      </c>
      <c r="CY41" s="109">
        <v>1</v>
      </c>
      <c r="CZ41" s="109">
        <v>1</v>
      </c>
      <c r="DA41" s="109">
        <v>1</v>
      </c>
      <c r="DB41" s="109">
        <v>1</v>
      </c>
      <c r="DC41" s="109">
        <v>1</v>
      </c>
      <c r="DD41" s="109">
        <v>1</v>
      </c>
      <c r="DE41" s="109">
        <v>1</v>
      </c>
      <c r="DF41" s="109">
        <v>1</v>
      </c>
      <c r="DG41" s="109">
        <v>1</v>
      </c>
      <c r="DH41" s="109">
        <v>1</v>
      </c>
      <c r="DI41" s="109">
        <v>1</v>
      </c>
      <c r="DJ41" s="109">
        <v>1</v>
      </c>
      <c r="DK41" s="109">
        <v>1</v>
      </c>
      <c r="DL41" s="109">
        <v>1</v>
      </c>
      <c r="DM41" s="109">
        <v>1</v>
      </c>
      <c r="DN41" s="109">
        <v>1</v>
      </c>
      <c r="DO41" s="109">
        <v>1</v>
      </c>
      <c r="DP41" s="109">
        <v>1</v>
      </c>
      <c r="DQ41" s="109">
        <v>1</v>
      </c>
      <c r="DR41" s="109">
        <v>1</v>
      </c>
      <c r="DS41" s="109">
        <v>1</v>
      </c>
      <c r="DT41" s="109">
        <v>1</v>
      </c>
      <c r="DU41" s="109">
        <v>1</v>
      </c>
      <c r="DV41" s="109">
        <v>1</v>
      </c>
      <c r="DW41" s="109">
        <v>1</v>
      </c>
      <c r="DX41" s="109">
        <v>1</v>
      </c>
      <c r="DY41" s="109">
        <v>1</v>
      </c>
      <c r="DZ41" s="109">
        <v>1</v>
      </c>
      <c r="EA41" s="109">
        <v>1</v>
      </c>
      <c r="EB41" s="109">
        <v>1</v>
      </c>
      <c r="EC41" s="109">
        <v>1</v>
      </c>
      <c r="ED41" s="109">
        <v>1</v>
      </c>
      <c r="EE41" s="109">
        <v>1</v>
      </c>
      <c r="EF41" s="109">
        <v>1</v>
      </c>
      <c r="EG41" s="109">
        <v>1</v>
      </c>
      <c r="EH41" s="109">
        <v>1</v>
      </c>
      <c r="EI41" s="109">
        <v>1</v>
      </c>
      <c r="EJ41" s="109">
        <v>1</v>
      </c>
      <c r="EK41" s="109">
        <v>1</v>
      </c>
      <c r="EL41" s="109">
        <v>1</v>
      </c>
      <c r="EM41" s="109">
        <v>1</v>
      </c>
      <c r="EN41" s="109">
        <v>1</v>
      </c>
      <c r="EO41" s="109">
        <v>1</v>
      </c>
      <c r="EP41" s="109">
        <v>1</v>
      </c>
      <c r="EQ41" s="109">
        <v>1</v>
      </c>
      <c r="ER41" s="109">
        <v>1</v>
      </c>
      <c r="ES41" s="109">
        <v>1</v>
      </c>
      <c r="ET41" s="109">
        <v>1</v>
      </c>
      <c r="EU41" s="109">
        <v>1</v>
      </c>
      <c r="EV41" s="109">
        <v>1</v>
      </c>
      <c r="EW41" s="109">
        <v>1</v>
      </c>
      <c r="EX41" s="109">
        <v>1</v>
      </c>
      <c r="EY41" s="109">
        <v>1</v>
      </c>
      <c r="EZ41" s="109">
        <v>1</v>
      </c>
      <c r="FA41" s="109">
        <v>1</v>
      </c>
      <c r="FB41" s="109">
        <v>1</v>
      </c>
      <c r="FC41" s="109">
        <v>1</v>
      </c>
      <c r="FD41" s="109">
        <v>1</v>
      </c>
      <c r="FE41" s="109">
        <v>1</v>
      </c>
      <c r="FF41" s="109">
        <v>1</v>
      </c>
      <c r="FG41" s="109">
        <v>1</v>
      </c>
      <c r="FH41" s="109">
        <v>1</v>
      </c>
      <c r="FI41" s="109">
        <v>1</v>
      </c>
      <c r="FJ41" s="109">
        <v>1</v>
      </c>
      <c r="FK41" s="109">
        <v>1</v>
      </c>
      <c r="FL41" s="109">
        <v>1</v>
      </c>
      <c r="FM41" s="109">
        <v>1</v>
      </c>
      <c r="FN41" s="109">
        <v>1</v>
      </c>
      <c r="FO41" s="109">
        <v>1</v>
      </c>
      <c r="FP41" s="109">
        <v>1</v>
      </c>
      <c r="FQ41" s="109">
        <v>1</v>
      </c>
      <c r="FR41" s="109">
        <v>1</v>
      </c>
      <c r="FS41" s="109">
        <v>1</v>
      </c>
      <c r="FT41" s="109">
        <v>1</v>
      </c>
      <c r="FU41" s="109">
        <v>1</v>
      </c>
      <c r="FV41" s="109">
        <v>1</v>
      </c>
      <c r="FW41" s="109">
        <v>1</v>
      </c>
      <c r="FX41" s="109">
        <v>1</v>
      </c>
      <c r="FY41" s="109">
        <v>1</v>
      </c>
      <c r="FZ41" s="109">
        <v>1</v>
      </c>
      <c r="GA41" s="109">
        <v>1</v>
      </c>
      <c r="GB41" s="109">
        <v>1</v>
      </c>
      <c r="GC41" s="109">
        <v>1</v>
      </c>
      <c r="GD41" s="109">
        <v>1</v>
      </c>
      <c r="GE41" s="109">
        <v>1</v>
      </c>
      <c r="GF41" s="109">
        <v>1</v>
      </c>
      <c r="GG41" s="109">
        <v>1</v>
      </c>
      <c r="GH41" s="300">
        <v>1</v>
      </c>
      <c r="GI41" s="300">
        <v>1</v>
      </c>
      <c r="GJ41" s="300">
        <v>1</v>
      </c>
      <c r="GK41" s="300">
        <v>1</v>
      </c>
      <c r="GL41" s="300">
        <v>1</v>
      </c>
      <c r="GM41" s="300">
        <v>1</v>
      </c>
      <c r="GN41" s="300">
        <v>1</v>
      </c>
      <c r="GO41" s="300">
        <v>1</v>
      </c>
      <c r="GP41" s="300">
        <v>1</v>
      </c>
      <c r="GQ41" s="300">
        <v>1</v>
      </c>
      <c r="GR41" s="300">
        <v>1</v>
      </c>
      <c r="GS41" s="300">
        <v>1</v>
      </c>
      <c r="GT41" s="300">
        <v>1</v>
      </c>
      <c r="GU41" s="300">
        <v>1</v>
      </c>
      <c r="GV41" s="300">
        <v>1</v>
      </c>
      <c r="GW41" s="300">
        <v>1</v>
      </c>
      <c r="GX41" s="300">
        <v>1</v>
      </c>
      <c r="GY41" s="300">
        <v>1</v>
      </c>
      <c r="GZ41" s="300">
        <v>1</v>
      </c>
      <c r="HA41" s="300">
        <v>1</v>
      </c>
      <c r="HB41" s="300">
        <v>1</v>
      </c>
      <c r="HC41" s="300">
        <v>1</v>
      </c>
      <c r="HD41" s="300">
        <v>1</v>
      </c>
      <c r="HE41" s="300">
        <v>1</v>
      </c>
      <c r="HF41" s="300">
        <v>1</v>
      </c>
      <c r="HG41" s="300">
        <v>1</v>
      </c>
      <c r="HH41" s="300">
        <v>1</v>
      </c>
      <c r="HI41" s="300">
        <v>1</v>
      </c>
      <c r="HJ41" s="300">
        <v>1</v>
      </c>
      <c r="HK41" s="300">
        <v>1</v>
      </c>
      <c r="HL41" s="300">
        <v>1</v>
      </c>
      <c r="HM41" s="300">
        <v>1</v>
      </c>
      <c r="HN41" s="300">
        <v>1</v>
      </c>
      <c r="HO41" s="300">
        <v>1</v>
      </c>
      <c r="HP41" s="300">
        <v>1</v>
      </c>
      <c r="HQ41" s="300">
        <v>1</v>
      </c>
      <c r="HR41" s="300">
        <v>1</v>
      </c>
      <c r="HS41" s="300">
        <v>1</v>
      </c>
      <c r="HT41" s="300">
        <v>1</v>
      </c>
      <c r="HU41" s="300">
        <v>1</v>
      </c>
      <c r="HV41" s="300">
        <v>1</v>
      </c>
      <c r="HW41" s="300">
        <v>1</v>
      </c>
      <c r="HX41" s="300">
        <v>1</v>
      </c>
      <c r="HY41" s="300">
        <v>1</v>
      </c>
    </row>
    <row r="42" spans="1:233" outlineLevel="1">
      <c r="A42" s="297"/>
      <c r="B42" s="301">
        <v>759</v>
      </c>
      <c r="C42" s="173" t="s">
        <v>245</v>
      </c>
      <c r="D42" s="306">
        <v>0</v>
      </c>
      <c r="E42" s="306">
        <v>0</v>
      </c>
      <c r="F42" s="306">
        <v>0</v>
      </c>
      <c r="G42" s="306">
        <v>0</v>
      </c>
      <c r="H42" s="306">
        <v>0</v>
      </c>
      <c r="I42" s="107">
        <v>0</v>
      </c>
      <c r="J42" s="107">
        <v>0</v>
      </c>
      <c r="K42" s="107">
        <v>0</v>
      </c>
      <c r="L42" s="107">
        <v>0</v>
      </c>
      <c r="M42" s="107">
        <v>0</v>
      </c>
      <c r="N42" s="107">
        <v>0</v>
      </c>
      <c r="O42" s="107">
        <v>0</v>
      </c>
      <c r="P42" s="107">
        <v>0</v>
      </c>
      <c r="Q42" s="306">
        <v>0</v>
      </c>
      <c r="R42" s="306">
        <v>0</v>
      </c>
      <c r="S42" s="306">
        <v>0</v>
      </c>
      <c r="T42" s="306">
        <v>0</v>
      </c>
      <c r="U42" s="306">
        <v>0</v>
      </c>
      <c r="V42" s="306">
        <v>0</v>
      </c>
      <c r="W42" s="306">
        <v>0</v>
      </c>
      <c r="X42" s="306">
        <v>0</v>
      </c>
      <c r="Y42" s="306">
        <v>0</v>
      </c>
      <c r="Z42" s="306">
        <v>0</v>
      </c>
      <c r="AA42" s="306">
        <v>0</v>
      </c>
      <c r="AB42" s="306">
        <v>0</v>
      </c>
      <c r="AC42" s="306">
        <v>0</v>
      </c>
      <c r="AD42" s="306">
        <v>0</v>
      </c>
      <c r="AE42" s="306">
        <v>0</v>
      </c>
      <c r="AF42" s="306">
        <v>0</v>
      </c>
      <c r="AG42" s="306">
        <v>0</v>
      </c>
      <c r="AH42" s="306">
        <v>0</v>
      </c>
      <c r="AI42" s="306">
        <v>0</v>
      </c>
      <c r="AJ42" s="306">
        <v>0</v>
      </c>
      <c r="AK42" s="306">
        <v>0</v>
      </c>
      <c r="AL42" s="306">
        <v>0</v>
      </c>
      <c r="AM42" s="306">
        <v>0</v>
      </c>
      <c r="AN42" s="306">
        <v>0</v>
      </c>
      <c r="AO42" s="306">
        <v>0</v>
      </c>
      <c r="AP42" s="306">
        <v>0</v>
      </c>
      <c r="AQ42" s="306">
        <v>0</v>
      </c>
      <c r="AR42" s="306">
        <v>0</v>
      </c>
      <c r="AS42" s="306">
        <v>0</v>
      </c>
      <c r="AT42" s="306">
        <v>0</v>
      </c>
      <c r="AU42" s="306">
        <v>0</v>
      </c>
      <c r="AV42" s="306">
        <v>0</v>
      </c>
      <c r="AW42" s="306">
        <v>0</v>
      </c>
      <c r="AX42" s="306">
        <v>0</v>
      </c>
      <c r="AY42" s="306">
        <v>0</v>
      </c>
      <c r="AZ42" s="306">
        <v>0</v>
      </c>
      <c r="BA42" s="306">
        <v>0</v>
      </c>
      <c r="BB42" s="306">
        <v>0</v>
      </c>
      <c r="BC42" s="306">
        <v>0</v>
      </c>
      <c r="BD42" s="306">
        <v>0</v>
      </c>
      <c r="BE42" s="306">
        <v>0</v>
      </c>
      <c r="BF42" s="306">
        <v>0</v>
      </c>
      <c r="BG42" s="306">
        <v>0</v>
      </c>
      <c r="BH42" s="306">
        <v>0</v>
      </c>
      <c r="BI42" s="306">
        <v>0</v>
      </c>
      <c r="BJ42" s="306">
        <v>0</v>
      </c>
      <c r="BK42" s="306">
        <v>0</v>
      </c>
      <c r="BL42" s="306">
        <v>0</v>
      </c>
      <c r="BM42" s="306">
        <v>0</v>
      </c>
      <c r="BN42" s="306">
        <v>0</v>
      </c>
      <c r="BO42" s="306">
        <v>0</v>
      </c>
      <c r="BP42" s="306">
        <v>0</v>
      </c>
      <c r="BQ42" s="306">
        <v>0</v>
      </c>
      <c r="BR42" s="306">
        <v>0</v>
      </c>
      <c r="BS42" s="306">
        <v>0</v>
      </c>
      <c r="BT42" s="306">
        <v>0</v>
      </c>
      <c r="BU42" s="306">
        <v>0</v>
      </c>
      <c r="BV42" s="306">
        <v>0</v>
      </c>
      <c r="BW42" s="306">
        <v>0</v>
      </c>
      <c r="BX42" s="306">
        <v>0</v>
      </c>
      <c r="BY42" s="306">
        <v>0</v>
      </c>
      <c r="BZ42" s="306">
        <v>0</v>
      </c>
      <c r="CA42" s="306">
        <v>0</v>
      </c>
      <c r="CB42" s="306">
        <v>0</v>
      </c>
      <c r="CC42" s="306">
        <v>0</v>
      </c>
      <c r="CD42" s="306">
        <v>0</v>
      </c>
      <c r="CE42" s="306">
        <v>0</v>
      </c>
      <c r="CF42" s="306">
        <v>0</v>
      </c>
      <c r="CG42" s="306">
        <v>0</v>
      </c>
      <c r="CH42" s="306">
        <v>0</v>
      </c>
      <c r="CI42" s="306">
        <v>0</v>
      </c>
      <c r="CJ42" s="306">
        <v>0</v>
      </c>
      <c r="CK42" s="306">
        <v>0</v>
      </c>
      <c r="CL42" s="306">
        <v>0</v>
      </c>
      <c r="CM42" s="306">
        <v>0</v>
      </c>
      <c r="CN42" s="306">
        <v>0</v>
      </c>
      <c r="CO42" s="306">
        <v>0</v>
      </c>
      <c r="CP42" s="107">
        <v>0</v>
      </c>
      <c r="CQ42" s="306">
        <v>0</v>
      </c>
      <c r="CR42" s="306">
        <v>0</v>
      </c>
      <c r="CS42" s="306">
        <v>0</v>
      </c>
      <c r="CT42" s="306">
        <v>0</v>
      </c>
      <c r="CU42" s="306">
        <v>0</v>
      </c>
      <c r="CV42" s="306">
        <v>0</v>
      </c>
      <c r="CW42" s="306">
        <v>0</v>
      </c>
      <c r="CX42" s="306">
        <v>0</v>
      </c>
      <c r="CY42" s="306">
        <v>0</v>
      </c>
      <c r="CZ42" s="306">
        <v>0</v>
      </c>
      <c r="DA42" s="306">
        <v>0</v>
      </c>
      <c r="DB42" s="306">
        <v>0</v>
      </c>
      <c r="DC42" s="306">
        <v>0</v>
      </c>
      <c r="DD42" s="306">
        <v>0</v>
      </c>
      <c r="DE42" s="306">
        <v>0</v>
      </c>
      <c r="DF42" s="306">
        <v>0</v>
      </c>
      <c r="DG42" s="306">
        <v>0</v>
      </c>
      <c r="DH42" s="306">
        <v>0</v>
      </c>
      <c r="DI42" s="306">
        <v>0</v>
      </c>
      <c r="DJ42" s="306">
        <v>0</v>
      </c>
      <c r="DK42" s="306">
        <v>0</v>
      </c>
      <c r="DL42" s="306">
        <v>0</v>
      </c>
      <c r="DM42" s="306">
        <v>0</v>
      </c>
      <c r="DN42" s="306">
        <v>0</v>
      </c>
      <c r="DO42" s="306">
        <v>0</v>
      </c>
      <c r="DP42" s="306">
        <v>0</v>
      </c>
      <c r="DQ42" s="306">
        <v>0</v>
      </c>
      <c r="DR42" s="306">
        <v>0</v>
      </c>
      <c r="DS42" s="306">
        <v>0</v>
      </c>
      <c r="DT42" s="306">
        <v>0</v>
      </c>
      <c r="DU42" s="306">
        <v>0</v>
      </c>
      <c r="DV42" s="306">
        <v>0</v>
      </c>
      <c r="DW42" s="306">
        <v>0</v>
      </c>
      <c r="DX42" s="306">
        <v>0</v>
      </c>
      <c r="DY42" s="306">
        <v>0</v>
      </c>
      <c r="DZ42" s="306">
        <v>0</v>
      </c>
      <c r="EA42" s="306">
        <v>0</v>
      </c>
      <c r="EB42" s="306">
        <v>0</v>
      </c>
      <c r="EC42" s="306">
        <v>0</v>
      </c>
      <c r="ED42" s="306">
        <v>0</v>
      </c>
      <c r="EE42" s="306">
        <v>0</v>
      </c>
      <c r="EF42" s="306">
        <v>0</v>
      </c>
      <c r="EG42" s="306">
        <v>0</v>
      </c>
      <c r="EH42" s="306">
        <v>0</v>
      </c>
      <c r="EI42" s="306">
        <v>0</v>
      </c>
      <c r="EJ42" s="306">
        <v>0</v>
      </c>
      <c r="EK42" s="306">
        <v>0</v>
      </c>
      <c r="EL42" s="306">
        <v>0</v>
      </c>
      <c r="EM42" s="306">
        <v>0</v>
      </c>
      <c r="EN42" s="306">
        <v>0</v>
      </c>
      <c r="EO42" s="306">
        <v>0</v>
      </c>
      <c r="EP42" s="306">
        <v>0</v>
      </c>
      <c r="EQ42" s="306">
        <v>0</v>
      </c>
      <c r="ER42" s="306">
        <v>0</v>
      </c>
      <c r="ES42" s="306">
        <v>0</v>
      </c>
      <c r="ET42" s="306">
        <v>0</v>
      </c>
      <c r="EU42" s="306">
        <v>0</v>
      </c>
      <c r="EV42" s="306">
        <v>0</v>
      </c>
      <c r="EW42" s="306">
        <v>0</v>
      </c>
      <c r="EX42" s="306">
        <v>0</v>
      </c>
      <c r="EY42" s="306">
        <v>0</v>
      </c>
      <c r="EZ42" s="306">
        <v>0</v>
      </c>
      <c r="FA42" s="306">
        <v>0</v>
      </c>
      <c r="FB42" s="306">
        <v>0</v>
      </c>
      <c r="FC42" s="306">
        <v>0</v>
      </c>
      <c r="FD42" s="306">
        <v>0</v>
      </c>
      <c r="FE42" s="306">
        <v>0</v>
      </c>
      <c r="FF42" s="306">
        <v>0</v>
      </c>
      <c r="FG42" s="306">
        <v>0</v>
      </c>
      <c r="FH42" s="306">
        <v>0</v>
      </c>
      <c r="FI42" s="306">
        <v>0</v>
      </c>
      <c r="FJ42" s="306">
        <v>0</v>
      </c>
      <c r="FK42" s="306">
        <v>0</v>
      </c>
      <c r="FL42" s="306">
        <v>0</v>
      </c>
      <c r="FM42" s="306">
        <v>0</v>
      </c>
      <c r="FN42" s="306">
        <v>0</v>
      </c>
      <c r="FO42" s="306">
        <v>0</v>
      </c>
      <c r="FP42" s="306">
        <v>0</v>
      </c>
      <c r="FQ42" s="306">
        <v>0</v>
      </c>
      <c r="FR42" s="306">
        <v>0</v>
      </c>
      <c r="FS42" s="306">
        <v>0</v>
      </c>
      <c r="FT42" s="306">
        <v>0</v>
      </c>
      <c r="FU42" s="306">
        <v>0</v>
      </c>
      <c r="FV42" s="306">
        <v>0</v>
      </c>
      <c r="FW42" s="306">
        <v>0</v>
      </c>
      <c r="FX42" s="306">
        <v>0</v>
      </c>
      <c r="FY42" s="306">
        <v>0</v>
      </c>
      <c r="FZ42" s="306">
        <v>0</v>
      </c>
      <c r="GA42" s="306">
        <v>0</v>
      </c>
      <c r="GB42" s="306">
        <v>0</v>
      </c>
      <c r="GC42" s="306">
        <v>0</v>
      </c>
      <c r="GD42" s="306">
        <v>0</v>
      </c>
      <c r="GE42" s="306">
        <v>0</v>
      </c>
      <c r="GF42" s="306">
        <v>0</v>
      </c>
      <c r="GG42" s="306">
        <v>0</v>
      </c>
      <c r="GH42" s="107">
        <v>0</v>
      </c>
      <c r="GI42" s="107">
        <v>0</v>
      </c>
      <c r="GJ42" s="107">
        <v>0</v>
      </c>
      <c r="GK42" s="107">
        <v>0</v>
      </c>
      <c r="GL42" s="107">
        <v>0</v>
      </c>
      <c r="GM42" s="107">
        <v>0</v>
      </c>
      <c r="GN42" s="107">
        <v>0</v>
      </c>
      <c r="GO42" s="107">
        <v>0</v>
      </c>
      <c r="GP42" s="107">
        <v>0</v>
      </c>
      <c r="GQ42" s="107">
        <v>0</v>
      </c>
      <c r="GR42" s="107">
        <v>0</v>
      </c>
      <c r="GS42" s="107">
        <v>0</v>
      </c>
      <c r="GT42" s="107">
        <v>0</v>
      </c>
      <c r="GU42" s="107">
        <v>0</v>
      </c>
      <c r="GV42" s="107">
        <v>0</v>
      </c>
      <c r="GW42" s="107">
        <v>0</v>
      </c>
      <c r="GX42" s="107">
        <v>0</v>
      </c>
      <c r="GY42" s="107">
        <v>0</v>
      </c>
      <c r="GZ42" s="107">
        <v>0</v>
      </c>
      <c r="HA42" s="107">
        <v>0</v>
      </c>
      <c r="HB42" s="107">
        <v>0</v>
      </c>
      <c r="HC42" s="107">
        <v>0</v>
      </c>
      <c r="HD42" s="107">
        <v>0</v>
      </c>
      <c r="HE42" s="107">
        <v>0</v>
      </c>
      <c r="HF42" s="107">
        <v>0</v>
      </c>
      <c r="HG42" s="107">
        <v>0</v>
      </c>
      <c r="HH42" s="107">
        <v>0</v>
      </c>
      <c r="HI42" s="107">
        <v>0</v>
      </c>
      <c r="HJ42" s="107">
        <v>0</v>
      </c>
      <c r="HK42" s="107">
        <v>0</v>
      </c>
      <c r="HL42" s="107">
        <v>0</v>
      </c>
      <c r="HM42" s="107">
        <v>0</v>
      </c>
      <c r="HN42" s="107">
        <v>0</v>
      </c>
      <c r="HO42" s="107">
        <v>0</v>
      </c>
      <c r="HP42" s="107">
        <v>0</v>
      </c>
      <c r="HQ42" s="107">
        <v>0</v>
      </c>
      <c r="HR42" s="107">
        <v>0</v>
      </c>
      <c r="HS42" s="107">
        <v>0</v>
      </c>
      <c r="HT42" s="107">
        <v>0</v>
      </c>
      <c r="HU42" s="107">
        <v>0</v>
      </c>
      <c r="HV42" s="107">
        <v>0</v>
      </c>
      <c r="HW42" s="107">
        <v>0</v>
      </c>
      <c r="HX42" s="107">
        <v>0</v>
      </c>
      <c r="HY42" s="107">
        <v>0</v>
      </c>
    </row>
    <row r="43" spans="1:233" outlineLevel="1">
      <c r="A43" s="297"/>
      <c r="B43" s="301">
        <v>760</v>
      </c>
      <c r="C43" s="173" t="s">
        <v>246</v>
      </c>
      <c r="D43" s="109"/>
      <c r="E43" s="109"/>
      <c r="F43" s="109"/>
      <c r="G43" s="109"/>
      <c r="H43" s="109"/>
      <c r="I43" s="302"/>
      <c r="J43" s="302"/>
      <c r="K43" s="302"/>
      <c r="L43" s="302"/>
      <c r="M43" s="302"/>
      <c r="N43" s="302"/>
      <c r="O43" s="302"/>
      <c r="P43" s="302"/>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c r="CH43" s="109"/>
      <c r="CI43" s="109"/>
      <c r="CJ43" s="109"/>
      <c r="CK43" s="109"/>
      <c r="CL43" s="109"/>
      <c r="CM43" s="109"/>
      <c r="CN43" s="109"/>
      <c r="CO43" s="109"/>
      <c r="CP43" s="302"/>
      <c r="CQ43" s="109"/>
      <c r="CR43" s="109"/>
      <c r="CS43" s="109"/>
      <c r="CT43" s="109"/>
      <c r="CU43" s="109"/>
      <c r="CV43" s="109"/>
      <c r="CW43" s="109"/>
      <c r="CX43" s="109"/>
      <c r="CY43" s="109"/>
      <c r="CZ43" s="109"/>
      <c r="DA43" s="109"/>
      <c r="DB43" s="109"/>
      <c r="DC43" s="109"/>
      <c r="DD43" s="109"/>
      <c r="DE43" s="109"/>
      <c r="DF43" s="109"/>
      <c r="DG43" s="109"/>
      <c r="DH43" s="109"/>
      <c r="DI43" s="109"/>
      <c r="DJ43" s="109"/>
      <c r="DK43" s="109"/>
      <c r="DL43" s="109"/>
      <c r="DM43" s="109"/>
      <c r="DN43" s="109"/>
      <c r="DO43" s="109"/>
      <c r="DP43" s="109"/>
      <c r="DQ43" s="109"/>
      <c r="DR43" s="109"/>
      <c r="DS43" s="109"/>
      <c r="DT43" s="109"/>
      <c r="DU43" s="109"/>
      <c r="DV43" s="109"/>
      <c r="DW43" s="109"/>
      <c r="DX43" s="109"/>
      <c r="DY43" s="109"/>
      <c r="DZ43" s="109"/>
      <c r="EA43" s="109"/>
      <c r="EB43" s="109"/>
      <c r="EC43" s="109"/>
      <c r="ED43" s="109"/>
      <c r="EE43" s="109"/>
      <c r="EF43" s="109"/>
      <c r="EG43" s="109"/>
      <c r="EH43" s="109"/>
      <c r="EI43" s="109"/>
      <c r="EJ43" s="109"/>
      <c r="EK43" s="109"/>
      <c r="EL43" s="109"/>
      <c r="EM43" s="109"/>
      <c r="EN43" s="109"/>
      <c r="EO43" s="109"/>
      <c r="EP43" s="109"/>
      <c r="EQ43" s="109"/>
      <c r="ER43" s="109"/>
      <c r="ES43" s="109"/>
      <c r="ET43" s="109"/>
      <c r="EU43" s="109"/>
      <c r="EV43" s="109"/>
      <c r="EW43" s="109"/>
      <c r="EX43" s="109"/>
      <c r="EY43" s="109"/>
      <c r="EZ43" s="109"/>
      <c r="FA43" s="109"/>
      <c r="FB43" s="109"/>
      <c r="FC43" s="109"/>
      <c r="FD43" s="109"/>
      <c r="FE43" s="109"/>
      <c r="FF43" s="109"/>
      <c r="FG43" s="109"/>
      <c r="FH43" s="109"/>
      <c r="FI43" s="109"/>
      <c r="FJ43" s="109"/>
      <c r="FK43" s="109"/>
      <c r="FL43" s="109"/>
      <c r="FM43" s="109"/>
      <c r="FN43" s="109"/>
      <c r="FO43" s="109"/>
      <c r="FP43" s="109"/>
      <c r="FQ43" s="109"/>
      <c r="FR43" s="109"/>
      <c r="FS43" s="109"/>
      <c r="FT43" s="109"/>
      <c r="FU43" s="109"/>
      <c r="FV43" s="109"/>
      <c r="FW43" s="109"/>
      <c r="FX43" s="109"/>
      <c r="FY43" s="109"/>
      <c r="FZ43" s="109"/>
      <c r="GA43" s="109"/>
      <c r="GB43" s="109"/>
      <c r="GC43" s="109"/>
      <c r="GD43" s="109"/>
      <c r="GE43" s="109"/>
      <c r="GF43" s="109"/>
      <c r="GG43" s="109"/>
      <c r="GH43" s="302"/>
      <c r="GI43" s="302"/>
      <c r="GJ43" s="302"/>
      <c r="GK43" s="302"/>
      <c r="GL43" s="302"/>
      <c r="GM43" s="302"/>
      <c r="GN43" s="302"/>
      <c r="GO43" s="302"/>
      <c r="GP43" s="302"/>
      <c r="GQ43" s="302"/>
      <c r="GR43" s="302"/>
      <c r="GS43" s="302"/>
      <c r="GT43" s="302"/>
      <c r="GU43" s="302"/>
      <c r="GV43" s="302"/>
      <c r="GW43" s="302"/>
      <c r="GX43" s="302"/>
      <c r="GY43" s="302"/>
      <c r="GZ43" s="302"/>
      <c r="HA43" s="302"/>
      <c r="HB43" s="302"/>
      <c r="HC43" s="302"/>
      <c r="HD43" s="302"/>
      <c r="HE43" s="302"/>
      <c r="HF43" s="302"/>
      <c r="HG43" s="302"/>
      <c r="HH43" s="302"/>
      <c r="HI43" s="302"/>
      <c r="HJ43" s="302"/>
      <c r="HK43" s="302"/>
      <c r="HL43" s="302"/>
      <c r="HM43" s="302"/>
      <c r="HN43" s="302"/>
      <c r="HO43" s="302"/>
      <c r="HP43" s="302"/>
      <c r="HQ43" s="302"/>
      <c r="HR43" s="302"/>
      <c r="HS43" s="302"/>
      <c r="HT43" s="302"/>
      <c r="HU43" s="302"/>
      <c r="HV43" s="302"/>
      <c r="HW43" s="302"/>
      <c r="HX43" s="302"/>
      <c r="HY43" s="302"/>
    </row>
    <row r="44" spans="1:233" outlineLevel="1">
      <c r="A44" s="297"/>
      <c r="B44" s="301">
        <v>761</v>
      </c>
      <c r="C44" s="173" t="s">
        <v>247</v>
      </c>
      <c r="D44" s="109"/>
      <c r="E44" s="109"/>
      <c r="F44" s="109"/>
      <c r="G44" s="109"/>
      <c r="H44" s="109"/>
      <c r="I44" s="108"/>
      <c r="J44" s="108"/>
      <c r="K44" s="108"/>
      <c r="L44" s="108"/>
      <c r="M44" s="108"/>
      <c r="N44" s="108"/>
      <c r="O44" s="108"/>
      <c r="P44" s="108"/>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8"/>
      <c r="CQ44" s="109"/>
      <c r="CR44" s="109"/>
      <c r="CS44" s="109"/>
      <c r="CT44" s="109"/>
      <c r="CU44" s="109"/>
      <c r="CV44" s="109"/>
      <c r="CW44" s="109"/>
      <c r="CX44" s="109"/>
      <c r="CY44" s="109"/>
      <c r="CZ44" s="109"/>
      <c r="DA44" s="109"/>
      <c r="DB44" s="109"/>
      <c r="DC44" s="109"/>
      <c r="DD44" s="109"/>
      <c r="DE44" s="109"/>
      <c r="DF44" s="109"/>
      <c r="DG44" s="109"/>
      <c r="DH44" s="109"/>
      <c r="DI44" s="109"/>
      <c r="DJ44" s="109"/>
      <c r="DK44" s="109"/>
      <c r="DL44" s="109"/>
      <c r="DM44" s="109"/>
      <c r="DN44" s="109"/>
      <c r="DO44" s="109"/>
      <c r="DP44" s="109"/>
      <c r="DQ44" s="109"/>
      <c r="DR44" s="109"/>
      <c r="DS44" s="109"/>
      <c r="DT44" s="109"/>
      <c r="DU44" s="109"/>
      <c r="DV44" s="109"/>
      <c r="DW44" s="109"/>
      <c r="DX44" s="109"/>
      <c r="DY44" s="109"/>
      <c r="DZ44" s="109"/>
      <c r="EA44" s="109"/>
      <c r="EB44" s="109"/>
      <c r="EC44" s="109"/>
      <c r="ED44" s="109"/>
      <c r="EE44" s="109"/>
      <c r="EF44" s="109"/>
      <c r="EG44" s="109"/>
      <c r="EH44" s="109"/>
      <c r="EI44" s="109"/>
      <c r="EJ44" s="109"/>
      <c r="EK44" s="109"/>
      <c r="EL44" s="109"/>
      <c r="EM44" s="109"/>
      <c r="EN44" s="109"/>
      <c r="EO44" s="109"/>
      <c r="EP44" s="109"/>
      <c r="EQ44" s="109"/>
      <c r="ER44" s="109"/>
      <c r="ES44" s="109"/>
      <c r="ET44" s="109"/>
      <c r="EU44" s="109"/>
      <c r="EV44" s="109"/>
      <c r="EW44" s="109"/>
      <c r="EX44" s="109"/>
      <c r="EY44" s="109"/>
      <c r="EZ44" s="109"/>
      <c r="FA44" s="109"/>
      <c r="FB44" s="109"/>
      <c r="FC44" s="109"/>
      <c r="FD44" s="109"/>
      <c r="FE44" s="109"/>
      <c r="FF44" s="109"/>
      <c r="FG44" s="109"/>
      <c r="FH44" s="109"/>
      <c r="FI44" s="109"/>
      <c r="FJ44" s="109"/>
      <c r="FK44" s="109"/>
      <c r="FL44" s="109"/>
      <c r="FM44" s="109"/>
      <c r="FN44" s="109"/>
      <c r="FO44" s="109"/>
      <c r="FP44" s="109"/>
      <c r="FQ44" s="109"/>
      <c r="FR44" s="109"/>
      <c r="FS44" s="109"/>
      <c r="FT44" s="109"/>
      <c r="FU44" s="109"/>
      <c r="FV44" s="109"/>
      <c r="FW44" s="109"/>
      <c r="FX44" s="109"/>
      <c r="FY44" s="109"/>
      <c r="FZ44" s="109"/>
      <c r="GA44" s="109"/>
      <c r="GB44" s="109"/>
      <c r="GC44" s="109"/>
      <c r="GD44" s="109"/>
      <c r="GE44" s="109"/>
      <c r="GF44" s="109"/>
      <c r="GG44" s="109"/>
      <c r="GH44" s="108"/>
      <c r="GI44" s="108"/>
      <c r="GJ44" s="108"/>
      <c r="GK44" s="108"/>
      <c r="GL44" s="108"/>
      <c r="GM44" s="108"/>
      <c r="GN44" s="108"/>
      <c r="GO44" s="108"/>
      <c r="GP44" s="108"/>
      <c r="GQ44" s="108"/>
      <c r="GR44" s="108"/>
      <c r="GS44" s="108"/>
      <c r="GT44" s="108"/>
      <c r="GU44" s="108"/>
      <c r="GV44" s="108"/>
      <c r="GW44" s="108"/>
      <c r="GX44" s="108"/>
      <c r="GY44" s="108"/>
      <c r="GZ44" s="108"/>
      <c r="HA44" s="108"/>
      <c r="HB44" s="108"/>
      <c r="HC44" s="108"/>
      <c r="HD44" s="108"/>
      <c r="HE44" s="108"/>
      <c r="HF44" s="108"/>
      <c r="HG44" s="108"/>
      <c r="HH44" s="108"/>
      <c r="HI44" s="108"/>
      <c r="HJ44" s="108"/>
      <c r="HK44" s="108"/>
      <c r="HL44" s="108"/>
      <c r="HM44" s="108"/>
      <c r="HN44" s="108"/>
      <c r="HO44" s="108"/>
      <c r="HP44" s="108"/>
      <c r="HQ44" s="108"/>
      <c r="HR44" s="108"/>
      <c r="HS44" s="108"/>
      <c r="HT44" s="108"/>
      <c r="HU44" s="108"/>
      <c r="HV44" s="108"/>
      <c r="HW44" s="108"/>
      <c r="HX44" s="108"/>
      <c r="HY44" s="108"/>
    </row>
    <row r="45" spans="1:233">
      <c r="A45" s="297"/>
      <c r="B45" s="301">
        <v>762</v>
      </c>
      <c r="C45" s="173" t="s">
        <v>248</v>
      </c>
      <c r="D45" s="109" t="s">
        <v>361</v>
      </c>
      <c r="E45" s="109" t="s">
        <v>361</v>
      </c>
      <c r="F45" s="109" t="s">
        <v>361</v>
      </c>
      <c r="G45" s="109" t="s">
        <v>361</v>
      </c>
      <c r="H45" s="109" t="s">
        <v>362</v>
      </c>
      <c r="I45" s="109" t="s">
        <v>362</v>
      </c>
      <c r="J45" s="109" t="s">
        <v>362</v>
      </c>
      <c r="K45" s="109" t="s">
        <v>362</v>
      </c>
      <c r="L45" s="109" t="s">
        <v>362</v>
      </c>
      <c r="M45" s="109" t="s">
        <v>362</v>
      </c>
      <c r="N45" s="109" t="s">
        <v>362</v>
      </c>
      <c r="O45" s="109" t="s">
        <v>362</v>
      </c>
      <c r="P45" s="109" t="s">
        <v>362</v>
      </c>
      <c r="Q45" s="109" t="s">
        <v>362</v>
      </c>
      <c r="R45" s="109" t="s">
        <v>362</v>
      </c>
      <c r="S45" s="109" t="s">
        <v>362</v>
      </c>
      <c r="T45" s="109" t="s">
        <v>362</v>
      </c>
      <c r="U45" s="109" t="s">
        <v>362</v>
      </c>
      <c r="V45" s="109" t="s">
        <v>362</v>
      </c>
      <c r="W45" s="109" t="s">
        <v>362</v>
      </c>
      <c r="X45" s="109" t="s">
        <v>362</v>
      </c>
      <c r="Y45" s="109" t="s">
        <v>362</v>
      </c>
      <c r="Z45" s="109" t="s">
        <v>362</v>
      </c>
      <c r="AA45" s="109" t="s">
        <v>362</v>
      </c>
      <c r="AB45" s="109" t="s">
        <v>362</v>
      </c>
      <c r="AC45" s="109" t="s">
        <v>361</v>
      </c>
      <c r="AD45" s="109" t="s">
        <v>361</v>
      </c>
      <c r="AE45" s="109" t="s">
        <v>362</v>
      </c>
      <c r="AF45" s="109" t="s">
        <v>362</v>
      </c>
      <c r="AG45" s="109" t="s">
        <v>362</v>
      </c>
      <c r="AH45" s="109" t="s">
        <v>362</v>
      </c>
      <c r="AI45" s="109" t="s">
        <v>362</v>
      </c>
      <c r="AJ45" s="109" t="s">
        <v>362</v>
      </c>
      <c r="AK45" s="109" t="s">
        <v>361</v>
      </c>
      <c r="AL45" s="109" t="s">
        <v>361</v>
      </c>
      <c r="AM45" s="109" t="s">
        <v>362</v>
      </c>
      <c r="AN45" s="109" t="s">
        <v>577</v>
      </c>
      <c r="AO45" s="109" t="s">
        <v>577</v>
      </c>
      <c r="AP45" s="109" t="s">
        <v>577</v>
      </c>
      <c r="AQ45" s="109" t="s">
        <v>577</v>
      </c>
      <c r="AR45" s="109" t="s">
        <v>577</v>
      </c>
      <c r="AS45" s="109" t="s">
        <v>577</v>
      </c>
      <c r="AT45" s="109" t="s">
        <v>577</v>
      </c>
      <c r="AU45" s="109" t="s">
        <v>577</v>
      </c>
      <c r="AV45" s="109" t="s">
        <v>577</v>
      </c>
      <c r="AW45" s="109" t="s">
        <v>360</v>
      </c>
      <c r="AX45" s="109" t="s">
        <v>360</v>
      </c>
      <c r="AY45" s="109" t="s">
        <v>360</v>
      </c>
      <c r="AZ45" s="109" t="s">
        <v>360</v>
      </c>
      <c r="BA45" s="109" t="s">
        <v>360</v>
      </c>
      <c r="BB45" s="109" t="s">
        <v>360</v>
      </c>
      <c r="BC45" s="109" t="s">
        <v>360</v>
      </c>
      <c r="BD45" s="109" t="s">
        <v>360</v>
      </c>
      <c r="BE45" s="109" t="s">
        <v>363</v>
      </c>
      <c r="BF45" s="109" t="s">
        <v>363</v>
      </c>
      <c r="BG45" s="109" t="s">
        <v>363</v>
      </c>
      <c r="BH45" s="109" t="s">
        <v>363</v>
      </c>
      <c r="BI45" s="109" t="s">
        <v>363</v>
      </c>
      <c r="BJ45" s="109" t="s">
        <v>363</v>
      </c>
      <c r="BK45" s="109" t="s">
        <v>363</v>
      </c>
      <c r="BL45" s="109" t="s">
        <v>363</v>
      </c>
      <c r="BM45" s="109" t="s">
        <v>363</v>
      </c>
      <c r="BN45" s="109" t="s">
        <v>363</v>
      </c>
      <c r="BO45" s="109" t="s">
        <v>363</v>
      </c>
      <c r="BP45" s="109" t="s">
        <v>363</v>
      </c>
      <c r="BQ45" s="109" t="s">
        <v>363</v>
      </c>
      <c r="BR45" s="109" t="s">
        <v>363</v>
      </c>
      <c r="BS45" s="109" t="s">
        <v>363</v>
      </c>
      <c r="BT45" s="109" t="s">
        <v>363</v>
      </c>
      <c r="BU45" s="109" t="s">
        <v>363</v>
      </c>
      <c r="BV45" s="109" t="s">
        <v>363</v>
      </c>
      <c r="BW45" s="109" t="s">
        <v>363</v>
      </c>
      <c r="BX45" s="109" t="s">
        <v>363</v>
      </c>
      <c r="BY45" s="109" t="s">
        <v>363</v>
      </c>
      <c r="BZ45" s="109" t="s">
        <v>363</v>
      </c>
      <c r="CA45" s="109" t="s">
        <v>363</v>
      </c>
      <c r="CB45" s="109" t="s">
        <v>363</v>
      </c>
      <c r="CC45" s="109" t="s">
        <v>363</v>
      </c>
      <c r="CD45" s="109" t="s">
        <v>363</v>
      </c>
      <c r="CE45" s="109" t="s">
        <v>363</v>
      </c>
      <c r="CF45" s="109" t="s">
        <v>363</v>
      </c>
      <c r="CG45" s="109" t="s">
        <v>363</v>
      </c>
      <c r="CH45" s="109" t="s">
        <v>363</v>
      </c>
      <c r="CI45" s="109" t="s">
        <v>11</v>
      </c>
      <c r="CJ45" s="109" t="s">
        <v>11</v>
      </c>
      <c r="CK45" s="109" t="s">
        <v>11</v>
      </c>
      <c r="CL45" s="109" t="s">
        <v>11</v>
      </c>
      <c r="CM45" s="109" t="s">
        <v>11</v>
      </c>
      <c r="CN45" s="109" t="s">
        <v>11</v>
      </c>
      <c r="CO45" s="109" t="s">
        <v>11</v>
      </c>
      <c r="CP45" s="107" t="s">
        <v>362</v>
      </c>
      <c r="CQ45" s="109" t="s">
        <v>361</v>
      </c>
      <c r="CR45" s="109" t="s">
        <v>577</v>
      </c>
      <c r="CS45" s="109" t="s">
        <v>360</v>
      </c>
      <c r="CT45" s="109" t="s">
        <v>363</v>
      </c>
      <c r="CU45" s="109" t="s">
        <v>360</v>
      </c>
      <c r="CV45" s="109" t="s">
        <v>360</v>
      </c>
      <c r="CW45" s="109" t="s">
        <v>360</v>
      </c>
      <c r="CX45" s="109" t="s">
        <v>577</v>
      </c>
      <c r="CY45" s="109" t="s">
        <v>360</v>
      </c>
      <c r="CZ45" s="109" t="s">
        <v>363</v>
      </c>
      <c r="DA45" s="109" t="s">
        <v>363</v>
      </c>
      <c r="DB45" s="109" t="s">
        <v>364</v>
      </c>
      <c r="DC45" s="109" t="s">
        <v>364</v>
      </c>
      <c r="DD45" s="109" t="s">
        <v>364</v>
      </c>
      <c r="DE45" s="109" t="s">
        <v>364</v>
      </c>
      <c r="DF45" s="109" t="s">
        <v>364</v>
      </c>
      <c r="DG45" s="109" t="s">
        <v>364</v>
      </c>
      <c r="DH45" s="109" t="s">
        <v>364</v>
      </c>
      <c r="DI45" s="109" t="s">
        <v>364</v>
      </c>
      <c r="DJ45" s="109" t="s">
        <v>364</v>
      </c>
      <c r="DK45" s="109" t="s">
        <v>365</v>
      </c>
      <c r="DL45" s="109" t="s">
        <v>365</v>
      </c>
      <c r="DM45" s="109" t="s">
        <v>365</v>
      </c>
      <c r="DN45" s="109" t="s">
        <v>365</v>
      </c>
      <c r="DO45" s="109" t="s">
        <v>365</v>
      </c>
      <c r="DP45" s="109" t="s">
        <v>365</v>
      </c>
      <c r="DQ45" s="109" t="s">
        <v>365</v>
      </c>
      <c r="DR45" s="109" t="s">
        <v>365</v>
      </c>
      <c r="DS45" s="109" t="s">
        <v>365</v>
      </c>
      <c r="DT45" s="109" t="s">
        <v>366</v>
      </c>
      <c r="DU45" s="109" t="s">
        <v>366</v>
      </c>
      <c r="DV45" s="109" t="s">
        <v>366</v>
      </c>
      <c r="DW45" s="109" t="s">
        <v>366</v>
      </c>
      <c r="DX45" s="109" t="s">
        <v>366</v>
      </c>
      <c r="DY45" s="109" t="s">
        <v>366</v>
      </c>
      <c r="DZ45" s="109" t="s">
        <v>366</v>
      </c>
      <c r="EA45" s="109" t="s">
        <v>366</v>
      </c>
      <c r="EB45" s="109" t="s">
        <v>366</v>
      </c>
      <c r="EC45" s="109" t="s">
        <v>365</v>
      </c>
      <c r="ED45" s="109" t="s">
        <v>365</v>
      </c>
      <c r="EE45" s="109" t="s">
        <v>365</v>
      </c>
      <c r="EF45" s="109" t="s">
        <v>365</v>
      </c>
      <c r="EG45" s="109" t="s">
        <v>365</v>
      </c>
      <c r="EH45" s="109" t="s">
        <v>365</v>
      </c>
      <c r="EI45" s="109" t="s">
        <v>365</v>
      </c>
      <c r="EJ45" s="109" t="s">
        <v>366</v>
      </c>
      <c r="EK45" s="109" t="s">
        <v>366</v>
      </c>
      <c r="EL45" s="109" t="s">
        <v>366</v>
      </c>
      <c r="EM45" s="109" t="s">
        <v>366</v>
      </c>
      <c r="EN45" s="109" t="s">
        <v>366</v>
      </c>
      <c r="EO45" s="109" t="s">
        <v>366</v>
      </c>
      <c r="EP45" s="109" t="s">
        <v>366</v>
      </c>
      <c r="EQ45" s="109" t="s">
        <v>366</v>
      </c>
      <c r="ER45" s="109" t="s">
        <v>366</v>
      </c>
      <c r="ES45" s="109" t="s">
        <v>366</v>
      </c>
      <c r="ET45" s="109" t="s">
        <v>366</v>
      </c>
      <c r="EU45" s="109" t="s">
        <v>366</v>
      </c>
      <c r="EV45" s="109" t="s">
        <v>366</v>
      </c>
      <c r="EW45" s="109" t="s">
        <v>366</v>
      </c>
      <c r="EX45" s="109" t="s">
        <v>366</v>
      </c>
      <c r="EY45" s="109" t="s">
        <v>366</v>
      </c>
      <c r="EZ45" s="109" t="s">
        <v>366</v>
      </c>
      <c r="FA45" s="109" t="s">
        <v>366</v>
      </c>
      <c r="FB45" s="109" t="s">
        <v>366</v>
      </c>
      <c r="FC45" s="109" t="s">
        <v>366</v>
      </c>
      <c r="FD45" s="109" t="s">
        <v>366</v>
      </c>
      <c r="FE45" s="109" t="s">
        <v>366</v>
      </c>
      <c r="FF45" s="109" t="s">
        <v>366</v>
      </c>
      <c r="FG45" s="109" t="s">
        <v>366</v>
      </c>
      <c r="FH45" s="109" t="s">
        <v>366</v>
      </c>
      <c r="FI45" s="109" t="s">
        <v>366</v>
      </c>
      <c r="FJ45" s="109" t="s">
        <v>366</v>
      </c>
      <c r="FK45" s="109" t="s">
        <v>366</v>
      </c>
      <c r="FL45" s="109" t="s">
        <v>366</v>
      </c>
      <c r="FM45" s="109" t="s">
        <v>366</v>
      </c>
      <c r="FN45" s="109" t="s">
        <v>366</v>
      </c>
      <c r="FO45" s="109" t="s">
        <v>366</v>
      </c>
      <c r="FP45" s="109" t="s">
        <v>366</v>
      </c>
      <c r="FQ45" s="109" t="s">
        <v>366</v>
      </c>
      <c r="FR45" s="109" t="s">
        <v>366</v>
      </c>
      <c r="FS45" s="109" t="s">
        <v>366</v>
      </c>
      <c r="FT45" s="109" t="s">
        <v>366</v>
      </c>
      <c r="FU45" s="109" t="s">
        <v>366</v>
      </c>
      <c r="FV45" s="109" t="s">
        <v>366</v>
      </c>
      <c r="FW45" s="109" t="s">
        <v>366</v>
      </c>
      <c r="FX45" s="109" t="s">
        <v>366</v>
      </c>
      <c r="FY45" s="109" t="s">
        <v>366</v>
      </c>
      <c r="FZ45" s="109" t="s">
        <v>366</v>
      </c>
      <c r="GA45" s="109" t="s">
        <v>366</v>
      </c>
      <c r="GB45" s="109" t="s">
        <v>366</v>
      </c>
      <c r="GC45" s="109" t="s">
        <v>366</v>
      </c>
      <c r="GD45" s="109" t="s">
        <v>322</v>
      </c>
      <c r="GE45" s="109" t="s">
        <v>322</v>
      </c>
      <c r="GF45" s="109" t="s">
        <v>322</v>
      </c>
      <c r="GG45" s="109" t="s">
        <v>322</v>
      </c>
      <c r="GH45" s="109" t="s">
        <v>322</v>
      </c>
      <c r="GI45" s="109" t="s">
        <v>322</v>
      </c>
      <c r="GJ45" s="109" t="s">
        <v>322</v>
      </c>
      <c r="GK45" s="109" t="s">
        <v>322</v>
      </c>
      <c r="GL45" s="109" t="s">
        <v>322</v>
      </c>
      <c r="GM45" s="109" t="s">
        <v>322</v>
      </c>
      <c r="GN45" s="109" t="s">
        <v>322</v>
      </c>
      <c r="GO45" s="109" t="s">
        <v>322</v>
      </c>
      <c r="GP45" s="109" t="s">
        <v>322</v>
      </c>
      <c r="GQ45" s="109" t="s">
        <v>322</v>
      </c>
      <c r="GR45" s="109" t="s">
        <v>322</v>
      </c>
      <c r="GS45" s="109" t="s">
        <v>322</v>
      </c>
      <c r="GT45" s="109" t="s">
        <v>322</v>
      </c>
      <c r="GU45" s="109" t="s">
        <v>322</v>
      </c>
      <c r="GV45" s="109" t="s">
        <v>322</v>
      </c>
      <c r="GW45" s="109" t="s">
        <v>322</v>
      </c>
      <c r="GX45" s="109" t="s">
        <v>322</v>
      </c>
      <c r="GY45" s="109" t="s">
        <v>322</v>
      </c>
      <c r="GZ45" s="109" t="s">
        <v>322</v>
      </c>
      <c r="HA45" s="109" t="s">
        <v>322</v>
      </c>
      <c r="HB45" s="109" t="s">
        <v>322</v>
      </c>
      <c r="HC45" s="109" t="s">
        <v>322</v>
      </c>
      <c r="HD45" s="109" t="s">
        <v>322</v>
      </c>
      <c r="HE45" s="109" t="s">
        <v>322</v>
      </c>
      <c r="HF45" s="109" t="s">
        <v>322</v>
      </c>
      <c r="HG45" s="109" t="s">
        <v>322</v>
      </c>
      <c r="HH45" s="109" t="s">
        <v>322</v>
      </c>
      <c r="HI45" s="109" t="s">
        <v>322</v>
      </c>
      <c r="HJ45" s="109" t="s">
        <v>322</v>
      </c>
      <c r="HK45" s="109" t="s">
        <v>322</v>
      </c>
      <c r="HL45" s="109" t="s">
        <v>322</v>
      </c>
      <c r="HM45" s="109" t="s">
        <v>322</v>
      </c>
      <c r="HN45" s="109" t="s">
        <v>322</v>
      </c>
      <c r="HO45" s="109" t="s">
        <v>322</v>
      </c>
      <c r="HP45" s="109" t="s">
        <v>322</v>
      </c>
      <c r="HQ45" s="109" t="s">
        <v>322</v>
      </c>
      <c r="HR45" s="109" t="s">
        <v>322</v>
      </c>
      <c r="HS45" s="109" t="s">
        <v>322</v>
      </c>
      <c r="HT45" s="109" t="s">
        <v>322</v>
      </c>
      <c r="HU45" s="109" t="s">
        <v>322</v>
      </c>
      <c r="HV45" s="109" t="s">
        <v>322</v>
      </c>
      <c r="HW45" s="109" t="s">
        <v>322</v>
      </c>
      <c r="HX45" s="109" t="s">
        <v>322</v>
      </c>
      <c r="HY45" s="109" t="s">
        <v>322</v>
      </c>
    </row>
    <row r="46" spans="1:233" outlineLevel="1">
      <c r="A46" s="249" t="s">
        <v>733</v>
      </c>
      <c r="B46" s="39">
        <v>5616</v>
      </c>
      <c r="C46" s="173" t="s">
        <v>734</v>
      </c>
      <c r="D46" s="250">
        <v>41</v>
      </c>
      <c r="E46" s="250">
        <v>46</v>
      </c>
      <c r="F46" s="250">
        <v>46</v>
      </c>
      <c r="G46" s="250">
        <v>51</v>
      </c>
      <c r="H46" s="250">
        <v>51</v>
      </c>
      <c r="I46" s="250">
        <v>41</v>
      </c>
      <c r="J46" s="250">
        <v>41</v>
      </c>
      <c r="K46" s="250">
        <v>41</v>
      </c>
      <c r="L46" s="250">
        <v>41</v>
      </c>
      <c r="M46" s="250">
        <v>41</v>
      </c>
      <c r="N46" s="250">
        <v>41</v>
      </c>
      <c r="O46" s="327">
        <v>51</v>
      </c>
      <c r="P46" s="106">
        <v>51</v>
      </c>
      <c r="Q46" s="250">
        <v>41</v>
      </c>
      <c r="R46" s="250">
        <v>41</v>
      </c>
      <c r="S46" s="250">
        <v>41</v>
      </c>
      <c r="T46" s="250">
        <v>51</v>
      </c>
      <c r="U46" s="250">
        <v>41</v>
      </c>
      <c r="V46" s="250">
        <v>41</v>
      </c>
      <c r="W46" s="250">
        <v>41</v>
      </c>
      <c r="X46" s="250">
        <v>51</v>
      </c>
      <c r="Y46" s="250">
        <v>41</v>
      </c>
      <c r="Z46" s="250">
        <v>46</v>
      </c>
      <c r="AA46" s="250">
        <v>46</v>
      </c>
      <c r="AB46" s="250">
        <v>46</v>
      </c>
      <c r="AC46" s="250">
        <v>51</v>
      </c>
      <c r="AD46" s="250">
        <v>51</v>
      </c>
      <c r="AE46" s="250">
        <v>41</v>
      </c>
      <c r="AF46" s="250">
        <v>41</v>
      </c>
      <c r="AG46" s="250">
        <v>41</v>
      </c>
      <c r="AH46" s="250">
        <v>51</v>
      </c>
      <c r="AI46" s="250">
        <v>51</v>
      </c>
      <c r="AJ46" s="250">
        <v>51</v>
      </c>
      <c r="AK46" s="250">
        <v>51</v>
      </c>
      <c r="AL46" s="250">
        <v>51</v>
      </c>
      <c r="AM46" s="250">
        <v>51</v>
      </c>
      <c r="AN46" s="250">
        <v>41</v>
      </c>
      <c r="AO46" s="250">
        <v>41</v>
      </c>
      <c r="AP46" s="250">
        <v>41</v>
      </c>
      <c r="AQ46" s="250">
        <v>51</v>
      </c>
      <c r="AR46" s="250">
        <v>41</v>
      </c>
      <c r="AS46" s="250">
        <v>41</v>
      </c>
      <c r="AT46" s="250">
        <v>41</v>
      </c>
      <c r="AU46" s="250">
        <v>51</v>
      </c>
      <c r="AV46" s="250">
        <v>51</v>
      </c>
      <c r="AW46" s="250">
        <v>41</v>
      </c>
      <c r="AX46" s="250">
        <v>41</v>
      </c>
      <c r="AY46" s="250">
        <v>41</v>
      </c>
      <c r="AZ46" s="250">
        <v>51</v>
      </c>
      <c r="BA46" s="250">
        <v>41</v>
      </c>
      <c r="BB46" s="250">
        <v>41</v>
      </c>
      <c r="BC46" s="250">
        <v>41</v>
      </c>
      <c r="BD46" s="250">
        <v>51</v>
      </c>
      <c r="BE46" s="250">
        <v>51</v>
      </c>
      <c r="BF46" s="250">
        <v>51</v>
      </c>
      <c r="BG46" s="250">
        <v>51</v>
      </c>
      <c r="BH46" s="250">
        <v>51</v>
      </c>
      <c r="BI46" s="250">
        <v>51</v>
      </c>
      <c r="BJ46" s="250">
        <v>51</v>
      </c>
      <c r="BK46" s="250">
        <v>51</v>
      </c>
      <c r="BL46" s="250">
        <v>51</v>
      </c>
      <c r="BM46" s="250">
        <v>41</v>
      </c>
      <c r="BN46" s="250">
        <v>41</v>
      </c>
      <c r="BO46" s="250">
        <v>41</v>
      </c>
      <c r="BP46" s="250">
        <v>51</v>
      </c>
      <c r="BQ46" s="250">
        <v>41</v>
      </c>
      <c r="BR46" s="250">
        <v>41</v>
      </c>
      <c r="BS46" s="250">
        <v>41</v>
      </c>
      <c r="BT46" s="250">
        <v>46</v>
      </c>
      <c r="BU46" s="250">
        <v>46</v>
      </c>
      <c r="BV46" s="250">
        <v>46</v>
      </c>
      <c r="BW46" s="250">
        <v>46</v>
      </c>
      <c r="BX46" s="250">
        <v>46</v>
      </c>
      <c r="BY46" s="250">
        <v>46</v>
      </c>
      <c r="BZ46" s="250">
        <v>46</v>
      </c>
      <c r="CA46" s="250">
        <v>46</v>
      </c>
      <c r="CB46" s="250">
        <v>46</v>
      </c>
      <c r="CC46" s="250">
        <v>46</v>
      </c>
      <c r="CD46" s="250">
        <v>46</v>
      </c>
      <c r="CE46" s="250">
        <v>46</v>
      </c>
      <c r="CF46" s="250">
        <v>46</v>
      </c>
      <c r="CG46" s="250">
        <v>46</v>
      </c>
      <c r="CH46" s="250">
        <v>46</v>
      </c>
      <c r="CI46" s="250">
        <v>51</v>
      </c>
      <c r="CJ46" s="250">
        <v>51</v>
      </c>
      <c r="CK46" s="250">
        <v>51</v>
      </c>
      <c r="CL46" s="250">
        <v>51</v>
      </c>
      <c r="CM46" s="250">
        <v>51</v>
      </c>
      <c r="CN46" s="250">
        <v>51</v>
      </c>
      <c r="CO46" s="250">
        <v>51</v>
      </c>
      <c r="CP46" s="106">
        <v>51</v>
      </c>
      <c r="CQ46" s="250">
        <v>51</v>
      </c>
      <c r="CR46" s="250">
        <v>51</v>
      </c>
      <c r="CS46" s="250">
        <v>51</v>
      </c>
      <c r="CT46" s="250">
        <v>51</v>
      </c>
      <c r="CU46" s="250">
        <v>51</v>
      </c>
      <c r="CV46" s="250">
        <v>51</v>
      </c>
      <c r="CW46" s="250">
        <v>51</v>
      </c>
      <c r="CX46" s="250">
        <v>51</v>
      </c>
      <c r="CY46" s="250">
        <v>51</v>
      </c>
      <c r="CZ46" s="250">
        <v>51</v>
      </c>
      <c r="DA46" s="250">
        <v>51</v>
      </c>
      <c r="DB46" s="250">
        <v>51</v>
      </c>
      <c r="DC46" s="250">
        <v>51</v>
      </c>
      <c r="DD46" s="250">
        <v>51</v>
      </c>
      <c r="DE46" s="250">
        <v>51</v>
      </c>
      <c r="DF46" s="250">
        <v>54</v>
      </c>
      <c r="DG46" s="250">
        <v>54</v>
      </c>
      <c r="DH46" s="250">
        <v>54</v>
      </c>
      <c r="DI46" s="250">
        <v>54</v>
      </c>
      <c r="DJ46" s="250">
        <v>54</v>
      </c>
      <c r="DK46" s="250">
        <v>51</v>
      </c>
      <c r="DL46" s="250">
        <v>54</v>
      </c>
      <c r="DM46" s="250">
        <v>54</v>
      </c>
      <c r="DN46" s="250">
        <v>54</v>
      </c>
      <c r="DO46" s="250">
        <v>54</v>
      </c>
      <c r="DP46" s="250">
        <v>54</v>
      </c>
      <c r="DQ46" s="250">
        <v>54</v>
      </c>
      <c r="DR46" s="250">
        <v>54</v>
      </c>
      <c r="DS46" s="250">
        <v>54</v>
      </c>
      <c r="DT46" s="250">
        <v>54</v>
      </c>
      <c r="DU46" s="250">
        <v>54</v>
      </c>
      <c r="DV46" s="250">
        <v>54</v>
      </c>
      <c r="DW46" s="250">
        <v>54</v>
      </c>
      <c r="DX46" s="250">
        <v>54</v>
      </c>
      <c r="DY46" s="250">
        <v>54</v>
      </c>
      <c r="DZ46" s="250">
        <v>46</v>
      </c>
      <c r="EA46" s="250">
        <v>46</v>
      </c>
      <c r="EB46" s="250">
        <v>46</v>
      </c>
      <c r="EC46" s="250">
        <v>46</v>
      </c>
      <c r="ED46" s="250">
        <v>46</v>
      </c>
      <c r="EE46" s="250">
        <v>46</v>
      </c>
      <c r="EF46" s="250">
        <v>46</v>
      </c>
      <c r="EG46" s="250">
        <v>46</v>
      </c>
      <c r="EH46" s="250">
        <v>46</v>
      </c>
      <c r="EI46" s="250">
        <v>46</v>
      </c>
      <c r="EJ46" s="250">
        <v>46</v>
      </c>
      <c r="EK46" s="250">
        <v>46</v>
      </c>
      <c r="EL46" s="250">
        <v>46</v>
      </c>
      <c r="EM46" s="250">
        <v>46</v>
      </c>
      <c r="EN46" s="250">
        <v>46</v>
      </c>
      <c r="EO46" s="250">
        <v>46</v>
      </c>
      <c r="EP46" s="250">
        <v>46</v>
      </c>
      <c r="EQ46" s="250">
        <v>46</v>
      </c>
      <c r="ER46" s="250">
        <v>46</v>
      </c>
      <c r="ES46" s="250">
        <v>46</v>
      </c>
      <c r="ET46" s="250">
        <v>46</v>
      </c>
      <c r="EU46" s="250">
        <v>46</v>
      </c>
      <c r="EV46" s="250">
        <v>46</v>
      </c>
      <c r="EW46" s="250">
        <v>46</v>
      </c>
      <c r="EX46" s="250">
        <v>46</v>
      </c>
      <c r="EY46" s="250">
        <v>46</v>
      </c>
      <c r="EZ46" s="250">
        <v>46</v>
      </c>
      <c r="FA46" s="250">
        <v>46</v>
      </c>
      <c r="FB46" s="250">
        <v>46</v>
      </c>
      <c r="FC46" s="250">
        <v>46</v>
      </c>
      <c r="FD46" s="250">
        <v>46</v>
      </c>
      <c r="FE46" s="250">
        <v>46</v>
      </c>
      <c r="FF46" s="250">
        <v>46</v>
      </c>
      <c r="FG46" s="250">
        <v>46</v>
      </c>
      <c r="FH46" s="250">
        <v>46</v>
      </c>
      <c r="FI46" s="250">
        <v>46</v>
      </c>
      <c r="FJ46" s="250">
        <v>46</v>
      </c>
      <c r="FK46" s="250">
        <v>46</v>
      </c>
      <c r="FL46" s="250">
        <v>46</v>
      </c>
      <c r="FM46" s="250">
        <v>46</v>
      </c>
      <c r="FN46" s="250">
        <v>54</v>
      </c>
      <c r="FO46" s="250">
        <v>54</v>
      </c>
      <c r="FP46" s="250">
        <v>54</v>
      </c>
      <c r="FQ46" s="250">
        <v>54</v>
      </c>
      <c r="FR46" s="250">
        <v>54</v>
      </c>
      <c r="FS46" s="250">
        <v>54</v>
      </c>
      <c r="FT46" s="250">
        <v>54</v>
      </c>
      <c r="FU46" s="250">
        <v>54</v>
      </c>
      <c r="FV46" s="250">
        <v>54</v>
      </c>
      <c r="FW46" s="250">
        <v>54</v>
      </c>
      <c r="FX46" s="250">
        <v>54</v>
      </c>
      <c r="FY46" s="250">
        <v>54</v>
      </c>
      <c r="FZ46" s="250">
        <v>54</v>
      </c>
      <c r="GA46" s="250">
        <v>54</v>
      </c>
      <c r="GB46" s="250">
        <v>54</v>
      </c>
      <c r="GC46" s="250">
        <v>54</v>
      </c>
      <c r="GD46" s="250">
        <v>54</v>
      </c>
      <c r="GE46" s="250">
        <v>54</v>
      </c>
      <c r="GF46" s="250">
        <v>54</v>
      </c>
      <c r="GG46" s="250">
        <v>54</v>
      </c>
      <c r="GH46" s="250">
        <v>54</v>
      </c>
      <c r="GI46" s="250">
        <v>54</v>
      </c>
      <c r="GJ46" s="250">
        <v>54</v>
      </c>
      <c r="GK46" s="250">
        <v>54</v>
      </c>
      <c r="GL46" s="250">
        <v>54</v>
      </c>
      <c r="GM46" s="250">
        <v>54</v>
      </c>
      <c r="GN46" s="250">
        <v>54</v>
      </c>
      <c r="GO46" s="250">
        <v>54</v>
      </c>
      <c r="GP46" s="250">
        <v>54</v>
      </c>
      <c r="GQ46" s="250">
        <v>54</v>
      </c>
      <c r="GR46" s="250">
        <v>54</v>
      </c>
      <c r="GS46" s="250">
        <v>54</v>
      </c>
      <c r="GT46" s="250">
        <v>54</v>
      </c>
      <c r="GU46" s="250">
        <v>54</v>
      </c>
      <c r="GV46" s="250">
        <v>54</v>
      </c>
      <c r="GW46" s="250">
        <v>54</v>
      </c>
      <c r="GX46" s="250">
        <v>54</v>
      </c>
      <c r="GY46" s="250">
        <v>54</v>
      </c>
      <c r="GZ46" s="250">
        <v>54</v>
      </c>
      <c r="HA46" s="250">
        <v>54</v>
      </c>
      <c r="HB46" s="250">
        <v>54</v>
      </c>
      <c r="HC46" s="250">
        <v>54</v>
      </c>
      <c r="HD46" s="250">
        <v>54</v>
      </c>
      <c r="HE46" s="250">
        <v>54</v>
      </c>
      <c r="HF46" s="250">
        <v>54</v>
      </c>
      <c r="HG46" s="250">
        <v>54</v>
      </c>
      <c r="HH46" s="250">
        <v>54</v>
      </c>
      <c r="HI46" s="250">
        <v>54</v>
      </c>
      <c r="HJ46" s="250">
        <v>54</v>
      </c>
      <c r="HK46" s="250">
        <v>54</v>
      </c>
      <c r="HL46" s="250">
        <v>54</v>
      </c>
      <c r="HM46" s="250">
        <v>54</v>
      </c>
      <c r="HN46" s="250">
        <v>54</v>
      </c>
      <c r="HO46" s="250">
        <v>54</v>
      </c>
      <c r="HP46" s="250">
        <v>54</v>
      </c>
      <c r="HQ46" s="250">
        <v>54</v>
      </c>
      <c r="HR46" s="250">
        <v>54</v>
      </c>
      <c r="HS46" s="250">
        <v>54</v>
      </c>
      <c r="HT46" s="250">
        <v>54</v>
      </c>
      <c r="HU46" s="250">
        <v>54</v>
      </c>
      <c r="HV46" s="250">
        <v>54</v>
      </c>
      <c r="HW46" s="250">
        <v>54</v>
      </c>
      <c r="HX46" s="250">
        <v>54</v>
      </c>
      <c r="HY46" s="250">
        <v>54</v>
      </c>
    </row>
    <row r="47" spans="1:233" outlineLevel="1">
      <c r="A47" s="249"/>
      <c r="B47" s="39">
        <v>5615</v>
      </c>
      <c r="C47" s="173" t="s">
        <v>735</v>
      </c>
      <c r="D47" s="488">
        <v>41855</v>
      </c>
      <c r="E47" s="488">
        <v>41855</v>
      </c>
      <c r="F47" s="488">
        <v>41855</v>
      </c>
      <c r="G47" s="488">
        <v>41855</v>
      </c>
      <c r="H47" s="488">
        <v>41855</v>
      </c>
      <c r="I47" s="488">
        <v>41855</v>
      </c>
      <c r="J47" s="488">
        <v>41855</v>
      </c>
      <c r="K47" s="488">
        <v>41855</v>
      </c>
      <c r="L47" s="488">
        <v>41855</v>
      </c>
      <c r="M47" s="488">
        <v>41855</v>
      </c>
      <c r="N47" s="488">
        <v>41855</v>
      </c>
      <c r="O47" s="488">
        <v>41855</v>
      </c>
      <c r="P47" s="488">
        <v>41855</v>
      </c>
      <c r="Q47" s="488">
        <v>41855</v>
      </c>
      <c r="R47" s="488">
        <v>41855</v>
      </c>
      <c r="S47" s="488">
        <v>41855</v>
      </c>
      <c r="T47" s="488">
        <v>41855</v>
      </c>
      <c r="U47" s="488">
        <v>41855</v>
      </c>
      <c r="V47" s="488">
        <v>41855</v>
      </c>
      <c r="W47" s="488">
        <v>41855</v>
      </c>
      <c r="X47" s="488">
        <v>41855</v>
      </c>
      <c r="Y47" s="488">
        <v>41855</v>
      </c>
      <c r="Z47" s="488">
        <v>41855</v>
      </c>
      <c r="AA47" s="488">
        <v>41855</v>
      </c>
      <c r="AB47" s="488">
        <v>41855</v>
      </c>
      <c r="AC47" s="488">
        <v>41855</v>
      </c>
      <c r="AD47" s="488">
        <v>41855</v>
      </c>
      <c r="AE47" s="488">
        <v>41855</v>
      </c>
      <c r="AF47" s="488">
        <v>41855</v>
      </c>
      <c r="AG47" s="488">
        <v>41855</v>
      </c>
      <c r="AH47" s="488">
        <v>41855</v>
      </c>
      <c r="AI47" s="488">
        <v>41855</v>
      </c>
      <c r="AJ47" s="488">
        <v>41855</v>
      </c>
      <c r="AK47" s="488">
        <v>41855</v>
      </c>
      <c r="AL47" s="488">
        <v>41855</v>
      </c>
      <c r="AM47" s="488">
        <v>41855</v>
      </c>
      <c r="AN47" s="488">
        <v>41855</v>
      </c>
      <c r="AO47" s="488">
        <v>41855</v>
      </c>
      <c r="AP47" s="488">
        <v>41855</v>
      </c>
      <c r="AQ47" s="488">
        <v>41855</v>
      </c>
      <c r="AR47" s="488">
        <v>41855</v>
      </c>
      <c r="AS47" s="488">
        <v>41855</v>
      </c>
      <c r="AT47" s="488">
        <v>41855</v>
      </c>
      <c r="AU47" s="488">
        <v>41855</v>
      </c>
      <c r="AV47" s="488">
        <v>41855</v>
      </c>
      <c r="AW47" s="488">
        <v>41855</v>
      </c>
      <c r="AX47" s="488">
        <v>41855</v>
      </c>
      <c r="AY47" s="488">
        <v>41855</v>
      </c>
      <c r="AZ47" s="488">
        <v>41855</v>
      </c>
      <c r="BA47" s="488">
        <v>41855</v>
      </c>
      <c r="BB47" s="488">
        <v>41855</v>
      </c>
      <c r="BC47" s="488">
        <v>41855</v>
      </c>
      <c r="BD47" s="488">
        <v>41855</v>
      </c>
      <c r="BE47" s="488">
        <v>41855</v>
      </c>
      <c r="BF47" s="488">
        <v>41855</v>
      </c>
      <c r="BG47" s="488">
        <v>41855</v>
      </c>
      <c r="BH47" s="488">
        <v>41855</v>
      </c>
      <c r="BI47" s="488">
        <v>41855</v>
      </c>
      <c r="BJ47" s="488">
        <v>41855</v>
      </c>
      <c r="BK47" s="488">
        <v>41855</v>
      </c>
      <c r="BL47" s="488">
        <v>41855</v>
      </c>
      <c r="BM47" s="488">
        <v>41855</v>
      </c>
      <c r="BN47" s="488">
        <v>41855</v>
      </c>
      <c r="BO47" s="488">
        <v>41855</v>
      </c>
      <c r="BP47" s="488">
        <v>41855</v>
      </c>
      <c r="BQ47" s="488">
        <v>41855</v>
      </c>
      <c r="BR47" s="488">
        <v>41855</v>
      </c>
      <c r="BS47" s="488">
        <v>41855</v>
      </c>
      <c r="BT47" s="488">
        <v>41855</v>
      </c>
      <c r="BU47" s="488">
        <v>41855</v>
      </c>
      <c r="BV47" s="488">
        <v>41855</v>
      </c>
      <c r="BW47" s="488">
        <v>41855</v>
      </c>
      <c r="BX47" s="488">
        <v>41855</v>
      </c>
      <c r="BY47" s="488">
        <v>41855</v>
      </c>
      <c r="BZ47" s="488">
        <v>41855</v>
      </c>
      <c r="CA47" s="488">
        <v>41855</v>
      </c>
      <c r="CB47" s="488">
        <v>41855</v>
      </c>
      <c r="CC47" s="488">
        <v>41855</v>
      </c>
      <c r="CD47" s="488">
        <v>41855</v>
      </c>
      <c r="CE47" s="488">
        <v>41855</v>
      </c>
      <c r="CF47" s="488">
        <v>41855</v>
      </c>
      <c r="CG47" s="488">
        <v>41855</v>
      </c>
      <c r="CH47" s="488">
        <v>41855</v>
      </c>
      <c r="CI47" s="488">
        <v>41855</v>
      </c>
      <c r="CJ47" s="488">
        <v>41855</v>
      </c>
      <c r="CK47" s="488">
        <v>41855</v>
      </c>
      <c r="CL47" s="488">
        <v>41855</v>
      </c>
      <c r="CM47" s="488">
        <v>41855</v>
      </c>
      <c r="CN47" s="488">
        <v>41855</v>
      </c>
      <c r="CO47" s="488">
        <v>41855</v>
      </c>
      <c r="CP47" s="488">
        <v>41855</v>
      </c>
      <c r="CQ47" s="488">
        <v>41855</v>
      </c>
      <c r="CR47" s="488">
        <v>41855</v>
      </c>
      <c r="CS47" s="488">
        <v>41855</v>
      </c>
      <c r="CT47" s="488">
        <v>41855</v>
      </c>
      <c r="CU47" s="488">
        <v>41855</v>
      </c>
      <c r="CV47" s="488">
        <v>41855</v>
      </c>
      <c r="CW47" s="488">
        <v>41855</v>
      </c>
      <c r="CX47" s="488">
        <v>41855</v>
      </c>
      <c r="CY47" s="488">
        <v>41855</v>
      </c>
      <c r="CZ47" s="488">
        <v>41855</v>
      </c>
      <c r="DA47" s="488">
        <v>41855</v>
      </c>
      <c r="DB47" s="488">
        <v>41855</v>
      </c>
      <c r="DC47" s="488">
        <v>41855</v>
      </c>
      <c r="DD47" s="488">
        <v>41855</v>
      </c>
      <c r="DE47" s="488">
        <v>41855</v>
      </c>
      <c r="DF47" s="488">
        <v>41855</v>
      </c>
      <c r="DG47" s="488">
        <v>41855</v>
      </c>
      <c r="DH47" s="488">
        <v>41855</v>
      </c>
      <c r="DI47" s="488">
        <v>41855</v>
      </c>
      <c r="DJ47" s="488">
        <v>41855</v>
      </c>
      <c r="DK47" s="488">
        <v>41855</v>
      </c>
      <c r="DL47" s="488">
        <v>41855</v>
      </c>
      <c r="DM47" s="488">
        <v>41855</v>
      </c>
      <c r="DN47" s="488">
        <v>41855</v>
      </c>
      <c r="DO47" s="488">
        <v>41855</v>
      </c>
      <c r="DP47" s="488">
        <v>41855</v>
      </c>
      <c r="DQ47" s="488">
        <v>41855</v>
      </c>
      <c r="DR47" s="488">
        <v>41855</v>
      </c>
      <c r="DS47" s="488">
        <v>41855</v>
      </c>
      <c r="DT47" s="488">
        <v>41855</v>
      </c>
      <c r="DU47" s="488">
        <v>41855</v>
      </c>
      <c r="DV47" s="488">
        <v>41855</v>
      </c>
      <c r="DW47" s="488">
        <v>41855</v>
      </c>
      <c r="DX47" s="488">
        <v>41855</v>
      </c>
      <c r="DY47" s="488">
        <v>41855</v>
      </c>
      <c r="DZ47" s="488">
        <v>41855</v>
      </c>
      <c r="EA47" s="488">
        <v>41855</v>
      </c>
      <c r="EB47" s="488">
        <v>41855</v>
      </c>
      <c r="EC47" s="488">
        <v>41855</v>
      </c>
      <c r="ED47" s="488">
        <v>41855</v>
      </c>
      <c r="EE47" s="488">
        <v>41855</v>
      </c>
      <c r="EF47" s="488">
        <v>41855</v>
      </c>
      <c r="EG47" s="488">
        <v>41855</v>
      </c>
      <c r="EH47" s="488">
        <v>41855</v>
      </c>
      <c r="EI47" s="488">
        <v>41855</v>
      </c>
      <c r="EJ47" s="488">
        <v>41855</v>
      </c>
      <c r="EK47" s="488">
        <v>41855</v>
      </c>
      <c r="EL47" s="488">
        <v>41855</v>
      </c>
      <c r="EM47" s="488">
        <v>41855</v>
      </c>
      <c r="EN47" s="488">
        <v>41855</v>
      </c>
      <c r="EO47" s="488">
        <v>41855</v>
      </c>
      <c r="EP47" s="488">
        <v>41855</v>
      </c>
      <c r="EQ47" s="488">
        <v>41855</v>
      </c>
      <c r="ER47" s="488">
        <v>41855</v>
      </c>
      <c r="ES47" s="488">
        <v>41855</v>
      </c>
      <c r="ET47" s="488">
        <v>41855</v>
      </c>
      <c r="EU47" s="488">
        <v>41855</v>
      </c>
      <c r="EV47" s="488">
        <v>41855</v>
      </c>
      <c r="EW47" s="488">
        <v>41855</v>
      </c>
      <c r="EX47" s="488">
        <v>41855</v>
      </c>
      <c r="EY47" s="488">
        <v>41855</v>
      </c>
      <c r="EZ47" s="488">
        <v>41855</v>
      </c>
      <c r="FA47" s="488">
        <v>41855</v>
      </c>
      <c r="FB47" s="488">
        <v>41855</v>
      </c>
      <c r="FC47" s="488">
        <v>41855</v>
      </c>
      <c r="FD47" s="488">
        <v>41855</v>
      </c>
      <c r="FE47" s="488">
        <v>41855</v>
      </c>
      <c r="FF47" s="488">
        <v>41855</v>
      </c>
      <c r="FG47" s="488">
        <v>41855</v>
      </c>
      <c r="FH47" s="488">
        <v>41855</v>
      </c>
      <c r="FI47" s="488">
        <v>41855</v>
      </c>
      <c r="FJ47" s="488">
        <v>41855</v>
      </c>
      <c r="FK47" s="488">
        <v>41855</v>
      </c>
      <c r="FL47" s="488">
        <v>41855</v>
      </c>
      <c r="FM47" s="488">
        <v>41855</v>
      </c>
      <c r="FN47" s="488">
        <v>41855</v>
      </c>
      <c r="FO47" s="488">
        <v>41855</v>
      </c>
      <c r="FP47" s="488">
        <v>41855</v>
      </c>
      <c r="FQ47" s="488">
        <v>41855</v>
      </c>
      <c r="FR47" s="488">
        <v>41855</v>
      </c>
      <c r="FS47" s="488">
        <v>41855</v>
      </c>
      <c r="FT47" s="488">
        <v>41855</v>
      </c>
      <c r="FU47" s="488">
        <v>41855</v>
      </c>
      <c r="FV47" s="488">
        <v>41855</v>
      </c>
      <c r="FW47" s="488">
        <v>41855</v>
      </c>
      <c r="FX47" s="488">
        <v>41855</v>
      </c>
      <c r="FY47" s="488">
        <v>41855</v>
      </c>
      <c r="FZ47" s="488">
        <v>41855</v>
      </c>
      <c r="GA47" s="488">
        <v>41855</v>
      </c>
      <c r="GB47" s="488">
        <v>41855</v>
      </c>
      <c r="GC47" s="488">
        <v>41855</v>
      </c>
      <c r="GD47" s="488">
        <v>41855</v>
      </c>
      <c r="GE47" s="488">
        <v>41855</v>
      </c>
      <c r="GF47" s="488">
        <v>41855</v>
      </c>
      <c r="GG47" s="488">
        <v>41855</v>
      </c>
      <c r="GH47" s="488">
        <v>41855</v>
      </c>
      <c r="GI47" s="488">
        <v>41855</v>
      </c>
      <c r="GJ47" s="488">
        <v>41855</v>
      </c>
      <c r="GK47" s="488">
        <v>41855</v>
      </c>
      <c r="GL47" s="488">
        <v>41855</v>
      </c>
      <c r="GM47" s="488">
        <v>41855</v>
      </c>
      <c r="GN47" s="488">
        <v>41855</v>
      </c>
      <c r="GO47" s="488">
        <v>41855</v>
      </c>
      <c r="GP47" s="488">
        <v>41855</v>
      </c>
      <c r="GQ47" s="488">
        <v>41855</v>
      </c>
      <c r="GR47" s="488">
        <v>41855</v>
      </c>
      <c r="GS47" s="488">
        <v>41855</v>
      </c>
      <c r="GT47" s="488">
        <v>41855</v>
      </c>
      <c r="GU47" s="488">
        <v>41855</v>
      </c>
      <c r="GV47" s="488">
        <v>41855</v>
      </c>
      <c r="GW47" s="488">
        <v>41855</v>
      </c>
      <c r="GX47" s="488">
        <v>41855</v>
      </c>
      <c r="GY47" s="488">
        <v>41855</v>
      </c>
      <c r="GZ47" s="488">
        <v>41855</v>
      </c>
      <c r="HA47" s="488">
        <v>41855</v>
      </c>
      <c r="HB47" s="488">
        <v>41855</v>
      </c>
      <c r="HC47" s="488">
        <v>41855</v>
      </c>
      <c r="HD47" s="488">
        <v>41855</v>
      </c>
      <c r="HE47" s="488">
        <v>41855</v>
      </c>
      <c r="HF47" s="488">
        <v>41855</v>
      </c>
      <c r="HG47" s="488">
        <v>41855</v>
      </c>
      <c r="HH47" s="488">
        <v>41855</v>
      </c>
      <c r="HI47" s="488">
        <v>41855</v>
      </c>
      <c r="HJ47" s="488">
        <v>41855</v>
      </c>
      <c r="HK47" s="488">
        <v>41855</v>
      </c>
      <c r="HL47" s="488">
        <v>41855</v>
      </c>
      <c r="HM47" s="488">
        <v>41855</v>
      </c>
      <c r="HN47" s="488">
        <v>41855</v>
      </c>
      <c r="HO47" s="488">
        <v>41855</v>
      </c>
      <c r="HP47" s="488">
        <v>41855</v>
      </c>
      <c r="HQ47" s="488">
        <v>41855</v>
      </c>
      <c r="HR47" s="488">
        <v>41855</v>
      </c>
      <c r="HS47" s="488">
        <v>41855</v>
      </c>
      <c r="HT47" s="488">
        <v>41855</v>
      </c>
      <c r="HU47" s="488">
        <v>41855</v>
      </c>
      <c r="HV47" s="488">
        <v>41855</v>
      </c>
      <c r="HW47" s="488">
        <v>41855</v>
      </c>
      <c r="HX47" s="488">
        <v>41855</v>
      </c>
      <c r="HY47" s="488">
        <v>41855</v>
      </c>
    </row>
    <row r="48" spans="1:233" ht="120" outlineLevel="1">
      <c r="A48" s="249"/>
      <c r="B48" s="39">
        <v>5619</v>
      </c>
      <c r="C48" s="173" t="s">
        <v>736</v>
      </c>
      <c r="D48" s="193" t="s">
        <v>1622</v>
      </c>
      <c r="E48" s="193" t="s">
        <v>1622</v>
      </c>
      <c r="F48" s="193" t="s">
        <v>1622</v>
      </c>
      <c r="G48" s="193" t="s">
        <v>1622</v>
      </c>
      <c r="H48" s="193" t="s">
        <v>1622</v>
      </c>
      <c r="I48" s="193" t="s">
        <v>1622</v>
      </c>
      <c r="J48" s="193" t="s">
        <v>1622</v>
      </c>
      <c r="K48" s="193" t="s">
        <v>1622</v>
      </c>
      <c r="L48" s="193" t="s">
        <v>1622</v>
      </c>
      <c r="M48" s="193" t="s">
        <v>1622</v>
      </c>
      <c r="N48" s="193" t="s">
        <v>1622</v>
      </c>
      <c r="O48" s="193" t="s">
        <v>1622</v>
      </c>
      <c r="P48" s="193" t="s">
        <v>1622</v>
      </c>
      <c r="Q48" s="193" t="s">
        <v>1622</v>
      </c>
      <c r="R48" s="193" t="s">
        <v>1622</v>
      </c>
      <c r="S48" s="193" t="s">
        <v>1622</v>
      </c>
      <c r="T48" s="193" t="s">
        <v>1622</v>
      </c>
      <c r="U48" s="193" t="s">
        <v>1622</v>
      </c>
      <c r="V48" s="193" t="s">
        <v>1622</v>
      </c>
      <c r="W48" s="193" t="s">
        <v>1622</v>
      </c>
      <c r="X48" s="193" t="s">
        <v>1622</v>
      </c>
      <c r="Y48" s="193" t="s">
        <v>1622</v>
      </c>
      <c r="Z48" s="193" t="s">
        <v>1622</v>
      </c>
      <c r="AA48" s="193" t="s">
        <v>1622</v>
      </c>
      <c r="AB48" s="193" t="s">
        <v>1622</v>
      </c>
      <c r="AC48" s="193" t="s">
        <v>1622</v>
      </c>
      <c r="AD48" s="193" t="s">
        <v>1622</v>
      </c>
      <c r="AE48" s="193" t="s">
        <v>1622</v>
      </c>
      <c r="AF48" s="193" t="s">
        <v>1622</v>
      </c>
      <c r="AG48" s="193" t="s">
        <v>1622</v>
      </c>
      <c r="AH48" s="193" t="s">
        <v>1622</v>
      </c>
      <c r="AI48" s="193" t="s">
        <v>1622</v>
      </c>
      <c r="AJ48" s="193" t="s">
        <v>1622</v>
      </c>
      <c r="AK48" s="193" t="s">
        <v>1622</v>
      </c>
      <c r="AL48" s="193" t="s">
        <v>1622</v>
      </c>
      <c r="AM48" s="193" t="s">
        <v>1622</v>
      </c>
      <c r="AN48" s="193" t="s">
        <v>1622</v>
      </c>
      <c r="AO48" s="193" t="s">
        <v>1622</v>
      </c>
      <c r="AP48" s="193" t="s">
        <v>1622</v>
      </c>
      <c r="AQ48" s="193" t="s">
        <v>1622</v>
      </c>
      <c r="AR48" s="193" t="s">
        <v>1622</v>
      </c>
      <c r="AS48" s="193" t="s">
        <v>1622</v>
      </c>
      <c r="AT48" s="193" t="s">
        <v>1622</v>
      </c>
      <c r="AU48" s="193" t="s">
        <v>1622</v>
      </c>
      <c r="AV48" s="193" t="s">
        <v>1622</v>
      </c>
      <c r="AW48" s="193" t="s">
        <v>1622</v>
      </c>
      <c r="AX48" s="193" t="s">
        <v>1622</v>
      </c>
      <c r="AY48" s="193" t="s">
        <v>1622</v>
      </c>
      <c r="AZ48" s="193" t="s">
        <v>1622</v>
      </c>
      <c r="BA48" s="193" t="s">
        <v>1622</v>
      </c>
      <c r="BB48" s="193" t="s">
        <v>1622</v>
      </c>
      <c r="BC48" s="193" t="s">
        <v>1622</v>
      </c>
      <c r="BD48" s="193" t="s">
        <v>1622</v>
      </c>
      <c r="BE48" s="193" t="s">
        <v>1622</v>
      </c>
      <c r="BF48" s="193" t="s">
        <v>1622</v>
      </c>
      <c r="BG48" s="193" t="s">
        <v>1622</v>
      </c>
      <c r="BH48" s="193" t="s">
        <v>1622</v>
      </c>
      <c r="BI48" s="193" t="s">
        <v>1622</v>
      </c>
      <c r="BJ48" s="193" t="s">
        <v>1622</v>
      </c>
      <c r="BK48" s="193" t="s">
        <v>1622</v>
      </c>
      <c r="BL48" s="193" t="s">
        <v>1622</v>
      </c>
      <c r="BM48" s="193" t="s">
        <v>1622</v>
      </c>
      <c r="BN48" s="193" t="s">
        <v>1622</v>
      </c>
      <c r="BO48" s="193" t="s">
        <v>1622</v>
      </c>
      <c r="BP48" s="193" t="s">
        <v>1622</v>
      </c>
      <c r="BQ48" s="193" t="s">
        <v>1622</v>
      </c>
      <c r="BR48" s="193" t="s">
        <v>1622</v>
      </c>
      <c r="BS48" s="193" t="s">
        <v>1622</v>
      </c>
      <c r="BT48" s="193" t="s">
        <v>1622</v>
      </c>
      <c r="BU48" s="193" t="s">
        <v>1622</v>
      </c>
      <c r="BV48" s="193" t="s">
        <v>1622</v>
      </c>
      <c r="BW48" s="193" t="s">
        <v>1622</v>
      </c>
      <c r="BX48" s="193" t="s">
        <v>1622</v>
      </c>
      <c r="BY48" s="193" t="s">
        <v>1622</v>
      </c>
      <c r="BZ48" s="193" t="s">
        <v>1622</v>
      </c>
      <c r="CA48" s="193" t="s">
        <v>1622</v>
      </c>
      <c r="CB48" s="193" t="s">
        <v>1622</v>
      </c>
      <c r="CC48" s="193" t="s">
        <v>1622</v>
      </c>
      <c r="CD48" s="193" t="s">
        <v>1622</v>
      </c>
      <c r="CE48" s="193" t="s">
        <v>1622</v>
      </c>
      <c r="CF48" s="193" t="s">
        <v>1622</v>
      </c>
      <c r="CG48" s="193" t="s">
        <v>1622</v>
      </c>
      <c r="CH48" s="193" t="s">
        <v>1622</v>
      </c>
      <c r="CI48" s="193" t="s">
        <v>1622</v>
      </c>
      <c r="CJ48" s="193" t="s">
        <v>1622</v>
      </c>
      <c r="CK48" s="193" t="s">
        <v>1622</v>
      </c>
      <c r="CL48" s="193" t="s">
        <v>1622</v>
      </c>
      <c r="CM48" s="193" t="s">
        <v>1622</v>
      </c>
      <c r="CN48" s="193" t="s">
        <v>1622</v>
      </c>
      <c r="CO48" s="193" t="s">
        <v>1622</v>
      </c>
      <c r="CP48" s="193" t="s">
        <v>1622</v>
      </c>
      <c r="CQ48" s="193" t="s">
        <v>1622</v>
      </c>
      <c r="CR48" s="193" t="s">
        <v>1622</v>
      </c>
      <c r="CS48" s="193" t="s">
        <v>1622</v>
      </c>
      <c r="CT48" s="193" t="s">
        <v>1622</v>
      </c>
      <c r="CU48" s="193" t="s">
        <v>1622</v>
      </c>
      <c r="CV48" s="193" t="s">
        <v>1622</v>
      </c>
      <c r="CW48" s="193" t="s">
        <v>1622</v>
      </c>
      <c r="CX48" s="193" t="s">
        <v>1622</v>
      </c>
      <c r="CY48" s="193" t="s">
        <v>1622</v>
      </c>
      <c r="CZ48" s="193" t="s">
        <v>1622</v>
      </c>
      <c r="DA48" s="193" t="s">
        <v>1622</v>
      </c>
      <c r="DB48" s="193" t="s">
        <v>1622</v>
      </c>
      <c r="DC48" s="193" t="s">
        <v>1622</v>
      </c>
      <c r="DD48" s="193" t="s">
        <v>1622</v>
      </c>
      <c r="DE48" s="193" t="s">
        <v>1622</v>
      </c>
      <c r="DF48" s="193" t="s">
        <v>1622</v>
      </c>
      <c r="DG48" s="193" t="s">
        <v>1622</v>
      </c>
      <c r="DH48" s="193" t="s">
        <v>1622</v>
      </c>
      <c r="DI48" s="193" t="s">
        <v>1622</v>
      </c>
      <c r="DJ48" s="193" t="s">
        <v>1622</v>
      </c>
      <c r="DK48" s="193" t="s">
        <v>1622</v>
      </c>
      <c r="DL48" s="193" t="s">
        <v>1622</v>
      </c>
      <c r="DM48" s="193" t="s">
        <v>1622</v>
      </c>
      <c r="DN48" s="193" t="s">
        <v>1622</v>
      </c>
      <c r="DO48" s="193" t="s">
        <v>1622</v>
      </c>
      <c r="DP48" s="193" t="s">
        <v>1622</v>
      </c>
      <c r="DQ48" s="193" t="s">
        <v>1622</v>
      </c>
      <c r="DR48" s="193" t="s">
        <v>1622</v>
      </c>
      <c r="DS48" s="193" t="s">
        <v>1622</v>
      </c>
      <c r="DT48" s="193" t="s">
        <v>1622</v>
      </c>
      <c r="DU48" s="193" t="s">
        <v>1622</v>
      </c>
      <c r="DV48" s="193" t="s">
        <v>1622</v>
      </c>
      <c r="DW48" s="193" t="s">
        <v>1622</v>
      </c>
      <c r="DX48" s="193" t="s">
        <v>1622</v>
      </c>
      <c r="DY48" s="193" t="s">
        <v>1622</v>
      </c>
      <c r="DZ48" s="193" t="s">
        <v>1622</v>
      </c>
      <c r="EA48" s="193" t="s">
        <v>1622</v>
      </c>
      <c r="EB48" s="193" t="s">
        <v>1622</v>
      </c>
      <c r="EC48" s="193" t="s">
        <v>1622</v>
      </c>
      <c r="ED48" s="193" t="s">
        <v>1622</v>
      </c>
      <c r="EE48" s="193" t="s">
        <v>1622</v>
      </c>
      <c r="EF48" s="193" t="s">
        <v>1622</v>
      </c>
      <c r="EG48" s="193" t="s">
        <v>1622</v>
      </c>
      <c r="EH48" s="193" t="s">
        <v>1622</v>
      </c>
      <c r="EI48" s="193" t="s">
        <v>1622</v>
      </c>
      <c r="EJ48" s="193" t="s">
        <v>1622</v>
      </c>
      <c r="EK48" s="193" t="s">
        <v>1622</v>
      </c>
      <c r="EL48" s="193" t="s">
        <v>1622</v>
      </c>
      <c r="EM48" s="193" t="s">
        <v>1622</v>
      </c>
      <c r="EN48" s="193" t="s">
        <v>1622</v>
      </c>
      <c r="EO48" s="193" t="s">
        <v>1622</v>
      </c>
      <c r="EP48" s="193" t="s">
        <v>1622</v>
      </c>
      <c r="EQ48" s="193" t="s">
        <v>1622</v>
      </c>
      <c r="ER48" s="193" t="s">
        <v>1622</v>
      </c>
      <c r="ES48" s="193" t="s">
        <v>1622</v>
      </c>
      <c r="ET48" s="193" t="s">
        <v>1622</v>
      </c>
      <c r="EU48" s="193" t="s">
        <v>1622</v>
      </c>
      <c r="EV48" s="193" t="s">
        <v>1622</v>
      </c>
      <c r="EW48" s="193" t="s">
        <v>1622</v>
      </c>
      <c r="EX48" s="193" t="s">
        <v>1622</v>
      </c>
      <c r="EY48" s="193" t="s">
        <v>1622</v>
      </c>
      <c r="EZ48" s="193" t="s">
        <v>1622</v>
      </c>
      <c r="FA48" s="193" t="s">
        <v>1622</v>
      </c>
      <c r="FB48" s="193" t="s">
        <v>1622</v>
      </c>
      <c r="FC48" s="193" t="s">
        <v>1622</v>
      </c>
      <c r="FD48" s="193" t="s">
        <v>1622</v>
      </c>
      <c r="FE48" s="193" t="s">
        <v>1622</v>
      </c>
      <c r="FF48" s="193" t="s">
        <v>1622</v>
      </c>
      <c r="FG48" s="193" t="s">
        <v>1622</v>
      </c>
      <c r="FH48" s="193" t="s">
        <v>1622</v>
      </c>
      <c r="FI48" s="193" t="s">
        <v>1622</v>
      </c>
      <c r="FJ48" s="193" t="s">
        <v>1622</v>
      </c>
      <c r="FK48" s="193" t="s">
        <v>1622</v>
      </c>
      <c r="FL48" s="193" t="s">
        <v>1622</v>
      </c>
      <c r="FM48" s="193" t="s">
        <v>1622</v>
      </c>
      <c r="FN48" s="193" t="s">
        <v>1622</v>
      </c>
      <c r="FO48" s="193" t="s">
        <v>1622</v>
      </c>
      <c r="FP48" s="193" t="s">
        <v>1622</v>
      </c>
      <c r="FQ48" s="193" t="s">
        <v>1622</v>
      </c>
      <c r="FR48" s="193" t="s">
        <v>1622</v>
      </c>
      <c r="FS48" s="193" t="s">
        <v>1622</v>
      </c>
      <c r="FT48" s="193" t="s">
        <v>1622</v>
      </c>
      <c r="FU48" s="193" t="s">
        <v>1622</v>
      </c>
      <c r="FV48" s="193" t="s">
        <v>1622</v>
      </c>
      <c r="FW48" s="193" t="s">
        <v>1622</v>
      </c>
      <c r="FX48" s="193" t="s">
        <v>1622</v>
      </c>
      <c r="FY48" s="193" t="s">
        <v>1622</v>
      </c>
      <c r="FZ48" s="193" t="s">
        <v>1622</v>
      </c>
      <c r="GA48" s="193" t="s">
        <v>1622</v>
      </c>
      <c r="GB48" s="193" t="s">
        <v>1622</v>
      </c>
      <c r="GC48" s="193" t="s">
        <v>1622</v>
      </c>
      <c r="GD48" s="193" t="s">
        <v>1622</v>
      </c>
      <c r="GE48" s="193" t="s">
        <v>1622</v>
      </c>
      <c r="GF48" s="193" t="s">
        <v>1622</v>
      </c>
      <c r="GG48" s="193" t="s">
        <v>1622</v>
      </c>
      <c r="GH48" s="193" t="s">
        <v>1622</v>
      </c>
      <c r="GI48" s="193" t="s">
        <v>1622</v>
      </c>
      <c r="GJ48" s="193" t="s">
        <v>1622</v>
      </c>
      <c r="GK48" s="193" t="s">
        <v>1622</v>
      </c>
      <c r="GL48" s="193" t="s">
        <v>1622</v>
      </c>
      <c r="GM48" s="193" t="s">
        <v>1622</v>
      </c>
      <c r="GN48" s="193" t="s">
        <v>1622</v>
      </c>
      <c r="GO48" s="193" t="s">
        <v>1622</v>
      </c>
      <c r="GP48" s="193" t="s">
        <v>1622</v>
      </c>
      <c r="GQ48" s="193" t="s">
        <v>1622</v>
      </c>
      <c r="GR48" s="193" t="s">
        <v>1622</v>
      </c>
      <c r="GS48" s="193" t="s">
        <v>1622</v>
      </c>
      <c r="GT48" s="193" t="s">
        <v>1622</v>
      </c>
      <c r="GU48" s="193" t="s">
        <v>1622</v>
      </c>
      <c r="GV48" s="193" t="s">
        <v>1622</v>
      </c>
      <c r="GW48" s="193" t="s">
        <v>1622</v>
      </c>
      <c r="GX48" s="193" t="s">
        <v>1622</v>
      </c>
      <c r="GY48" s="193" t="s">
        <v>1622</v>
      </c>
      <c r="GZ48" s="193" t="s">
        <v>1622</v>
      </c>
      <c r="HA48" s="193" t="s">
        <v>1622</v>
      </c>
      <c r="HB48" s="193" t="s">
        <v>1622</v>
      </c>
      <c r="HC48" s="193" t="s">
        <v>1622</v>
      </c>
      <c r="HD48" s="193" t="s">
        <v>1622</v>
      </c>
      <c r="HE48" s="193" t="s">
        <v>1622</v>
      </c>
      <c r="HF48" s="193" t="s">
        <v>1622</v>
      </c>
      <c r="HG48" s="193" t="s">
        <v>1622</v>
      </c>
      <c r="HH48" s="193" t="s">
        <v>1622</v>
      </c>
      <c r="HI48" s="193" t="s">
        <v>1622</v>
      </c>
      <c r="HJ48" s="193" t="s">
        <v>1622</v>
      </c>
      <c r="HK48" s="193" t="s">
        <v>1622</v>
      </c>
      <c r="HL48" s="193" t="s">
        <v>1622</v>
      </c>
      <c r="HM48" s="193" t="s">
        <v>1622</v>
      </c>
      <c r="HN48" s="193" t="s">
        <v>1622</v>
      </c>
      <c r="HO48" s="193" t="s">
        <v>1622</v>
      </c>
      <c r="HP48" s="193" t="s">
        <v>1622</v>
      </c>
      <c r="HQ48" s="193" t="s">
        <v>1622</v>
      </c>
      <c r="HR48" s="193" t="s">
        <v>1622</v>
      </c>
      <c r="HS48" s="193" t="s">
        <v>1622</v>
      </c>
      <c r="HT48" s="193" t="s">
        <v>1622</v>
      </c>
      <c r="HU48" s="193" t="s">
        <v>1622</v>
      </c>
      <c r="HV48" s="193" t="s">
        <v>1622</v>
      </c>
      <c r="HW48" s="193" t="s">
        <v>1622</v>
      </c>
      <c r="HX48" s="193" t="s">
        <v>1622</v>
      </c>
      <c r="HY48" s="193" t="s">
        <v>1622</v>
      </c>
    </row>
    <row r="50" spans="1:233">
      <c r="A50" s="219" t="s">
        <v>218</v>
      </c>
      <c r="D50" s="220" t="s">
        <v>766</v>
      </c>
      <c r="E50" s="220" t="s">
        <v>766</v>
      </c>
      <c r="F50" s="220" t="s">
        <v>766</v>
      </c>
      <c r="G50" s="220" t="s">
        <v>766</v>
      </c>
      <c r="H50" s="220" t="s">
        <v>766</v>
      </c>
      <c r="I50" s="220" t="s">
        <v>766</v>
      </c>
      <c r="J50" s="220" t="s">
        <v>766</v>
      </c>
      <c r="K50" s="220" t="s">
        <v>766</v>
      </c>
      <c r="L50" s="220" t="s">
        <v>766</v>
      </c>
      <c r="M50" s="220" t="s">
        <v>766</v>
      </c>
      <c r="N50" s="220" t="s">
        <v>766</v>
      </c>
      <c r="O50" s="220" t="s">
        <v>766</v>
      </c>
      <c r="P50" s="220" t="s">
        <v>766</v>
      </c>
      <c r="Q50" s="220" t="s">
        <v>766</v>
      </c>
      <c r="R50" s="220" t="s">
        <v>766</v>
      </c>
      <c r="S50" s="220" t="s">
        <v>766</v>
      </c>
      <c r="T50" s="220" t="s">
        <v>766</v>
      </c>
      <c r="U50" s="220" t="s">
        <v>766</v>
      </c>
      <c r="V50" s="220" t="s">
        <v>766</v>
      </c>
      <c r="W50" s="220" t="s">
        <v>766</v>
      </c>
      <c r="X50" s="220" t="s">
        <v>766</v>
      </c>
      <c r="Y50" s="220" t="s">
        <v>766</v>
      </c>
      <c r="Z50" s="220" t="s">
        <v>766</v>
      </c>
      <c r="AA50" s="220" t="s">
        <v>766</v>
      </c>
      <c r="AB50" s="220" t="s">
        <v>766</v>
      </c>
      <c r="AC50" s="220" t="s">
        <v>766</v>
      </c>
      <c r="AD50" s="220" t="s">
        <v>766</v>
      </c>
      <c r="AE50" s="220" t="s">
        <v>766</v>
      </c>
      <c r="AF50" s="220" t="s">
        <v>766</v>
      </c>
      <c r="AG50" s="220" t="s">
        <v>766</v>
      </c>
      <c r="AH50" s="220" t="s">
        <v>766</v>
      </c>
      <c r="AI50" s="220" t="s">
        <v>766</v>
      </c>
      <c r="AJ50" s="220" t="s">
        <v>766</v>
      </c>
      <c r="AK50" s="220" t="s">
        <v>766</v>
      </c>
      <c r="AL50" s="220" t="s">
        <v>766</v>
      </c>
      <c r="AM50" s="220" t="s">
        <v>766</v>
      </c>
      <c r="AN50" s="220" t="s">
        <v>766</v>
      </c>
      <c r="AO50" s="220" t="s">
        <v>766</v>
      </c>
      <c r="AP50" s="220" t="s">
        <v>766</v>
      </c>
      <c r="AQ50" s="220" t="s">
        <v>766</v>
      </c>
      <c r="AR50" s="220" t="s">
        <v>766</v>
      </c>
      <c r="AS50" s="220" t="s">
        <v>766</v>
      </c>
      <c r="AT50" s="220" t="s">
        <v>766</v>
      </c>
      <c r="AU50" s="220" t="s">
        <v>766</v>
      </c>
      <c r="AV50" s="220" t="s">
        <v>766</v>
      </c>
      <c r="AW50" s="220" t="s">
        <v>766</v>
      </c>
      <c r="AX50" s="220" t="s">
        <v>766</v>
      </c>
      <c r="AY50" s="220" t="s">
        <v>766</v>
      </c>
      <c r="AZ50" s="220" t="s">
        <v>766</v>
      </c>
      <c r="BA50" s="220" t="s">
        <v>766</v>
      </c>
      <c r="BB50" s="220" t="s">
        <v>766</v>
      </c>
      <c r="BC50" s="220" t="s">
        <v>766</v>
      </c>
      <c r="BD50" s="220" t="s">
        <v>766</v>
      </c>
      <c r="BE50" s="220" t="s">
        <v>766</v>
      </c>
      <c r="BF50" s="220" t="s">
        <v>766</v>
      </c>
      <c r="BG50" s="220" t="s">
        <v>766</v>
      </c>
      <c r="BH50" s="220" t="s">
        <v>766</v>
      </c>
      <c r="BI50" s="220" t="s">
        <v>766</v>
      </c>
      <c r="BJ50" s="220" t="s">
        <v>766</v>
      </c>
      <c r="BK50" s="220" t="s">
        <v>766</v>
      </c>
      <c r="BL50" s="220" t="s">
        <v>766</v>
      </c>
      <c r="BM50" s="220" t="s">
        <v>766</v>
      </c>
      <c r="BN50" s="220" t="s">
        <v>766</v>
      </c>
      <c r="BO50" s="220" t="s">
        <v>766</v>
      </c>
      <c r="BP50" s="220" t="s">
        <v>766</v>
      </c>
      <c r="BQ50" s="220" t="s">
        <v>766</v>
      </c>
      <c r="BR50" s="220" t="s">
        <v>766</v>
      </c>
      <c r="BS50" s="220" t="s">
        <v>766</v>
      </c>
      <c r="BT50" s="220" t="s">
        <v>766</v>
      </c>
      <c r="BU50" s="220" t="s">
        <v>766</v>
      </c>
      <c r="BV50" s="220" t="s">
        <v>766</v>
      </c>
      <c r="BW50" s="220" t="s">
        <v>766</v>
      </c>
      <c r="BX50" s="220" t="s">
        <v>766</v>
      </c>
      <c r="BY50" s="220" t="s">
        <v>766</v>
      </c>
      <c r="BZ50" s="220" t="s">
        <v>766</v>
      </c>
      <c r="CA50" s="220" t="s">
        <v>766</v>
      </c>
      <c r="CB50" s="220" t="s">
        <v>766</v>
      </c>
      <c r="CC50" s="220" t="s">
        <v>766</v>
      </c>
      <c r="CD50" s="220" t="s">
        <v>766</v>
      </c>
      <c r="CE50" s="220" t="s">
        <v>766</v>
      </c>
      <c r="CF50" s="220" t="s">
        <v>766</v>
      </c>
      <c r="CG50" s="220" t="s">
        <v>766</v>
      </c>
      <c r="CH50" s="220" t="s">
        <v>766</v>
      </c>
      <c r="CI50" s="220" t="s">
        <v>766</v>
      </c>
      <c r="CJ50" s="220" t="s">
        <v>766</v>
      </c>
      <c r="CK50" s="220" t="s">
        <v>766</v>
      </c>
      <c r="CL50" s="220" t="s">
        <v>766</v>
      </c>
      <c r="CM50" s="220" t="s">
        <v>766</v>
      </c>
      <c r="CN50" s="220" t="s">
        <v>766</v>
      </c>
      <c r="CO50" s="220" t="s">
        <v>766</v>
      </c>
      <c r="CP50" s="220" t="s">
        <v>766</v>
      </c>
      <c r="CQ50" s="220" t="s">
        <v>766</v>
      </c>
      <c r="CR50" s="220" t="s">
        <v>766</v>
      </c>
      <c r="CS50" s="220" t="s">
        <v>766</v>
      </c>
      <c r="CT50" s="220" t="s">
        <v>766</v>
      </c>
      <c r="CU50" s="220" t="s">
        <v>766</v>
      </c>
      <c r="CV50" s="220" t="s">
        <v>766</v>
      </c>
      <c r="CW50" s="220" t="s">
        <v>766</v>
      </c>
      <c r="CX50" s="220" t="s">
        <v>766</v>
      </c>
      <c r="CY50" s="220" t="s">
        <v>766</v>
      </c>
      <c r="CZ50" s="220" t="s">
        <v>766</v>
      </c>
      <c r="DA50" s="220" t="s">
        <v>766</v>
      </c>
      <c r="DB50" s="220" t="s">
        <v>766</v>
      </c>
      <c r="DC50" s="220" t="s">
        <v>766</v>
      </c>
      <c r="DD50" s="220" t="s">
        <v>766</v>
      </c>
      <c r="DE50" s="220" t="s">
        <v>766</v>
      </c>
      <c r="DF50" s="220" t="s">
        <v>766</v>
      </c>
      <c r="DG50" s="220" t="s">
        <v>766</v>
      </c>
      <c r="DH50" s="220" t="s">
        <v>766</v>
      </c>
      <c r="DI50" s="220" t="s">
        <v>766</v>
      </c>
      <c r="DJ50" s="220" t="s">
        <v>766</v>
      </c>
      <c r="DK50" s="220" t="s">
        <v>766</v>
      </c>
      <c r="DL50" s="220" t="s">
        <v>766</v>
      </c>
      <c r="DM50" s="220" t="s">
        <v>766</v>
      </c>
      <c r="DN50" s="220" t="s">
        <v>766</v>
      </c>
      <c r="DO50" s="220" t="s">
        <v>766</v>
      </c>
      <c r="DP50" s="220" t="s">
        <v>766</v>
      </c>
      <c r="DQ50" s="220" t="s">
        <v>766</v>
      </c>
      <c r="DR50" s="220" t="s">
        <v>766</v>
      </c>
      <c r="DS50" s="220" t="s">
        <v>766</v>
      </c>
      <c r="DT50" s="220" t="s">
        <v>766</v>
      </c>
      <c r="DU50" s="220" t="s">
        <v>766</v>
      </c>
      <c r="DV50" s="220" t="s">
        <v>766</v>
      </c>
      <c r="DW50" s="220" t="s">
        <v>766</v>
      </c>
      <c r="DX50" s="220" t="s">
        <v>766</v>
      </c>
      <c r="DY50" s="220" t="s">
        <v>766</v>
      </c>
      <c r="DZ50" s="220" t="s">
        <v>766</v>
      </c>
      <c r="EA50" s="220" t="s">
        <v>766</v>
      </c>
      <c r="EB50" s="220" t="s">
        <v>766</v>
      </c>
      <c r="EC50" s="220" t="s">
        <v>766</v>
      </c>
      <c r="ED50" s="220" t="s">
        <v>766</v>
      </c>
      <c r="EE50" s="220" t="s">
        <v>766</v>
      </c>
      <c r="EF50" s="220" t="s">
        <v>766</v>
      </c>
      <c r="EG50" s="220" t="s">
        <v>766</v>
      </c>
      <c r="EH50" s="220" t="s">
        <v>766</v>
      </c>
      <c r="EI50" s="220" t="s">
        <v>766</v>
      </c>
      <c r="EJ50" s="220" t="s">
        <v>766</v>
      </c>
      <c r="EK50" s="220" t="s">
        <v>766</v>
      </c>
      <c r="EL50" s="220" t="s">
        <v>766</v>
      </c>
      <c r="EM50" s="220" t="s">
        <v>766</v>
      </c>
      <c r="EN50" s="220" t="s">
        <v>766</v>
      </c>
      <c r="EO50" s="220" t="s">
        <v>766</v>
      </c>
      <c r="EP50" s="220" t="s">
        <v>766</v>
      </c>
      <c r="EQ50" s="220" t="s">
        <v>766</v>
      </c>
      <c r="ER50" s="220" t="s">
        <v>766</v>
      </c>
      <c r="ES50" s="220" t="s">
        <v>766</v>
      </c>
      <c r="ET50" s="220" t="s">
        <v>766</v>
      </c>
      <c r="EU50" s="220" t="s">
        <v>766</v>
      </c>
      <c r="EV50" s="220" t="s">
        <v>766</v>
      </c>
      <c r="EW50" s="220" t="s">
        <v>766</v>
      </c>
      <c r="EX50" s="220" t="s">
        <v>766</v>
      </c>
      <c r="EY50" s="220" t="s">
        <v>766</v>
      </c>
      <c r="EZ50" s="220" t="s">
        <v>766</v>
      </c>
      <c r="FA50" s="220" t="s">
        <v>766</v>
      </c>
      <c r="FB50" s="220" t="s">
        <v>766</v>
      </c>
      <c r="FC50" s="220" t="s">
        <v>766</v>
      </c>
      <c r="FD50" s="220" t="s">
        <v>766</v>
      </c>
      <c r="FE50" s="220" t="s">
        <v>766</v>
      </c>
      <c r="FF50" s="220" t="s">
        <v>766</v>
      </c>
      <c r="FG50" s="220" t="s">
        <v>766</v>
      </c>
      <c r="FH50" s="220" t="s">
        <v>766</v>
      </c>
      <c r="FI50" s="220" t="s">
        <v>766</v>
      </c>
      <c r="FJ50" s="220" t="s">
        <v>766</v>
      </c>
      <c r="FK50" s="220" t="s">
        <v>766</v>
      </c>
      <c r="FL50" s="220" t="s">
        <v>766</v>
      </c>
      <c r="FM50" s="220" t="s">
        <v>766</v>
      </c>
      <c r="FN50" s="220" t="s">
        <v>766</v>
      </c>
      <c r="FO50" s="220" t="s">
        <v>766</v>
      </c>
      <c r="FP50" s="220" t="s">
        <v>766</v>
      </c>
      <c r="FQ50" s="220" t="s">
        <v>766</v>
      </c>
      <c r="FR50" s="220" t="s">
        <v>766</v>
      </c>
      <c r="FS50" s="220" t="s">
        <v>766</v>
      </c>
      <c r="FT50" s="220" t="s">
        <v>766</v>
      </c>
      <c r="FU50" s="220" t="s">
        <v>766</v>
      </c>
      <c r="FV50" s="220" t="s">
        <v>766</v>
      </c>
      <c r="FW50" s="220" t="s">
        <v>766</v>
      </c>
      <c r="FX50" s="220" t="s">
        <v>766</v>
      </c>
      <c r="FY50" s="220" t="s">
        <v>766</v>
      </c>
      <c r="FZ50" s="220" t="s">
        <v>766</v>
      </c>
      <c r="GA50" s="220" t="s">
        <v>766</v>
      </c>
      <c r="GB50" s="220" t="s">
        <v>766</v>
      </c>
      <c r="GC50" s="220" t="s">
        <v>766</v>
      </c>
      <c r="GD50" s="220" t="s">
        <v>766</v>
      </c>
      <c r="GE50" s="220" t="s">
        <v>766</v>
      </c>
      <c r="GF50" s="220" t="s">
        <v>766</v>
      </c>
      <c r="GG50" s="220" t="s">
        <v>766</v>
      </c>
      <c r="GH50" s="220" t="s">
        <v>766</v>
      </c>
      <c r="GI50" s="220" t="s">
        <v>766</v>
      </c>
      <c r="GJ50" s="220" t="s">
        <v>766</v>
      </c>
      <c r="GK50" s="220" t="s">
        <v>766</v>
      </c>
      <c r="GL50" s="220" t="s">
        <v>766</v>
      </c>
      <c r="GM50" s="220" t="s">
        <v>766</v>
      </c>
      <c r="GN50" s="220" t="s">
        <v>766</v>
      </c>
      <c r="GO50" s="220" t="s">
        <v>766</v>
      </c>
      <c r="GP50" s="220" t="s">
        <v>766</v>
      </c>
      <c r="GQ50" s="220" t="s">
        <v>766</v>
      </c>
      <c r="GR50" s="220" t="s">
        <v>766</v>
      </c>
      <c r="GS50" s="220" t="s">
        <v>766</v>
      </c>
      <c r="GT50" s="220" t="s">
        <v>766</v>
      </c>
      <c r="GU50" s="220" t="s">
        <v>766</v>
      </c>
      <c r="GV50" s="220" t="s">
        <v>766</v>
      </c>
      <c r="GW50" s="220" t="s">
        <v>766</v>
      </c>
      <c r="GX50" s="220" t="s">
        <v>766</v>
      </c>
      <c r="GY50" s="220" t="s">
        <v>766</v>
      </c>
      <c r="GZ50" s="220" t="s">
        <v>766</v>
      </c>
      <c r="HA50" s="220" t="s">
        <v>766</v>
      </c>
      <c r="HB50" s="220" t="s">
        <v>766</v>
      </c>
      <c r="HC50" s="220" t="s">
        <v>766</v>
      </c>
      <c r="HD50" s="220" t="s">
        <v>766</v>
      </c>
      <c r="HE50" s="220" t="s">
        <v>766</v>
      </c>
      <c r="HF50" s="220" t="s">
        <v>766</v>
      </c>
      <c r="HG50" s="220" t="s">
        <v>766</v>
      </c>
      <c r="HH50" s="220" t="s">
        <v>766</v>
      </c>
      <c r="HI50" s="220" t="s">
        <v>766</v>
      </c>
      <c r="HJ50" s="220" t="s">
        <v>766</v>
      </c>
      <c r="HK50" s="220" t="s">
        <v>766</v>
      </c>
      <c r="HL50" s="220" t="s">
        <v>766</v>
      </c>
      <c r="HM50" s="220" t="s">
        <v>766</v>
      </c>
      <c r="HN50" s="220" t="s">
        <v>766</v>
      </c>
      <c r="HO50" s="220" t="s">
        <v>766</v>
      </c>
      <c r="HP50" s="220" t="s">
        <v>766</v>
      </c>
      <c r="HQ50" s="220" t="s">
        <v>766</v>
      </c>
      <c r="HR50" s="220" t="s">
        <v>766</v>
      </c>
      <c r="HS50" s="220" t="s">
        <v>766</v>
      </c>
      <c r="HT50" s="220" t="s">
        <v>766</v>
      </c>
      <c r="HU50" s="220" t="s">
        <v>766</v>
      </c>
      <c r="HV50" s="220" t="s">
        <v>766</v>
      </c>
      <c r="HW50" s="220" t="s">
        <v>766</v>
      </c>
      <c r="HX50" s="220" t="s">
        <v>766</v>
      </c>
      <c r="HY50" s="220" t="s">
        <v>766</v>
      </c>
    </row>
    <row r="52" spans="1:233">
      <c r="I52" s="373" t="e">
        <v>#N/A</v>
      </c>
      <c r="J52" s="373" t="e">
        <v>#N/A</v>
      </c>
      <c r="K52" s="373" t="e">
        <v>#N/A</v>
      </c>
      <c r="L52" s="373" t="e">
        <v>#N/A</v>
      </c>
      <c r="M52" s="373" t="e">
        <v>#N/A</v>
      </c>
      <c r="N52" s="373" t="e">
        <v>#N/A</v>
      </c>
      <c r="O52" s="250"/>
      <c r="P52" s="250"/>
      <c r="CP52" s="250"/>
      <c r="GZ52" s="648" t="e">
        <v>#N/A</v>
      </c>
      <c r="HA52" s="373" t="s">
        <v>1623</v>
      </c>
      <c r="HB52" s="373" t="s">
        <v>1624</v>
      </c>
      <c r="HC52" s="373" t="s">
        <v>1625</v>
      </c>
      <c r="HD52" s="373" t="s">
        <v>1626</v>
      </c>
      <c r="HE52" s="373" t="s">
        <v>1627</v>
      </c>
      <c r="HF52" s="373" t="s">
        <v>1628</v>
      </c>
      <c r="HG52" s="373" t="s">
        <v>1629</v>
      </c>
      <c r="HH52" s="373" t="s">
        <v>1630</v>
      </c>
      <c r="HI52" s="373" t="s">
        <v>1631</v>
      </c>
      <c r="HJ52" s="373" t="s">
        <v>1632</v>
      </c>
      <c r="HK52" s="373" t="s">
        <v>1633</v>
      </c>
      <c r="HL52" s="373" t="s">
        <v>1625</v>
      </c>
      <c r="HM52" s="373" t="s">
        <v>1634</v>
      </c>
      <c r="HN52" s="373" t="s">
        <v>1635</v>
      </c>
      <c r="HO52" s="373" t="s">
        <v>1636</v>
      </c>
      <c r="HP52" s="373" t="s">
        <v>1637</v>
      </c>
      <c r="HQ52" s="373" t="s">
        <v>1638</v>
      </c>
      <c r="HR52" s="373" t="s">
        <v>1639</v>
      </c>
      <c r="HS52" s="373" t="s">
        <v>1640</v>
      </c>
      <c r="HT52" s="373" t="s">
        <v>1641</v>
      </c>
      <c r="HU52" s="373" t="s">
        <v>1642</v>
      </c>
      <c r="HV52" s="373" t="s">
        <v>1643</v>
      </c>
      <c r="HW52" s="373" t="s">
        <v>1644</v>
      </c>
      <c r="HX52" s="373" t="s">
        <v>1645</v>
      </c>
      <c r="HY52" s="373" t="s">
        <v>1646</v>
      </c>
    </row>
    <row r="53" spans="1:233">
      <c r="I53" s="371" t="e">
        <v>#N/A</v>
      </c>
      <c r="J53" s="371" t="e">
        <v>#N/A</v>
      </c>
      <c r="K53" s="371" t="e">
        <v>#N/A</v>
      </c>
      <c r="L53" s="371" t="e">
        <v>#N/A</v>
      </c>
      <c r="M53" s="371" t="e">
        <v>#N/A</v>
      </c>
      <c r="N53" s="371" t="e">
        <v>#N/A</v>
      </c>
      <c r="O53" s="250"/>
      <c r="P53" s="250"/>
      <c r="CP53" s="250"/>
      <c r="GZ53" s="649" t="e">
        <v>#N/A</v>
      </c>
      <c r="HA53" s="371" t="s">
        <v>1647</v>
      </c>
      <c r="HB53" s="371" t="s">
        <v>1648</v>
      </c>
      <c r="HC53" s="371" t="s">
        <v>1649</v>
      </c>
      <c r="HD53" s="371" t="s">
        <v>1650</v>
      </c>
      <c r="HE53" s="371" t="s">
        <v>1651</v>
      </c>
      <c r="HF53" s="371" t="s">
        <v>1652</v>
      </c>
      <c r="HG53" s="371" t="s">
        <v>1653</v>
      </c>
      <c r="HH53" s="371" t="s">
        <v>1654</v>
      </c>
      <c r="HI53" s="371" t="s">
        <v>1655</v>
      </c>
      <c r="HJ53" s="371" t="s">
        <v>1656</v>
      </c>
      <c r="HK53" s="371" t="s">
        <v>1657</v>
      </c>
      <c r="HL53" s="371" t="s">
        <v>1658</v>
      </c>
      <c r="HM53" s="371" t="s">
        <v>1659</v>
      </c>
      <c r="HN53" s="371" t="s">
        <v>1660</v>
      </c>
      <c r="HO53" s="371" t="s">
        <v>1661</v>
      </c>
      <c r="HP53" s="371" t="s">
        <v>1662</v>
      </c>
      <c r="HQ53" s="371" t="s">
        <v>1663</v>
      </c>
      <c r="HR53" s="371" t="s">
        <v>1664</v>
      </c>
      <c r="HS53" s="371" t="s">
        <v>1665</v>
      </c>
      <c r="HT53" s="371" t="s">
        <v>1666</v>
      </c>
      <c r="HU53" s="371" t="s">
        <v>1667</v>
      </c>
      <c r="HV53" s="371" t="s">
        <v>1668</v>
      </c>
      <c r="HW53" s="371" t="s">
        <v>1669</v>
      </c>
      <c r="HX53" s="371" t="s">
        <v>1666</v>
      </c>
      <c r="HY53" s="371" t="s">
        <v>1670</v>
      </c>
    </row>
    <row r="55" spans="1:233">
      <c r="HA55" s="372" t="s">
        <v>1623</v>
      </c>
      <c r="HB55" s="372" t="s">
        <v>1624</v>
      </c>
    </row>
    <row r="62" spans="1:233">
      <c r="GU62" s="422"/>
      <c r="GV62" s="422"/>
    </row>
  </sheetData>
  <phoneticPr fontId="5"/>
  <conditionalFormatting sqref="FS50:FZ50 GB50:GI50 GO50:GU50 G50:H50 T50 AQ50 AZ50 BD50 BP50 BT50 BH50 BL50 DI50 GW50:HY50 AU50:AV50 AB50:AD50 O50:P50 AH50:AI50 CI50:DG50 DK50:DY50">
    <cfRule type="cellIs" dxfId="129" priority="88" stopIfTrue="1" operator="notEqual">
      <formula>"OK"</formula>
    </cfRule>
  </conditionalFormatting>
  <conditionalFormatting sqref="D50 AE50 Q50 Y50 AN50 AR50 AW50 BA50 BM50 BQ50">
    <cfRule type="cellIs" dxfId="128" priority="87" stopIfTrue="1" operator="notEqual">
      <formula>"OK"</formula>
    </cfRule>
  </conditionalFormatting>
  <conditionalFormatting sqref="I50">
    <cfRule type="cellIs" dxfId="127" priority="85" stopIfTrue="1" operator="notEqual">
      <formula>"OK"</formula>
    </cfRule>
  </conditionalFormatting>
  <conditionalFormatting sqref="J50">
    <cfRule type="cellIs" dxfId="126" priority="84" stopIfTrue="1" operator="notEqual">
      <formula>"OK"</formula>
    </cfRule>
  </conditionalFormatting>
  <conditionalFormatting sqref="BE50 BI50">
    <cfRule type="cellIs" dxfId="125" priority="83" stopIfTrue="1" operator="notEqual">
      <formula>"OK"</formula>
    </cfRule>
  </conditionalFormatting>
  <conditionalFormatting sqref="BU50">
    <cfRule type="cellIs" dxfId="124" priority="82" stopIfTrue="1" operator="notEqual">
      <formula>"OK"</formula>
    </cfRule>
  </conditionalFormatting>
  <conditionalFormatting sqref="BV50">
    <cfRule type="cellIs" dxfId="123" priority="81" stopIfTrue="1" operator="notEqual">
      <formula>"OK"</formula>
    </cfRule>
  </conditionalFormatting>
  <conditionalFormatting sqref="BW50">
    <cfRule type="cellIs" dxfId="122" priority="80" stopIfTrue="1" operator="notEqual">
      <formula>"OK"</formula>
    </cfRule>
  </conditionalFormatting>
  <conditionalFormatting sqref="BX50">
    <cfRule type="cellIs" dxfId="121" priority="79" stopIfTrue="1" operator="notEqual">
      <formula>"OK"</formula>
    </cfRule>
  </conditionalFormatting>
  <conditionalFormatting sqref="DH50">
    <cfRule type="cellIs" dxfId="120" priority="78" stopIfTrue="1" operator="notEqual">
      <formula>"OK"</formula>
    </cfRule>
  </conditionalFormatting>
  <conditionalFormatting sqref="FN50:FQ50">
    <cfRule type="cellIs" dxfId="119" priority="77" stopIfTrue="1" operator="notEqual">
      <formula>"OK"</formula>
    </cfRule>
  </conditionalFormatting>
  <conditionalFormatting sqref="GA50">
    <cfRule type="cellIs" dxfId="118" priority="76" stopIfTrue="1" operator="notEqual">
      <formula>"OK"</formula>
    </cfRule>
  </conditionalFormatting>
  <conditionalFormatting sqref="GV50">
    <cfRule type="cellIs" dxfId="117" priority="75" stopIfTrue="1" operator="notEqual">
      <formula>"OK"</formula>
    </cfRule>
  </conditionalFormatting>
  <conditionalFormatting sqref="GJ50:GM50">
    <cfRule type="cellIs" dxfId="116" priority="74" stopIfTrue="1" operator="notEqual">
      <formula>"OK"</formula>
    </cfRule>
  </conditionalFormatting>
  <conditionalFormatting sqref="FR50">
    <cfRule type="cellIs" dxfId="115" priority="73" stopIfTrue="1" operator="notEqual">
      <formula>"OK"</formula>
    </cfRule>
  </conditionalFormatting>
  <conditionalFormatting sqref="GN50">
    <cfRule type="cellIs" dxfId="114" priority="72" stopIfTrue="1" operator="notEqual">
      <formula>"OK"</formula>
    </cfRule>
  </conditionalFormatting>
  <conditionalFormatting sqref="AJ50:AK50">
    <cfRule type="cellIs" dxfId="113" priority="70" stopIfTrue="1" operator="notEqual">
      <formula>"OK"</formula>
    </cfRule>
  </conditionalFormatting>
  <conditionalFormatting sqref="E50">
    <cfRule type="cellIs" dxfId="112" priority="69" stopIfTrue="1" operator="notEqual">
      <formula>"OK"</formula>
    </cfRule>
  </conditionalFormatting>
  <conditionalFormatting sqref="F50">
    <cfRule type="cellIs" dxfId="111" priority="68" stopIfTrue="1" operator="notEqual">
      <formula>"OK"</formula>
    </cfRule>
  </conditionalFormatting>
  <conditionalFormatting sqref="K50">
    <cfRule type="cellIs" dxfId="110" priority="67" stopIfTrue="1" operator="notEqual">
      <formula>"OK"</formula>
    </cfRule>
  </conditionalFormatting>
  <conditionalFormatting sqref="L50">
    <cfRule type="cellIs" dxfId="109" priority="66" stopIfTrue="1" operator="notEqual">
      <formula>"OK"</formula>
    </cfRule>
  </conditionalFormatting>
  <conditionalFormatting sqref="M50">
    <cfRule type="cellIs" dxfId="108" priority="65" stopIfTrue="1" operator="notEqual">
      <formula>"OK"</formula>
    </cfRule>
  </conditionalFormatting>
  <conditionalFormatting sqref="N50">
    <cfRule type="cellIs" dxfId="107" priority="64" stopIfTrue="1" operator="notEqual">
      <formula>"OK"</formula>
    </cfRule>
  </conditionalFormatting>
  <conditionalFormatting sqref="R50">
    <cfRule type="cellIs" dxfId="106" priority="63" stopIfTrue="1" operator="notEqual">
      <formula>"OK"</formula>
    </cfRule>
  </conditionalFormatting>
  <conditionalFormatting sqref="S50">
    <cfRule type="cellIs" dxfId="105" priority="62" stopIfTrue="1" operator="notEqual">
      <formula>"OK"</formula>
    </cfRule>
  </conditionalFormatting>
  <conditionalFormatting sqref="Z50">
    <cfRule type="cellIs" dxfId="104" priority="61" stopIfTrue="1" operator="notEqual">
      <formula>"OK"</formula>
    </cfRule>
  </conditionalFormatting>
  <conditionalFormatting sqref="AA50">
    <cfRule type="cellIs" dxfId="103" priority="60" stopIfTrue="1" operator="notEqual">
      <formula>"OK"</formula>
    </cfRule>
  </conditionalFormatting>
  <conditionalFormatting sqref="AG50">
    <cfRule type="cellIs" dxfId="102" priority="59" stopIfTrue="1" operator="notEqual">
      <formula>"OK"</formula>
    </cfRule>
  </conditionalFormatting>
  <conditionalFormatting sqref="AF50">
    <cfRule type="cellIs" dxfId="101" priority="58" stopIfTrue="1" operator="notEqual">
      <formula>"OK"</formula>
    </cfRule>
  </conditionalFormatting>
  <conditionalFormatting sqref="AL50">
    <cfRule type="cellIs" dxfId="100" priority="57" stopIfTrue="1" operator="notEqual">
      <formula>"OK"</formula>
    </cfRule>
  </conditionalFormatting>
  <conditionalFormatting sqref="AM50">
    <cfRule type="cellIs" dxfId="99" priority="56" stopIfTrue="1" operator="notEqual">
      <formula>"OK"</formula>
    </cfRule>
  </conditionalFormatting>
  <conditionalFormatting sqref="AO50">
    <cfRule type="cellIs" dxfId="98" priority="55" stopIfTrue="1" operator="notEqual">
      <formula>"OK"</formula>
    </cfRule>
  </conditionalFormatting>
  <conditionalFormatting sqref="AP50">
    <cfRule type="cellIs" dxfId="97" priority="54" stopIfTrue="1" operator="notEqual">
      <formula>"OK"</formula>
    </cfRule>
  </conditionalFormatting>
  <conditionalFormatting sqref="AS50">
    <cfRule type="cellIs" dxfId="96" priority="53" stopIfTrue="1" operator="notEqual">
      <formula>"OK"</formula>
    </cfRule>
  </conditionalFormatting>
  <conditionalFormatting sqref="AT50">
    <cfRule type="cellIs" dxfId="95" priority="52" stopIfTrue="1" operator="notEqual">
      <formula>"OK"</formula>
    </cfRule>
  </conditionalFormatting>
  <conditionalFormatting sqref="AX50">
    <cfRule type="cellIs" dxfId="94" priority="51" stopIfTrue="1" operator="notEqual">
      <formula>"OK"</formula>
    </cfRule>
  </conditionalFormatting>
  <conditionalFormatting sqref="AY50">
    <cfRule type="cellIs" dxfId="93" priority="50" stopIfTrue="1" operator="notEqual">
      <formula>"OK"</formula>
    </cfRule>
  </conditionalFormatting>
  <conditionalFormatting sqref="BC50">
    <cfRule type="cellIs" dxfId="92" priority="49" stopIfTrue="1" operator="notEqual">
      <formula>"OK"</formula>
    </cfRule>
  </conditionalFormatting>
  <conditionalFormatting sqref="BB50">
    <cfRule type="cellIs" dxfId="91" priority="48" stopIfTrue="1" operator="notEqual">
      <formula>"OK"</formula>
    </cfRule>
  </conditionalFormatting>
  <conditionalFormatting sqref="BF50">
    <cfRule type="cellIs" dxfId="90" priority="47" stopIfTrue="1" operator="notEqual">
      <formula>"OK"</formula>
    </cfRule>
  </conditionalFormatting>
  <conditionalFormatting sqref="BG50">
    <cfRule type="cellIs" dxfId="89" priority="46" stopIfTrue="1" operator="notEqual">
      <formula>"OK"</formula>
    </cfRule>
  </conditionalFormatting>
  <conditionalFormatting sqref="BJ50">
    <cfRule type="cellIs" dxfId="88" priority="45" stopIfTrue="1" operator="notEqual">
      <formula>"OK"</formula>
    </cfRule>
  </conditionalFormatting>
  <conditionalFormatting sqref="BK50">
    <cfRule type="cellIs" dxfId="87" priority="44" stopIfTrue="1" operator="notEqual">
      <formula>"OK"</formula>
    </cfRule>
  </conditionalFormatting>
  <conditionalFormatting sqref="BN50">
    <cfRule type="cellIs" dxfId="86" priority="43" stopIfTrue="1" operator="notEqual">
      <formula>"OK"</formula>
    </cfRule>
  </conditionalFormatting>
  <conditionalFormatting sqref="BO50">
    <cfRule type="cellIs" dxfId="85" priority="42" stopIfTrue="1" operator="notEqual">
      <formula>"OK"</formula>
    </cfRule>
  </conditionalFormatting>
  <conditionalFormatting sqref="BR50">
    <cfRule type="cellIs" dxfId="84" priority="41" stopIfTrue="1" operator="notEqual">
      <formula>"OK"</formula>
    </cfRule>
  </conditionalFormatting>
  <conditionalFormatting sqref="BS50">
    <cfRule type="cellIs" dxfId="83" priority="40" stopIfTrue="1" operator="notEqual">
      <formula>"OK"</formula>
    </cfRule>
  </conditionalFormatting>
  <conditionalFormatting sqref="CE50">
    <cfRule type="cellIs" dxfId="82" priority="39" stopIfTrue="1" operator="notEqual">
      <formula>"OK"</formula>
    </cfRule>
  </conditionalFormatting>
  <conditionalFormatting sqref="CF50">
    <cfRule type="cellIs" dxfId="81" priority="38" stopIfTrue="1" operator="notEqual">
      <formula>"OK"</formula>
    </cfRule>
  </conditionalFormatting>
  <conditionalFormatting sqref="CG50">
    <cfRule type="cellIs" dxfId="80" priority="37" stopIfTrue="1" operator="notEqual">
      <formula>"OK"</formula>
    </cfRule>
  </conditionalFormatting>
  <conditionalFormatting sqref="CH50">
    <cfRule type="cellIs" dxfId="79" priority="36" stopIfTrue="1" operator="notEqual">
      <formula>"OK"</formula>
    </cfRule>
  </conditionalFormatting>
  <conditionalFormatting sqref="CC50">
    <cfRule type="cellIs" dxfId="78" priority="35" stopIfTrue="1" operator="notEqual">
      <formula>"OK"</formula>
    </cfRule>
  </conditionalFormatting>
  <conditionalFormatting sqref="CD50">
    <cfRule type="cellIs" dxfId="77" priority="34" stopIfTrue="1" operator="notEqual">
      <formula>"OK"</formula>
    </cfRule>
  </conditionalFormatting>
  <conditionalFormatting sqref="DZ50:EA50">
    <cfRule type="cellIs" dxfId="76" priority="33" stopIfTrue="1" operator="notEqual">
      <formula>"OK"</formula>
    </cfRule>
  </conditionalFormatting>
  <conditionalFormatting sqref="EB50">
    <cfRule type="cellIs" dxfId="75" priority="32" stopIfTrue="1" operator="notEqual">
      <formula>"OK"</formula>
    </cfRule>
  </conditionalFormatting>
  <conditionalFormatting sqref="EC50:ED50">
    <cfRule type="cellIs" dxfId="74" priority="31" stopIfTrue="1" operator="notEqual">
      <formula>"OK"</formula>
    </cfRule>
  </conditionalFormatting>
  <conditionalFormatting sqref="EG50">
    <cfRule type="cellIs" dxfId="73" priority="30" stopIfTrue="1" operator="notEqual">
      <formula>"OK"</formula>
    </cfRule>
  </conditionalFormatting>
  <conditionalFormatting sqref="EE50:EF50">
    <cfRule type="cellIs" dxfId="72" priority="29" stopIfTrue="1" operator="notEqual">
      <formula>"OK"</formula>
    </cfRule>
  </conditionalFormatting>
  <conditionalFormatting sqref="EH50:EI50">
    <cfRule type="cellIs" dxfId="71" priority="28" stopIfTrue="1" operator="notEqual">
      <formula>"OK"</formula>
    </cfRule>
  </conditionalFormatting>
  <conditionalFormatting sqref="EJ50:EK50">
    <cfRule type="cellIs" dxfId="70" priority="27" stopIfTrue="1" operator="notEqual">
      <formula>"OK"</formula>
    </cfRule>
  </conditionalFormatting>
  <conditionalFormatting sqref="EL50">
    <cfRule type="cellIs" dxfId="69" priority="26" stopIfTrue="1" operator="notEqual">
      <formula>"OK"</formula>
    </cfRule>
  </conditionalFormatting>
  <conditionalFormatting sqref="EM50:EN50">
    <cfRule type="cellIs" dxfId="68" priority="25" stopIfTrue="1" operator="notEqual">
      <formula>"OK"</formula>
    </cfRule>
  </conditionalFormatting>
  <conditionalFormatting sqref="EQ50">
    <cfRule type="cellIs" dxfId="67" priority="24" stopIfTrue="1" operator="notEqual">
      <formula>"OK"</formula>
    </cfRule>
  </conditionalFormatting>
  <conditionalFormatting sqref="EO50:EP50">
    <cfRule type="cellIs" dxfId="66" priority="23" stopIfTrue="1" operator="notEqual">
      <formula>"OK"</formula>
    </cfRule>
  </conditionalFormatting>
  <conditionalFormatting sqref="ER50:ES50">
    <cfRule type="cellIs" dxfId="65" priority="22" stopIfTrue="1" operator="notEqual">
      <formula>"OK"</formula>
    </cfRule>
  </conditionalFormatting>
  <conditionalFormatting sqref="ET50:EU50">
    <cfRule type="cellIs" dxfId="64" priority="21" stopIfTrue="1" operator="notEqual">
      <formula>"OK"</formula>
    </cfRule>
  </conditionalFormatting>
  <conditionalFormatting sqref="EV50">
    <cfRule type="cellIs" dxfId="63" priority="20" stopIfTrue="1" operator="notEqual">
      <formula>"OK"</formula>
    </cfRule>
  </conditionalFormatting>
  <conditionalFormatting sqref="EW50:EX50">
    <cfRule type="cellIs" dxfId="62" priority="19" stopIfTrue="1" operator="notEqual">
      <formula>"OK"</formula>
    </cfRule>
  </conditionalFormatting>
  <conditionalFormatting sqref="FA50">
    <cfRule type="cellIs" dxfId="61" priority="18" stopIfTrue="1" operator="notEqual">
      <formula>"OK"</formula>
    </cfRule>
  </conditionalFormatting>
  <conditionalFormatting sqref="EY50:EZ50">
    <cfRule type="cellIs" dxfId="60" priority="17" stopIfTrue="1" operator="notEqual">
      <formula>"OK"</formula>
    </cfRule>
  </conditionalFormatting>
  <conditionalFormatting sqref="FB50:FC50">
    <cfRule type="cellIs" dxfId="59" priority="16" stopIfTrue="1" operator="notEqual">
      <formula>"OK"</formula>
    </cfRule>
  </conditionalFormatting>
  <conditionalFormatting sqref="FD50:FE50">
    <cfRule type="cellIs" dxfId="58" priority="15" stopIfTrue="1" operator="notEqual">
      <formula>"OK"</formula>
    </cfRule>
  </conditionalFormatting>
  <conditionalFormatting sqref="FF50">
    <cfRule type="cellIs" dxfId="57" priority="14" stopIfTrue="1" operator="notEqual">
      <formula>"OK"</formula>
    </cfRule>
  </conditionalFormatting>
  <conditionalFormatting sqref="FG50:FH50">
    <cfRule type="cellIs" dxfId="56" priority="13" stopIfTrue="1" operator="notEqual">
      <formula>"OK"</formula>
    </cfRule>
  </conditionalFormatting>
  <conditionalFormatting sqref="FK50">
    <cfRule type="cellIs" dxfId="55" priority="12" stopIfTrue="1" operator="notEqual">
      <formula>"OK"</formula>
    </cfRule>
  </conditionalFormatting>
  <conditionalFormatting sqref="FI50:FJ50">
    <cfRule type="cellIs" dxfId="54" priority="11" stopIfTrue="1" operator="notEqual">
      <formula>"OK"</formula>
    </cfRule>
  </conditionalFormatting>
  <conditionalFormatting sqref="FL50:FM50">
    <cfRule type="cellIs" dxfId="53" priority="10" stopIfTrue="1" operator="notEqual">
      <formula>"OK"</formula>
    </cfRule>
  </conditionalFormatting>
  <conditionalFormatting sqref="BY50">
    <cfRule type="cellIs" dxfId="52" priority="9" stopIfTrue="1" operator="notEqual">
      <formula>"OK"</formula>
    </cfRule>
  </conditionalFormatting>
  <conditionalFormatting sqref="BZ50">
    <cfRule type="cellIs" dxfId="51" priority="8" stopIfTrue="1" operator="notEqual">
      <formula>"OK"</formula>
    </cfRule>
  </conditionalFormatting>
  <conditionalFormatting sqref="CA50">
    <cfRule type="cellIs" dxfId="50" priority="7" stopIfTrue="1" operator="notEqual">
      <formula>"OK"</formula>
    </cfRule>
  </conditionalFormatting>
  <conditionalFormatting sqref="CB50">
    <cfRule type="cellIs" dxfId="49" priority="6" stopIfTrue="1" operator="notEqual">
      <formula>"OK"</formula>
    </cfRule>
  </conditionalFormatting>
  <conditionalFormatting sqref="X50">
    <cfRule type="cellIs" dxfId="48" priority="5" stopIfTrue="1" operator="notEqual">
      <formula>"OK"</formula>
    </cfRule>
  </conditionalFormatting>
  <conditionalFormatting sqref="U50">
    <cfRule type="cellIs" dxfId="47" priority="4" stopIfTrue="1" operator="notEqual">
      <formula>"OK"</formula>
    </cfRule>
  </conditionalFormatting>
  <conditionalFormatting sqref="V50">
    <cfRule type="cellIs" dxfId="46" priority="3" stopIfTrue="1" operator="notEqual">
      <formula>"OK"</formula>
    </cfRule>
  </conditionalFormatting>
  <conditionalFormatting sqref="W50">
    <cfRule type="cellIs" dxfId="45" priority="2" stopIfTrue="1" operator="notEqual">
      <formula>"OK"</formula>
    </cfRule>
  </conditionalFormatting>
  <conditionalFormatting sqref="DJ50">
    <cfRule type="cellIs" dxfId="44" priority="1" stopIfTrue="1" operator="notEqual">
      <formula>"OK"</formula>
    </cfRule>
  </conditionalFormatting>
  <dataValidations xWindow="291" yWindow="814" count="4">
    <dataValidation allowBlank="1" showInputMessage="1" showErrorMessage="1" promptTitle="Validator" prompt="Indicates the person who carried out the review. ID number must correspond to an ID number of a person listed in the respective dataset (X-Person)._x000a__x000a_DEFAULT value is empty_x000a__x000a_If no review is conducted, this value has to be identical to DataGenerator." sqref="Q46:CO46 A46:N46 CQ46:NI46"/>
    <dataValidation allowBlank="1" showInputMessage="1" showErrorMessage="1" promptTitle="OtherProofReadingDetails" prompt="Contains further information from the review process, especially comments received from third parties once the dataset has been published." sqref="HZ48:NI48 A48:C48 D47:HY47"/>
    <dataValidation allowBlank="1" showInputMessage="1" showErrorMessage="1" promptTitle="ProofReadingDetails" prompt="Contains the comment of the reviewer of the dataset._x000a__x000a_Often &quot;passed.&quot; is used, when the review comments are in a separate document._x000a__x000a_If there was no full review, the type of review process (e.g. internal, not reviewed,...) shall be mentioned here. " sqref="A47:C47 HZ47:XFD47"/>
    <dataValidation allowBlank="1" showInputMessage="1" showErrorMessage="1" promptTitle="Percent" prompt="Indicates the share in market supply in the geographical area of the production data considered for this assessment." sqref="D33"/>
  </dataValidations>
  <printOptions gridLines="1"/>
  <pageMargins left="0.78740157480314965" right="0.55118110236220474" top="0.72" bottom="0.77" header="0.51181102362204722" footer="0.51181102362204722"/>
  <pageSetup paperSize="9" scale="37" fitToWidth="0" orientation="landscape" r:id="rId1"/>
  <headerFooter alignWithMargins="0">
    <oddHeader>&amp;A</oddHeader>
    <oddFooter>Erstellt von Niels Jungbluth &amp;D&amp;RSeite &amp;P</oddFooter>
  </headerFooter>
  <legacy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G16"/>
  <sheetViews>
    <sheetView zoomScale="75" workbookViewId="0">
      <selection activeCell="J46" sqref="J46"/>
    </sheetView>
  </sheetViews>
  <sheetFormatPr defaultColWidth="8.85546875" defaultRowHeight="12.75"/>
  <cols>
    <col min="1" max="1" width="23.42578125" style="69" customWidth="1"/>
    <col min="2" max="2" width="5.140625" style="70" customWidth="1"/>
    <col min="3" max="3" width="27" style="56" customWidth="1"/>
    <col min="4" max="4" width="22" style="92" customWidth="1"/>
    <col min="5" max="6" width="25.28515625" style="55" customWidth="1"/>
    <col min="7" max="16384" width="8.85546875" style="56"/>
  </cols>
  <sheetData>
    <row r="1" spans="1:7" s="61" customFormat="1">
      <c r="A1" s="72" t="s">
        <v>529</v>
      </c>
      <c r="B1" s="73" t="s">
        <v>511</v>
      </c>
      <c r="C1" s="74" t="s">
        <v>274</v>
      </c>
      <c r="D1" s="90"/>
      <c r="E1" s="90"/>
      <c r="F1" s="75"/>
    </row>
    <row r="2" spans="1:7">
      <c r="A2" s="72" t="s">
        <v>275</v>
      </c>
      <c r="B2" s="76">
        <v>801</v>
      </c>
      <c r="C2" s="77" t="s">
        <v>276</v>
      </c>
      <c r="D2" s="91">
        <v>41</v>
      </c>
      <c r="E2" s="91">
        <v>24</v>
      </c>
    </row>
    <row r="3" spans="1:7" ht="12">
      <c r="A3" s="72" t="s">
        <v>275</v>
      </c>
      <c r="B3" s="76">
        <v>802</v>
      </c>
      <c r="C3" s="77" t="s">
        <v>277</v>
      </c>
      <c r="D3" s="216">
        <v>3</v>
      </c>
      <c r="E3" s="216">
        <v>3</v>
      </c>
    </row>
    <row r="4" spans="1:7" ht="12">
      <c r="A4" s="72" t="s">
        <v>275</v>
      </c>
      <c r="B4" s="76">
        <v>803</v>
      </c>
      <c r="C4" s="77" t="s">
        <v>234</v>
      </c>
      <c r="D4" t="s">
        <v>947</v>
      </c>
      <c r="E4" s="216" t="s">
        <v>950</v>
      </c>
    </row>
    <row r="5" spans="1:7" ht="12">
      <c r="A5" s="72" t="s">
        <v>275</v>
      </c>
      <c r="B5" s="76">
        <v>1002</v>
      </c>
      <c r="C5" s="78" t="s">
        <v>278</v>
      </c>
      <c r="D5" s="217" t="s">
        <v>944</v>
      </c>
      <c r="E5" s="217" t="s">
        <v>951</v>
      </c>
    </row>
    <row r="6" spans="1:7" ht="24">
      <c r="A6" s="72" t="s">
        <v>275</v>
      </c>
      <c r="B6" s="76">
        <v>1003</v>
      </c>
      <c r="C6" s="77" t="s">
        <v>279</v>
      </c>
      <c r="D6" s="218" t="s">
        <v>943</v>
      </c>
      <c r="E6" s="218" t="s">
        <v>952</v>
      </c>
      <c r="G6" s="353"/>
    </row>
    <row r="7" spans="1:7" ht="12">
      <c r="A7" s="72" t="s">
        <v>275</v>
      </c>
      <c r="B7" s="76">
        <v>1004</v>
      </c>
      <c r="C7" s="78" t="s">
        <v>280</v>
      </c>
      <c r="D7" s="217">
        <v>2013</v>
      </c>
      <c r="E7" s="217">
        <v>2012</v>
      </c>
    </row>
    <row r="8" spans="1:7" ht="24">
      <c r="A8" s="72" t="s">
        <v>275</v>
      </c>
      <c r="B8" s="76">
        <v>1005</v>
      </c>
      <c r="C8" s="78" t="s">
        <v>281</v>
      </c>
      <c r="D8" s="217" t="s">
        <v>945</v>
      </c>
      <c r="E8" s="217" t="s">
        <v>953</v>
      </c>
    </row>
    <row r="9" spans="1:7" ht="12">
      <c r="A9" s="72"/>
      <c r="B9" s="76">
        <v>1006</v>
      </c>
      <c r="C9" s="77" t="s">
        <v>248</v>
      </c>
      <c r="D9" s="218" t="s">
        <v>525</v>
      </c>
      <c r="E9" s="218" t="s">
        <v>525</v>
      </c>
    </row>
    <row r="10" spans="1:7" ht="12">
      <c r="A10" s="72" t="s">
        <v>275</v>
      </c>
      <c r="B10" s="76">
        <v>1007</v>
      </c>
      <c r="C10" s="77" t="s">
        <v>282</v>
      </c>
      <c r="D10" s="216" t="s">
        <v>525</v>
      </c>
      <c r="E10" s="216" t="s">
        <v>954</v>
      </c>
    </row>
    <row r="11" spans="1:7" ht="12">
      <c r="A11" s="72" t="s">
        <v>275</v>
      </c>
      <c r="B11" s="76">
        <v>1008</v>
      </c>
      <c r="C11" s="77" t="s">
        <v>283</v>
      </c>
      <c r="D11" s="216" t="s">
        <v>948</v>
      </c>
      <c r="E11" s="216">
        <v>0</v>
      </c>
    </row>
    <row r="12" spans="1:7" ht="12">
      <c r="A12" s="72" t="s">
        <v>275</v>
      </c>
      <c r="B12" s="76">
        <v>1009</v>
      </c>
      <c r="C12" s="77" t="s">
        <v>284</v>
      </c>
      <c r="D12" s="216" t="s">
        <v>949</v>
      </c>
      <c r="E12" s="216" t="s">
        <v>949</v>
      </c>
    </row>
    <row r="13" spans="1:7" ht="12">
      <c r="A13" s="72" t="s">
        <v>275</v>
      </c>
      <c r="B13" s="76">
        <v>1010</v>
      </c>
      <c r="C13" s="77" t="s">
        <v>285</v>
      </c>
      <c r="D13" s="216" t="s">
        <v>946</v>
      </c>
      <c r="E13" s="216" t="s">
        <v>955</v>
      </c>
    </row>
    <row r="14" spans="1:7" ht="12">
      <c r="A14" s="72" t="s">
        <v>275</v>
      </c>
      <c r="B14" s="76">
        <v>1011</v>
      </c>
      <c r="C14" s="77" t="s">
        <v>286</v>
      </c>
      <c r="D14" s="216" t="s">
        <v>402</v>
      </c>
      <c r="E14" s="216" t="s">
        <v>402</v>
      </c>
    </row>
    <row r="15" spans="1:7" ht="12">
      <c r="A15" s="72" t="s">
        <v>275</v>
      </c>
      <c r="B15" s="76">
        <v>1012</v>
      </c>
      <c r="C15" s="77" t="s">
        <v>287</v>
      </c>
      <c r="D15" s="216">
        <v>174</v>
      </c>
      <c r="E15" s="216">
        <v>407</v>
      </c>
    </row>
    <row r="16" spans="1:7" ht="12">
      <c r="A16" s="72" t="s">
        <v>275</v>
      </c>
      <c r="B16" s="76">
        <v>1013</v>
      </c>
      <c r="C16" s="77" t="s">
        <v>288</v>
      </c>
      <c r="D16" s="216" t="s">
        <v>402</v>
      </c>
      <c r="E16" s="216" t="s">
        <v>402</v>
      </c>
    </row>
  </sheetData>
  <phoneticPr fontId="5"/>
  <pageMargins left="0.78740157480314965" right="0.55118110236220474" top="0.59055118110236227" bottom="0.59055118110236227" header="0.51181102362204722" footer="0.51181102362204722"/>
  <pageSetup orientation="landscape" r:id="rId1"/>
  <headerFooter alignWithMargins="0">
    <oddHeader>&amp;A</oddHeader>
    <oddFooter>Erstellt von Niels Jungbluth &amp;D&amp;RSeite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K10"/>
  <sheetViews>
    <sheetView topLeftCell="F1" zoomScale="75" workbookViewId="0">
      <selection activeCell="J46" sqref="J46"/>
    </sheetView>
  </sheetViews>
  <sheetFormatPr defaultColWidth="8.85546875" defaultRowHeight="12.75"/>
  <cols>
    <col min="1" max="1" width="10.85546875" style="69" customWidth="1"/>
    <col min="2" max="2" width="5.140625" style="70" customWidth="1"/>
    <col min="3" max="3" width="27" style="56" customWidth="1"/>
    <col min="4" max="4" width="25.85546875" style="71" customWidth="1"/>
    <col min="5" max="5" width="24.140625" style="71" customWidth="1"/>
    <col min="6" max="6" width="30.28515625" style="270" customWidth="1"/>
    <col min="7" max="7" width="21.85546875" style="270" customWidth="1"/>
    <col min="8" max="8" width="28.42578125" style="56" customWidth="1"/>
    <col min="9" max="9" width="24.140625" customWidth="1"/>
    <col min="10" max="11" width="28.42578125" style="56" customWidth="1"/>
    <col min="12" max="16384" width="8.85546875" style="56"/>
  </cols>
  <sheetData>
    <row r="1" spans="1:11" s="61" customFormat="1">
      <c r="A1" s="57" t="s">
        <v>529</v>
      </c>
      <c r="B1" s="58" t="s">
        <v>511</v>
      </c>
      <c r="C1" s="59" t="s">
        <v>274</v>
      </c>
      <c r="D1" s="60"/>
      <c r="E1" s="238"/>
      <c r="F1" s="265"/>
      <c r="G1" s="265"/>
      <c r="I1" s="238"/>
    </row>
    <row r="2" spans="1:11">
      <c r="A2" s="57" t="s">
        <v>289</v>
      </c>
      <c r="B2" s="62">
        <v>5800</v>
      </c>
      <c r="C2" s="63" t="s">
        <v>276</v>
      </c>
      <c r="D2" s="64">
        <v>41</v>
      </c>
      <c r="E2" s="239">
        <v>51</v>
      </c>
      <c r="F2" s="266">
        <v>80</v>
      </c>
      <c r="G2" s="64">
        <v>81</v>
      </c>
      <c r="H2" s="266">
        <v>87</v>
      </c>
      <c r="I2" s="239">
        <v>54</v>
      </c>
      <c r="J2" s="266">
        <v>45</v>
      </c>
      <c r="K2" s="266">
        <v>46</v>
      </c>
    </row>
    <row r="3" spans="1:11">
      <c r="A3" s="57" t="s">
        <v>289</v>
      </c>
      <c r="B3" s="65">
        <v>5802</v>
      </c>
      <c r="C3" s="66" t="s">
        <v>516</v>
      </c>
      <c r="D3" s="67" t="s">
        <v>291</v>
      </c>
      <c r="E3" s="311" t="s">
        <v>14</v>
      </c>
      <c r="F3" s="267" t="s">
        <v>442</v>
      </c>
      <c r="G3" s="67" t="s">
        <v>512</v>
      </c>
      <c r="H3" s="267" t="s">
        <v>717</v>
      </c>
      <c r="I3" s="311" t="s">
        <v>419</v>
      </c>
      <c r="J3" s="267" t="s">
        <v>936</v>
      </c>
      <c r="K3" s="267" t="s">
        <v>940</v>
      </c>
    </row>
    <row r="4" spans="1:11" ht="51">
      <c r="A4" s="57" t="s">
        <v>289</v>
      </c>
      <c r="B4" s="65">
        <v>5803</v>
      </c>
      <c r="C4" s="66" t="s">
        <v>292</v>
      </c>
      <c r="D4" s="67" t="s">
        <v>293</v>
      </c>
      <c r="E4" s="311" t="s">
        <v>15</v>
      </c>
      <c r="F4" s="267" t="s">
        <v>448</v>
      </c>
      <c r="G4" s="67" t="s">
        <v>513</v>
      </c>
      <c r="H4" s="311" t="s">
        <v>293</v>
      </c>
      <c r="I4" s="311" t="s">
        <v>15</v>
      </c>
      <c r="J4" s="311" t="s">
        <v>293</v>
      </c>
      <c r="K4" s="311" t="s">
        <v>293</v>
      </c>
    </row>
    <row r="5" spans="1:11">
      <c r="A5" s="57" t="s">
        <v>289</v>
      </c>
      <c r="B5" s="62">
        <v>5804</v>
      </c>
      <c r="C5" s="63" t="s">
        <v>294</v>
      </c>
      <c r="D5" s="68" t="s">
        <v>353</v>
      </c>
      <c r="E5" s="44" t="s">
        <v>16</v>
      </c>
      <c r="F5" s="268" t="s">
        <v>443</v>
      </c>
      <c r="G5" s="68" t="s">
        <v>482</v>
      </c>
      <c r="H5" s="44" t="s">
        <v>718</v>
      </c>
      <c r="I5" s="44" t="s">
        <v>420</v>
      </c>
      <c r="J5" s="44" t="s">
        <v>937</v>
      </c>
      <c r="K5" s="44" t="s">
        <v>941</v>
      </c>
    </row>
    <row r="6" spans="1:11">
      <c r="A6" s="57" t="s">
        <v>289</v>
      </c>
      <c r="B6" s="62">
        <v>5805</v>
      </c>
      <c r="C6" s="63" t="s">
        <v>295</v>
      </c>
      <c r="D6" s="68" t="s">
        <v>354</v>
      </c>
      <c r="E6" s="44" t="s">
        <v>17</v>
      </c>
      <c r="F6" s="268" t="s">
        <v>444</v>
      </c>
      <c r="G6" s="68" t="s">
        <v>483</v>
      </c>
      <c r="H6" s="44" t="s">
        <v>354</v>
      </c>
      <c r="I6" s="44" t="s">
        <v>17</v>
      </c>
      <c r="J6" s="44" t="s">
        <v>354</v>
      </c>
      <c r="K6" s="44" t="s">
        <v>354</v>
      </c>
    </row>
    <row r="7" spans="1:11">
      <c r="A7" s="57" t="s">
        <v>289</v>
      </c>
      <c r="B7" s="62">
        <v>5806</v>
      </c>
      <c r="C7" s="63" t="s">
        <v>296</v>
      </c>
      <c r="D7" s="20" t="s">
        <v>297</v>
      </c>
      <c r="E7" s="240" t="s">
        <v>18</v>
      </c>
      <c r="F7" s="269" t="s">
        <v>445</v>
      </c>
      <c r="G7" s="20" t="s">
        <v>449</v>
      </c>
      <c r="H7" s="240" t="s">
        <v>719</v>
      </c>
      <c r="I7" s="240" t="s">
        <v>421</v>
      </c>
      <c r="J7" s="240" t="s">
        <v>939</v>
      </c>
      <c r="K7" s="240" t="s">
        <v>942</v>
      </c>
    </row>
    <row r="8" spans="1:11">
      <c r="A8" s="57" t="s">
        <v>289</v>
      </c>
      <c r="B8" s="62">
        <v>5807</v>
      </c>
      <c r="C8" s="63" t="s">
        <v>298</v>
      </c>
      <c r="D8" s="68" t="s">
        <v>299</v>
      </c>
      <c r="E8" s="44" t="s">
        <v>19</v>
      </c>
      <c r="F8" s="268" t="s">
        <v>446</v>
      </c>
      <c r="G8" s="68" t="s">
        <v>450</v>
      </c>
      <c r="H8" s="44" t="s">
        <v>299</v>
      </c>
      <c r="I8" s="44" t="s">
        <v>19</v>
      </c>
      <c r="J8" s="44" t="s">
        <v>938</v>
      </c>
      <c r="K8" s="44" t="s">
        <v>938</v>
      </c>
    </row>
    <row r="9" spans="1:11">
      <c r="A9" s="57" t="s">
        <v>289</v>
      </c>
      <c r="B9" s="62">
        <v>5808</v>
      </c>
      <c r="C9" s="63" t="s">
        <v>247</v>
      </c>
      <c r="D9" s="68" t="s">
        <v>393</v>
      </c>
      <c r="E9" s="44" t="s">
        <v>393</v>
      </c>
      <c r="F9" s="268" t="s">
        <v>447</v>
      </c>
      <c r="G9" s="68" t="s">
        <v>447</v>
      </c>
      <c r="H9" s="44" t="s">
        <v>393</v>
      </c>
      <c r="I9" s="44" t="s">
        <v>393</v>
      </c>
      <c r="J9" s="44" t="s">
        <v>393</v>
      </c>
      <c r="K9" s="44" t="s">
        <v>393</v>
      </c>
    </row>
    <row r="10" spans="1:11">
      <c r="I10" s="239"/>
    </row>
  </sheetData>
  <phoneticPr fontId="5"/>
  <hyperlinks>
    <hyperlink ref="E7" r:id="rId1"/>
    <hyperlink ref="G7" r:id="rId2"/>
    <hyperlink ref="H7" r:id="rId3"/>
    <hyperlink ref="I7" r:id="rId4"/>
    <hyperlink ref="J7" r:id="rId5"/>
    <hyperlink ref="K7" r:id="rId6"/>
  </hyperlinks>
  <pageMargins left="0.78740157480314965" right="0.55118110236220474" top="0.59055118110236227" bottom="0.59055118110236227" header="0.51181102362204722" footer="0.51181102362204722"/>
  <pageSetup scale="51" orientation="portrait" r:id="rId7"/>
  <headerFooter alignWithMargins="0">
    <oddHeader>&amp;A</oddHeader>
    <oddFooter>Erstellt von Niels Jungbluth &amp;D&amp;RSeite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workbookViewId="0">
      <selection activeCell="C40" sqref="C40"/>
    </sheetView>
  </sheetViews>
  <sheetFormatPr defaultRowHeight="12"/>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workbookViewId="0">
      <pane ySplit="2" topLeftCell="A23" activePane="bottomLeft" state="frozen"/>
      <selection activeCell="C40" sqref="C40"/>
      <selection pane="bottomLeft" activeCell="C40" sqref="C40"/>
    </sheetView>
  </sheetViews>
  <sheetFormatPr defaultColWidth="10.85546875" defaultRowHeight="12.75"/>
  <cols>
    <col min="1" max="1" width="33.5703125" style="750" customWidth="1"/>
    <col min="2" max="2" width="105" style="750" customWidth="1"/>
    <col min="3" max="16384" width="10.85546875" style="749"/>
  </cols>
  <sheetData>
    <row r="1" spans="1:7" ht="27.75">
      <c r="A1" s="763"/>
      <c r="B1" s="779" t="s">
        <v>559</v>
      </c>
    </row>
    <row r="2" spans="1:7" s="775" customFormat="1" ht="58.5" customHeight="1">
      <c r="A2" s="778"/>
      <c r="B2" s="777" t="s">
        <v>560</v>
      </c>
      <c r="C2" s="776"/>
      <c r="D2" s="776"/>
      <c r="E2" s="776"/>
      <c r="F2" s="776"/>
      <c r="G2" s="776"/>
    </row>
    <row r="3" spans="1:7" s="771" customFormat="1" ht="15">
      <c r="A3" s="774">
        <v>41855</v>
      </c>
      <c r="B3" s="773" t="s">
        <v>229</v>
      </c>
      <c r="C3" s="772"/>
    </row>
    <row r="4" spans="1:7" ht="16.5" customHeight="1">
      <c r="A4" s="763"/>
      <c r="B4" s="770"/>
    </row>
    <row r="5" spans="1:7" s="753" customFormat="1" ht="45">
      <c r="A5" s="768" t="s">
        <v>561</v>
      </c>
      <c r="B5" s="769" t="s">
        <v>562</v>
      </c>
    </row>
    <row r="6" spans="1:7" s="753" customFormat="1" ht="15">
      <c r="A6" s="768" t="s">
        <v>564</v>
      </c>
      <c r="B6" s="769" t="s">
        <v>565</v>
      </c>
    </row>
    <row r="7" spans="1:7" ht="15">
      <c r="A7" s="768" t="s">
        <v>566</v>
      </c>
      <c r="B7" s="763" t="s">
        <v>567</v>
      </c>
    </row>
    <row r="8" spans="1:7" ht="15">
      <c r="A8" s="768" t="s">
        <v>568</v>
      </c>
      <c r="B8" s="763" t="s">
        <v>1690</v>
      </c>
      <c r="C8" s="766"/>
    </row>
    <row r="9" spans="1:7" ht="15">
      <c r="A9" s="768"/>
      <c r="B9" s="767" t="s">
        <v>569</v>
      </c>
      <c r="C9" s="766"/>
    </row>
    <row r="10" spans="1:7" ht="15">
      <c r="A10" s="763"/>
      <c r="B10" s="763" t="s">
        <v>570</v>
      </c>
    </row>
    <row r="11" spans="1:7" ht="15">
      <c r="A11" s="763"/>
      <c r="B11" s="763" t="s">
        <v>571</v>
      </c>
    </row>
    <row r="12" spans="1:7" ht="15">
      <c r="A12" s="763"/>
      <c r="B12" s="763" t="s">
        <v>1689</v>
      </c>
    </row>
    <row r="13" spans="1:7" ht="15">
      <c r="A13" s="763"/>
      <c r="B13" s="763" t="s">
        <v>573</v>
      </c>
    </row>
    <row r="14" spans="1:7" ht="15">
      <c r="A14" s="763"/>
      <c r="B14" s="765" t="s">
        <v>1688</v>
      </c>
    </row>
    <row r="15" spans="1:7" ht="15">
      <c r="A15" s="763"/>
      <c r="B15" s="765" t="s">
        <v>575</v>
      </c>
    </row>
    <row r="16" spans="1:7" ht="30">
      <c r="A16" s="758" t="s">
        <v>576</v>
      </c>
      <c r="B16" s="764" t="s">
        <v>193</v>
      </c>
    </row>
    <row r="17" spans="1:3" ht="15">
      <c r="A17" s="763"/>
      <c r="B17" s="762" t="s">
        <v>194</v>
      </c>
    </row>
    <row r="18" spans="1:3" ht="15">
      <c r="A18" s="763"/>
      <c r="B18" s="762" t="s">
        <v>195</v>
      </c>
    </row>
    <row r="19" spans="1:3" ht="15">
      <c r="A19" s="763"/>
      <c r="B19" s="762" t="s">
        <v>196</v>
      </c>
    </row>
    <row r="20" spans="1:3" s="753" customFormat="1" ht="23.25">
      <c r="A20" s="761" t="s">
        <v>197</v>
      </c>
      <c r="B20" s="760"/>
      <c r="C20" s="759"/>
    </row>
    <row r="21" spans="1:3" s="753" customFormat="1" ht="45">
      <c r="A21" s="758" t="s">
        <v>198</v>
      </c>
      <c r="B21" s="757" t="s">
        <v>199</v>
      </c>
      <c r="C21" s="755"/>
    </row>
    <row r="22" spans="1:3" s="753" customFormat="1" ht="45">
      <c r="A22" s="758"/>
      <c r="B22" s="757" t="s">
        <v>1687</v>
      </c>
      <c r="C22" s="755"/>
    </row>
    <row r="23" spans="1:3" s="753" customFormat="1" ht="120">
      <c r="A23" s="758" t="s">
        <v>201</v>
      </c>
      <c r="B23" s="757" t="s">
        <v>1686</v>
      </c>
      <c r="C23" s="755"/>
    </row>
    <row r="24" spans="1:3" s="753" customFormat="1" ht="30">
      <c r="A24" s="752" t="s">
        <v>583</v>
      </c>
      <c r="B24" s="452" t="s">
        <v>230</v>
      </c>
      <c r="C24" s="755"/>
    </row>
    <row r="25" spans="1:3" s="753" customFormat="1" ht="30">
      <c r="A25" s="752"/>
      <c r="B25" s="452" t="s">
        <v>231</v>
      </c>
      <c r="C25" s="756"/>
    </row>
    <row r="26" spans="1:3" s="753" customFormat="1" ht="30">
      <c r="A26" s="752"/>
      <c r="B26" s="452" t="s">
        <v>232</v>
      </c>
      <c r="C26" s="755"/>
    </row>
    <row r="27" spans="1:3" s="753" customFormat="1" ht="30">
      <c r="A27" s="752"/>
      <c r="B27" s="452" t="s">
        <v>584</v>
      </c>
      <c r="C27" s="754"/>
    </row>
    <row r="28" spans="1:3" s="753" customFormat="1" ht="30">
      <c r="A28" s="752"/>
      <c r="B28" s="452" t="s">
        <v>585</v>
      </c>
      <c r="C28" s="754"/>
    </row>
    <row r="29" spans="1:3" s="753" customFormat="1" ht="15">
      <c r="A29" s="752"/>
      <c r="B29" s="452"/>
      <c r="C29" s="754"/>
    </row>
    <row r="30" spans="1:3" ht="30">
      <c r="A30" s="752" t="s">
        <v>586</v>
      </c>
      <c r="B30" s="452" t="s">
        <v>587</v>
      </c>
    </row>
    <row r="31" spans="1:3" ht="15">
      <c r="A31" s="752"/>
      <c r="B31" s="452" t="s">
        <v>588</v>
      </c>
    </row>
    <row r="32" spans="1:3" ht="15">
      <c r="A32" s="752"/>
      <c r="B32" s="452" t="s">
        <v>589</v>
      </c>
    </row>
    <row r="33" spans="1:2" ht="30">
      <c r="A33" s="752"/>
      <c r="B33" s="452" t="s">
        <v>1685</v>
      </c>
    </row>
    <row r="34" spans="1:2" ht="15">
      <c r="A34" s="752"/>
      <c r="B34" s="452" t="s">
        <v>591</v>
      </c>
    </row>
    <row r="35" spans="1:2" ht="30">
      <c r="A35" s="752"/>
      <c r="B35" s="452" t="s">
        <v>592</v>
      </c>
    </row>
    <row r="36" spans="1:2" ht="15">
      <c r="A36" s="752"/>
      <c r="B36" s="452"/>
    </row>
    <row r="37" spans="1:2" ht="30">
      <c r="A37" s="752" t="s">
        <v>593</v>
      </c>
      <c r="B37" s="452" t="s">
        <v>594</v>
      </c>
    </row>
    <row r="38" spans="1:2" ht="30">
      <c r="A38" s="752"/>
      <c r="B38" s="452" t="s">
        <v>595</v>
      </c>
    </row>
    <row r="39" spans="1:2" ht="30">
      <c r="A39" s="752"/>
      <c r="B39" s="452" t="s">
        <v>596</v>
      </c>
    </row>
    <row r="41" spans="1:2" ht="15">
      <c r="A41" s="452" t="s">
        <v>228</v>
      </c>
      <c r="B41" s="751" t="s">
        <v>749</v>
      </c>
    </row>
    <row r="44" spans="1:2" ht="15">
      <c r="B44" s="751"/>
    </row>
  </sheetData>
  <hyperlinks>
    <hyperlink ref="B14" r:id="rId1"/>
    <hyperlink ref="B15" r:id="rId2"/>
    <hyperlink ref="B9" r:id="rId3"/>
  </hyperlinks>
  <pageMargins left="0.75" right="0.75" top="1" bottom="1" header="0.4921259845" footer="0.4921259845"/>
  <pageSetup paperSize="9" scale="45" orientation="portrait" horizontalDpi="1200" verticalDpi="1200" r:id="rId4"/>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5"/>
  <sheetViews>
    <sheetView zoomScale="75" workbookViewId="0">
      <pane xSplit="3" ySplit="6" topLeftCell="D7" activePane="bottomRight" state="frozen"/>
      <selection activeCell="C40" sqref="C40"/>
      <selection pane="topRight" activeCell="C40" sqref="C40"/>
      <selection pane="bottomLeft" activeCell="C40" sqref="C40"/>
      <selection pane="bottomRight" activeCell="C40" sqref="C40"/>
    </sheetView>
  </sheetViews>
  <sheetFormatPr defaultColWidth="11.42578125" defaultRowHeight="12" outlineLevelCol="1"/>
  <cols>
    <col min="1" max="1" width="5.85546875" style="780" customWidth="1"/>
    <col min="2" max="2" width="21.140625" style="784" customWidth="1"/>
    <col min="3" max="3" width="3.7109375" style="783" hidden="1" customWidth="1" outlineLevel="1"/>
    <col min="4" max="4" width="4.140625" style="780" hidden="1" customWidth="1" outlineLevel="1"/>
    <col min="5" max="5" width="4" style="780" hidden="1" customWidth="1" outlineLevel="1"/>
    <col min="6" max="6" width="48.140625" style="780" customWidth="1" collapsed="1"/>
    <col min="7" max="7" width="6" style="780" customWidth="1"/>
    <col min="8" max="8" width="8.28515625" style="780" hidden="1" customWidth="1" outlineLevel="1"/>
    <col min="9" max="9" width="19.5703125" style="780" hidden="1" customWidth="1" outlineLevel="1"/>
    <col min="10" max="10" width="2.7109375" style="780" customWidth="1" collapsed="1"/>
    <col min="11" max="11" width="5.140625" style="780" customWidth="1"/>
    <col min="12" max="12" width="14" style="780" customWidth="1"/>
    <col min="13" max="13" width="3.5703125" style="318" hidden="1" customWidth="1" outlineLevel="1"/>
    <col min="14" max="14" width="6.5703125" style="318" hidden="1" customWidth="1" outlineLevel="1"/>
    <col min="15" max="15" width="36.85546875" style="318" hidden="1" customWidth="1" outlineLevel="1"/>
    <col min="16" max="16" width="14" style="780" customWidth="1" collapsed="1"/>
    <col min="17" max="17" width="3.5703125" style="318" customWidth="1" outlineLevel="1"/>
    <col min="18" max="18" width="6.5703125" style="318" customWidth="1" outlineLevel="1"/>
    <col min="19" max="19" width="40" style="318" customWidth="1" outlineLevel="1"/>
    <col min="20" max="20" width="14.140625" style="782" customWidth="1"/>
    <col min="21" max="21" width="28.85546875" style="782" customWidth="1"/>
    <col min="22" max="22" width="6.85546875" style="782" customWidth="1"/>
    <col min="23" max="23" width="12.5703125" style="782" customWidth="1"/>
    <col min="24" max="26" width="16.85546875" style="782" customWidth="1"/>
    <col min="27" max="27" width="43.28515625" style="781" customWidth="1"/>
    <col min="28" max="16384" width="11.42578125" style="780"/>
  </cols>
  <sheetData>
    <row r="1" spans="1:27">
      <c r="A1" s="831"/>
      <c r="B1" s="848"/>
      <c r="C1" s="829"/>
      <c r="D1" s="831"/>
      <c r="E1" s="831"/>
      <c r="F1" s="847" t="s">
        <v>510</v>
      </c>
      <c r="G1" s="831"/>
      <c r="H1" s="831"/>
      <c r="I1" s="831"/>
      <c r="J1" s="831"/>
      <c r="K1" s="831"/>
      <c r="L1" s="846" t="s">
        <v>1725</v>
      </c>
      <c r="M1" s="184"/>
      <c r="N1" s="184"/>
      <c r="O1" s="184"/>
      <c r="P1" s="846" t="s">
        <v>1723</v>
      </c>
      <c r="Q1" s="184"/>
      <c r="R1" s="184"/>
      <c r="S1" s="184"/>
      <c r="T1" s="785"/>
      <c r="U1" s="785"/>
      <c r="V1" s="785"/>
      <c r="W1" s="785"/>
      <c r="X1" s="785"/>
      <c r="Y1" s="785"/>
      <c r="Z1" s="785"/>
      <c r="AA1" s="822"/>
    </row>
    <row r="2" spans="1:27">
      <c r="A2" s="831"/>
      <c r="B2" s="844"/>
      <c r="C2" s="829" t="s">
        <v>511</v>
      </c>
      <c r="D2" s="844">
        <v>3503</v>
      </c>
      <c r="E2" s="844">
        <v>3504</v>
      </c>
      <c r="F2" s="844">
        <v>3702</v>
      </c>
      <c r="G2" s="844">
        <v>3703</v>
      </c>
      <c r="H2" s="844">
        <v>3506</v>
      </c>
      <c r="I2" s="844">
        <v>3507</v>
      </c>
      <c r="J2" s="844">
        <v>3508</v>
      </c>
      <c r="K2" s="844">
        <v>3706</v>
      </c>
      <c r="L2" s="844">
        <v>3707</v>
      </c>
      <c r="M2" s="843">
        <v>3708</v>
      </c>
      <c r="N2" s="843">
        <v>3709</v>
      </c>
      <c r="O2" s="845">
        <v>3792</v>
      </c>
      <c r="P2" s="844">
        <v>3707</v>
      </c>
      <c r="Q2" s="843">
        <v>3708</v>
      </c>
      <c r="R2" s="843">
        <v>3709</v>
      </c>
      <c r="S2" s="842">
        <v>3792</v>
      </c>
      <c r="T2" s="836"/>
      <c r="V2" s="785"/>
      <c r="W2" s="785"/>
      <c r="X2" s="785"/>
      <c r="Y2" s="785"/>
      <c r="Z2" s="785"/>
      <c r="AA2" s="828"/>
    </row>
    <row r="3" spans="1:27" ht="108">
      <c r="A3" s="831" t="s">
        <v>398</v>
      </c>
      <c r="B3" s="830"/>
      <c r="C3" s="829">
        <v>401</v>
      </c>
      <c r="D3" s="841" t="s">
        <v>514</v>
      </c>
      <c r="E3" s="841" t="s">
        <v>515</v>
      </c>
      <c r="F3" s="827" t="s">
        <v>516</v>
      </c>
      <c r="G3" s="840" t="s">
        <v>517</v>
      </c>
      <c r="H3" s="840" t="s">
        <v>518</v>
      </c>
      <c r="I3" s="840" t="s">
        <v>519</v>
      </c>
      <c r="J3" s="840" t="s">
        <v>520</v>
      </c>
      <c r="K3" s="840" t="s">
        <v>394</v>
      </c>
      <c r="L3" s="826" t="s">
        <v>1724</v>
      </c>
      <c r="M3" s="838" t="s">
        <v>265</v>
      </c>
      <c r="N3" s="838" t="s">
        <v>266</v>
      </c>
      <c r="O3" s="839" t="s">
        <v>548</v>
      </c>
      <c r="P3" s="826" t="s">
        <v>1722</v>
      </c>
      <c r="Q3" s="838" t="s">
        <v>265</v>
      </c>
      <c r="R3" s="838" t="s">
        <v>266</v>
      </c>
      <c r="S3" s="837" t="s">
        <v>548</v>
      </c>
      <c r="T3" s="823" t="s">
        <v>1728</v>
      </c>
      <c r="U3" s="836" t="s">
        <v>264</v>
      </c>
      <c r="V3" s="794" t="s">
        <v>1732</v>
      </c>
      <c r="W3" s="1049" t="s">
        <v>1731</v>
      </c>
      <c r="X3" s="1049"/>
      <c r="Y3" s="834" t="s">
        <v>1730</v>
      </c>
      <c r="Z3" s="834" t="s">
        <v>1729</v>
      </c>
      <c r="AA3" s="828" t="s">
        <v>1728</v>
      </c>
    </row>
    <row r="4" spans="1:27" ht="12.75" customHeight="1">
      <c r="A4" s="831"/>
      <c r="B4" s="830"/>
      <c r="C4" s="829">
        <v>662</v>
      </c>
      <c r="D4" s="828"/>
      <c r="E4" s="828"/>
      <c r="F4" s="827" t="s">
        <v>517</v>
      </c>
      <c r="G4" s="827"/>
      <c r="H4" s="827"/>
      <c r="I4" s="827"/>
      <c r="J4" s="827"/>
      <c r="K4" s="827"/>
      <c r="L4" s="826" t="s">
        <v>1105</v>
      </c>
      <c r="M4" s="825"/>
      <c r="N4" s="825"/>
      <c r="O4" s="824"/>
      <c r="P4" s="826" t="s">
        <v>1105</v>
      </c>
      <c r="Q4" s="825"/>
      <c r="R4" s="825"/>
      <c r="S4" s="824"/>
      <c r="T4" s="823" t="s">
        <v>393</v>
      </c>
      <c r="U4" s="835"/>
      <c r="V4" s="785"/>
      <c r="W4" s="834" t="s">
        <v>1727</v>
      </c>
      <c r="X4" s="833" t="s">
        <v>1726</v>
      </c>
      <c r="Y4" s="833"/>
      <c r="Z4" s="833"/>
      <c r="AA4" s="832"/>
    </row>
    <row r="5" spans="1:27">
      <c r="A5" s="831"/>
      <c r="B5" s="830"/>
      <c r="C5" s="829">
        <v>493</v>
      </c>
      <c r="D5" s="828"/>
      <c r="E5" s="828"/>
      <c r="F5" s="827" t="s">
        <v>520</v>
      </c>
      <c r="G5" s="827"/>
      <c r="H5" s="827"/>
      <c r="I5" s="827"/>
      <c r="J5" s="827"/>
      <c r="K5" s="827"/>
      <c r="L5" s="826">
        <v>0</v>
      </c>
      <c r="M5" s="825"/>
      <c r="N5" s="825"/>
      <c r="O5" s="824"/>
      <c r="P5" s="826">
        <v>0</v>
      </c>
      <c r="Q5" s="825"/>
      <c r="R5" s="825"/>
      <c r="S5" s="824"/>
      <c r="T5" s="823">
        <v>2009</v>
      </c>
      <c r="U5" s="785"/>
      <c r="V5" s="785"/>
      <c r="W5" s="785"/>
      <c r="X5" s="785"/>
      <c r="Y5" s="785"/>
      <c r="Z5" s="785"/>
      <c r="AA5" s="822"/>
    </row>
    <row r="6" spans="1:27" ht="12.75" customHeight="1">
      <c r="A6" s="831"/>
      <c r="B6" s="830"/>
      <c r="C6" s="829">
        <v>403</v>
      </c>
      <c r="D6" s="828"/>
      <c r="E6" s="828"/>
      <c r="F6" s="827" t="s">
        <v>394</v>
      </c>
      <c r="G6" s="827"/>
      <c r="H6" s="827"/>
      <c r="I6" s="827"/>
      <c r="J6" s="827"/>
      <c r="K6" s="827"/>
      <c r="L6" s="826" t="s">
        <v>395</v>
      </c>
      <c r="M6" s="825"/>
      <c r="N6" s="825"/>
      <c r="O6" s="824"/>
      <c r="P6" s="826" t="s">
        <v>395</v>
      </c>
      <c r="Q6" s="825"/>
      <c r="R6" s="825"/>
      <c r="S6" s="824"/>
      <c r="T6" s="823" t="s">
        <v>395</v>
      </c>
      <c r="U6" s="785"/>
      <c r="V6" s="785"/>
      <c r="W6" s="785"/>
      <c r="X6" s="785"/>
      <c r="Y6" s="785"/>
      <c r="Z6" s="785"/>
      <c r="AA6" s="822"/>
    </row>
    <row r="7" spans="1:27">
      <c r="A7" s="808" t="s">
        <v>1725</v>
      </c>
      <c r="B7" s="807" t="s">
        <v>523</v>
      </c>
      <c r="C7" s="806"/>
      <c r="D7" s="821" t="s">
        <v>402</v>
      </c>
      <c r="E7" s="820">
        <v>0</v>
      </c>
      <c r="F7" s="819" t="s">
        <v>1724</v>
      </c>
      <c r="G7" s="816" t="s">
        <v>1105</v>
      </c>
      <c r="H7" s="818" t="s">
        <v>402</v>
      </c>
      <c r="I7" s="818" t="s">
        <v>402</v>
      </c>
      <c r="J7" s="817">
        <v>0</v>
      </c>
      <c r="K7" s="816" t="s">
        <v>395</v>
      </c>
      <c r="L7" s="815">
        <v>1</v>
      </c>
      <c r="M7" s="814"/>
      <c r="N7" s="813"/>
      <c r="O7" s="800"/>
      <c r="P7" s="815">
        <v>0</v>
      </c>
      <c r="Q7" s="814"/>
      <c r="R7" s="813"/>
      <c r="S7" s="800"/>
      <c r="T7" s="812"/>
      <c r="U7" s="811"/>
      <c r="V7" s="785"/>
      <c r="W7" s="785"/>
      <c r="X7" s="785"/>
      <c r="Y7" s="785"/>
      <c r="Z7" s="785"/>
      <c r="AA7" s="810"/>
    </row>
    <row r="8" spans="1:27">
      <c r="A8" s="808" t="s">
        <v>1723</v>
      </c>
      <c r="B8" s="807"/>
      <c r="C8" s="806"/>
      <c r="D8" s="821" t="s">
        <v>402</v>
      </c>
      <c r="E8" s="820">
        <v>0</v>
      </c>
      <c r="F8" s="819" t="s">
        <v>1722</v>
      </c>
      <c r="G8" s="816" t="s">
        <v>1105</v>
      </c>
      <c r="H8" s="818" t="s">
        <v>402</v>
      </c>
      <c r="I8" s="818" t="s">
        <v>402</v>
      </c>
      <c r="J8" s="817">
        <v>0</v>
      </c>
      <c r="K8" s="816" t="s">
        <v>395</v>
      </c>
      <c r="L8" s="815">
        <v>0</v>
      </c>
      <c r="M8" s="814"/>
      <c r="N8" s="813"/>
      <c r="O8" s="800"/>
      <c r="P8" s="815">
        <v>1</v>
      </c>
      <c r="Q8" s="814"/>
      <c r="R8" s="813"/>
      <c r="S8" s="800"/>
      <c r="T8" s="812"/>
      <c r="U8" s="811"/>
      <c r="V8" s="785"/>
      <c r="W8" s="785"/>
      <c r="X8" s="785"/>
      <c r="Y8" s="785"/>
      <c r="Z8" s="785"/>
      <c r="AA8" s="810"/>
    </row>
    <row r="9" spans="1:27" ht="21.75" customHeight="1">
      <c r="A9" s="808">
        <v>1103</v>
      </c>
      <c r="B9" s="807" t="s">
        <v>524</v>
      </c>
      <c r="C9" s="806" t="s">
        <v>525</v>
      </c>
      <c r="D9" s="809">
        <v>5</v>
      </c>
      <c r="E9" s="804" t="s">
        <v>402</v>
      </c>
      <c r="F9" s="509" t="s">
        <v>1083</v>
      </c>
      <c r="G9" s="801" t="s">
        <v>268</v>
      </c>
      <c r="H9" s="803" t="s">
        <v>402</v>
      </c>
      <c r="I9" s="803" t="s">
        <v>402</v>
      </c>
      <c r="J9" s="802">
        <v>0</v>
      </c>
      <c r="K9" s="801" t="s">
        <v>395</v>
      </c>
      <c r="L9" s="799">
        <v>2.68</v>
      </c>
      <c r="M9" s="798">
        <v>1</v>
      </c>
      <c r="N9" s="797">
        <v>1.3000688016831126</v>
      </c>
      <c r="O9" s="800" t="s">
        <v>1721</v>
      </c>
      <c r="P9" s="799">
        <v>2.68</v>
      </c>
      <c r="Q9" s="798">
        <v>1</v>
      </c>
      <c r="R9" s="797">
        <v>1.3000688016831126</v>
      </c>
      <c r="S9" s="517" t="s">
        <v>1721</v>
      </c>
      <c r="T9" s="796"/>
      <c r="U9" s="795" t="s">
        <v>1720</v>
      </c>
      <c r="V9" s="794" t="s">
        <v>395</v>
      </c>
      <c r="W9" s="794">
        <v>2.68</v>
      </c>
      <c r="X9" s="794">
        <v>2.68</v>
      </c>
      <c r="Y9" s="794"/>
      <c r="Z9" s="794"/>
      <c r="AA9" s="793" t="s">
        <v>1691</v>
      </c>
    </row>
    <row r="10" spans="1:27">
      <c r="A10" s="808">
        <v>2410</v>
      </c>
      <c r="B10" s="807" t="s">
        <v>525</v>
      </c>
      <c r="C10" s="806"/>
      <c r="D10" s="809">
        <v>5</v>
      </c>
      <c r="E10" s="804" t="s">
        <v>402</v>
      </c>
      <c r="F10" s="509" t="s">
        <v>1137</v>
      </c>
      <c r="G10" s="801" t="s">
        <v>521</v>
      </c>
      <c r="H10" s="803" t="s">
        <v>402</v>
      </c>
      <c r="I10" s="803" t="s">
        <v>402</v>
      </c>
      <c r="J10" s="802">
        <v>0</v>
      </c>
      <c r="K10" s="801" t="s">
        <v>677</v>
      </c>
      <c r="L10" s="799">
        <v>27.456</v>
      </c>
      <c r="M10" s="798">
        <v>1</v>
      </c>
      <c r="N10" s="797">
        <v>1.3000688016831126</v>
      </c>
      <c r="O10" s="800" t="s">
        <v>1719</v>
      </c>
      <c r="P10" s="799">
        <v>27.456</v>
      </c>
      <c r="Q10" s="798">
        <v>1</v>
      </c>
      <c r="R10" s="797">
        <v>1.3000688016831126</v>
      </c>
      <c r="S10" s="517" t="s">
        <v>1719</v>
      </c>
      <c r="T10" s="796"/>
      <c r="U10" s="795" t="s">
        <v>1718</v>
      </c>
      <c r="V10" s="794" t="s">
        <v>395</v>
      </c>
      <c r="W10" s="794">
        <v>0.96</v>
      </c>
      <c r="X10" s="794">
        <v>0.96</v>
      </c>
      <c r="Y10" s="794"/>
      <c r="Z10" s="794"/>
      <c r="AA10" s="793" t="s">
        <v>1691</v>
      </c>
    </row>
    <row r="11" spans="1:27" ht="24">
      <c r="A11" s="808">
        <v>2889</v>
      </c>
      <c r="B11" s="807" t="s">
        <v>525</v>
      </c>
      <c r="C11" s="806"/>
      <c r="D11" s="809">
        <v>5</v>
      </c>
      <c r="E11" s="804" t="s">
        <v>402</v>
      </c>
      <c r="F11" s="509" t="s">
        <v>1143</v>
      </c>
      <c r="G11" s="801" t="s">
        <v>521</v>
      </c>
      <c r="H11" s="803" t="s">
        <v>402</v>
      </c>
      <c r="I11" s="803" t="s">
        <v>402</v>
      </c>
      <c r="J11" s="802">
        <v>0</v>
      </c>
      <c r="K11" s="801" t="s">
        <v>395</v>
      </c>
      <c r="L11" s="799">
        <v>0.6</v>
      </c>
      <c r="M11" s="798">
        <v>1</v>
      </c>
      <c r="N11" s="797">
        <v>1.3000688016831126</v>
      </c>
      <c r="O11" s="800" t="s">
        <v>1717</v>
      </c>
      <c r="P11" s="799">
        <v>0.6</v>
      </c>
      <c r="Q11" s="798">
        <v>1</v>
      </c>
      <c r="R11" s="797">
        <v>1.3000688016831126</v>
      </c>
      <c r="S11" s="517" t="s">
        <v>1717</v>
      </c>
      <c r="T11" s="796"/>
      <c r="U11" s="795" t="s">
        <v>1716</v>
      </c>
      <c r="V11" s="794" t="s">
        <v>395</v>
      </c>
      <c r="W11" s="794">
        <v>0.6</v>
      </c>
      <c r="X11" s="794">
        <v>0.6</v>
      </c>
      <c r="Y11" s="794"/>
      <c r="Z11" s="794"/>
      <c r="AA11" s="793" t="s">
        <v>1691</v>
      </c>
    </row>
    <row r="12" spans="1:27">
      <c r="A12" s="808">
        <v>1169</v>
      </c>
      <c r="B12" s="807" t="s">
        <v>525</v>
      </c>
      <c r="C12" s="806"/>
      <c r="D12" s="809">
        <v>5</v>
      </c>
      <c r="E12" s="804" t="s">
        <v>402</v>
      </c>
      <c r="F12" s="509" t="s">
        <v>1135</v>
      </c>
      <c r="G12" s="801" t="s">
        <v>521</v>
      </c>
      <c r="H12" s="803" t="s">
        <v>402</v>
      </c>
      <c r="I12" s="803" t="s">
        <v>402</v>
      </c>
      <c r="J12" s="802">
        <v>0</v>
      </c>
      <c r="K12" s="801" t="s">
        <v>409</v>
      </c>
      <c r="L12" s="799">
        <v>1.7194570135746606E-4</v>
      </c>
      <c r="M12" s="798">
        <v>1</v>
      </c>
      <c r="N12" s="797">
        <v>1.3000688016831126</v>
      </c>
      <c r="O12" s="800" t="s">
        <v>1715</v>
      </c>
      <c r="P12" s="799">
        <v>1.7194570135746606E-4</v>
      </c>
      <c r="Q12" s="798">
        <v>1</v>
      </c>
      <c r="R12" s="797">
        <v>1.3000688016831126</v>
      </c>
      <c r="S12" s="517" t="s">
        <v>1715</v>
      </c>
      <c r="T12" s="796"/>
      <c r="U12" s="795" t="s">
        <v>1714</v>
      </c>
      <c r="V12" s="794" t="s">
        <v>395</v>
      </c>
      <c r="W12" s="794">
        <v>0.19</v>
      </c>
      <c r="X12" s="794">
        <v>0.19</v>
      </c>
      <c r="Y12" s="794"/>
      <c r="Z12" s="794"/>
      <c r="AA12" s="793" t="s">
        <v>1691</v>
      </c>
    </row>
    <row r="13" spans="1:27" ht="24">
      <c r="A13" s="808">
        <v>4225</v>
      </c>
      <c r="B13" s="807" t="s">
        <v>525</v>
      </c>
      <c r="C13" s="806"/>
      <c r="D13" s="809">
        <v>5</v>
      </c>
      <c r="E13" s="804" t="s">
        <v>402</v>
      </c>
      <c r="F13" s="509" t="s">
        <v>1139</v>
      </c>
      <c r="G13" s="801" t="s">
        <v>521</v>
      </c>
      <c r="H13" s="803" t="s">
        <v>402</v>
      </c>
      <c r="I13" s="803" t="s">
        <v>402</v>
      </c>
      <c r="J13" s="802">
        <v>0</v>
      </c>
      <c r="K13" s="801" t="s">
        <v>395</v>
      </c>
      <c r="L13" s="799">
        <v>0.12</v>
      </c>
      <c r="M13" s="798">
        <v>1</v>
      </c>
      <c r="N13" s="797">
        <v>1.3000688016831126</v>
      </c>
      <c r="O13" s="800" t="s">
        <v>1713</v>
      </c>
      <c r="P13" s="799">
        <v>0.12</v>
      </c>
      <c r="Q13" s="798">
        <v>1</v>
      </c>
      <c r="R13" s="797">
        <v>1.3000688016831126</v>
      </c>
      <c r="S13" s="517" t="s">
        <v>1713</v>
      </c>
      <c r="T13" s="796"/>
      <c r="U13" s="795" t="s">
        <v>1712</v>
      </c>
      <c r="V13" s="794" t="s">
        <v>395</v>
      </c>
      <c r="W13" s="794">
        <v>0.12</v>
      </c>
      <c r="X13" s="794">
        <v>0.12</v>
      </c>
      <c r="Y13" s="794"/>
      <c r="Z13" s="794"/>
      <c r="AA13" s="793" t="s">
        <v>1691</v>
      </c>
    </row>
    <row r="14" spans="1:27">
      <c r="A14" s="808" t="s">
        <v>1711</v>
      </c>
      <c r="B14" s="807" t="s">
        <v>707</v>
      </c>
      <c r="C14" s="806"/>
      <c r="D14" s="805">
        <v>4</v>
      </c>
      <c r="E14" s="804" t="s">
        <v>402</v>
      </c>
      <c r="F14" s="509" t="s">
        <v>1710</v>
      </c>
      <c r="G14" s="801" t="s">
        <v>402</v>
      </c>
      <c r="H14" s="803" t="s">
        <v>273</v>
      </c>
      <c r="I14" s="803" t="s">
        <v>1117</v>
      </c>
      <c r="J14" s="802" t="s">
        <v>402</v>
      </c>
      <c r="K14" s="801" t="s">
        <v>409</v>
      </c>
      <c r="L14" s="799">
        <v>0.12</v>
      </c>
      <c r="M14" s="798">
        <v>1</v>
      </c>
      <c r="N14" s="797">
        <v>1.3000688016831126</v>
      </c>
      <c r="O14" s="800" t="s">
        <v>1709</v>
      </c>
      <c r="P14" s="799">
        <v>0.12</v>
      </c>
      <c r="Q14" s="798">
        <v>1</v>
      </c>
      <c r="R14" s="797">
        <v>1.3000688016831126</v>
      </c>
      <c r="S14" s="517" t="s">
        <v>1709</v>
      </c>
      <c r="T14" s="796"/>
      <c r="U14" s="795" t="s">
        <v>1008</v>
      </c>
      <c r="V14" s="794" t="s">
        <v>395</v>
      </c>
      <c r="W14" s="794">
        <v>120</v>
      </c>
      <c r="X14" s="794">
        <v>120</v>
      </c>
      <c r="Y14" s="794"/>
      <c r="Z14" s="794"/>
      <c r="AA14" s="793" t="s">
        <v>1691</v>
      </c>
    </row>
    <row r="15" spans="1:27" ht="72">
      <c r="A15" s="808">
        <v>32004</v>
      </c>
      <c r="B15" s="807" t="s">
        <v>524</v>
      </c>
      <c r="C15" s="806"/>
      <c r="D15" s="809">
        <v>5</v>
      </c>
      <c r="E15" s="804" t="s">
        <v>402</v>
      </c>
      <c r="F15" s="509" t="s">
        <v>1133</v>
      </c>
      <c r="G15" s="801" t="s">
        <v>1105</v>
      </c>
      <c r="H15" s="803" t="s">
        <v>402</v>
      </c>
      <c r="I15" s="803" t="s">
        <v>402</v>
      </c>
      <c r="J15" s="802">
        <v>0</v>
      </c>
      <c r="K15" s="801" t="s">
        <v>678</v>
      </c>
      <c r="L15" s="799">
        <v>12.5</v>
      </c>
      <c r="M15" s="798">
        <v>1</v>
      </c>
      <c r="N15" s="797">
        <v>1.3000688016831126</v>
      </c>
      <c r="O15" s="800" t="s">
        <v>1708</v>
      </c>
      <c r="P15" s="799">
        <v>12.5</v>
      </c>
      <c r="Q15" s="798">
        <v>1</v>
      </c>
      <c r="R15" s="797">
        <v>1.3000688016831126</v>
      </c>
      <c r="S15" s="517" t="s">
        <v>1708</v>
      </c>
      <c r="T15" s="796"/>
      <c r="U15" s="795" t="s">
        <v>1707</v>
      </c>
      <c r="V15" s="794" t="s">
        <v>678</v>
      </c>
      <c r="W15" s="794">
        <v>12.7</v>
      </c>
      <c r="X15" s="794">
        <v>13</v>
      </c>
      <c r="Y15" s="794">
        <v>12</v>
      </c>
      <c r="Z15" s="794">
        <v>13</v>
      </c>
      <c r="AA15" s="793" t="s">
        <v>1706</v>
      </c>
    </row>
    <row r="16" spans="1:27">
      <c r="A16" s="808">
        <v>197</v>
      </c>
      <c r="B16" s="807" t="s">
        <v>1705</v>
      </c>
      <c r="C16" s="806"/>
      <c r="D16" s="805" t="s">
        <v>402</v>
      </c>
      <c r="E16" s="804">
        <v>4</v>
      </c>
      <c r="F16" s="509" t="s">
        <v>977</v>
      </c>
      <c r="G16" s="801" t="s">
        <v>402</v>
      </c>
      <c r="H16" s="803" t="s">
        <v>325</v>
      </c>
      <c r="I16" s="803" t="s">
        <v>686</v>
      </c>
      <c r="J16" s="802" t="s">
        <v>402</v>
      </c>
      <c r="K16" s="801" t="s">
        <v>395</v>
      </c>
      <c r="L16" s="799">
        <v>3.59</v>
      </c>
      <c r="M16" s="798">
        <v>1</v>
      </c>
      <c r="N16" s="797">
        <v>1.3000688016831126</v>
      </c>
      <c r="O16" s="800" t="s">
        <v>1704</v>
      </c>
      <c r="P16" s="799">
        <v>3.59</v>
      </c>
      <c r="Q16" s="798">
        <v>1</v>
      </c>
      <c r="R16" s="797">
        <v>1.3000688016831126</v>
      </c>
      <c r="S16" s="517" t="s">
        <v>1704</v>
      </c>
      <c r="T16" s="796"/>
      <c r="U16" s="795" t="s">
        <v>1703</v>
      </c>
      <c r="V16" s="794" t="s">
        <v>395</v>
      </c>
      <c r="W16" s="794">
        <v>3.59</v>
      </c>
      <c r="X16" s="794">
        <v>3.59</v>
      </c>
      <c r="Y16" s="794"/>
      <c r="Z16" s="794"/>
      <c r="AA16" s="793" t="s">
        <v>1691</v>
      </c>
    </row>
    <row r="17" spans="1:27">
      <c r="A17" s="808" t="s">
        <v>1702</v>
      </c>
      <c r="B17" s="807" t="s">
        <v>525</v>
      </c>
      <c r="C17" s="806"/>
      <c r="D17" s="805" t="s">
        <v>402</v>
      </c>
      <c r="E17" s="804">
        <v>4</v>
      </c>
      <c r="F17" s="509" t="s">
        <v>1701</v>
      </c>
      <c r="G17" s="801" t="s">
        <v>402</v>
      </c>
      <c r="H17" s="803" t="s">
        <v>325</v>
      </c>
      <c r="I17" s="803" t="s">
        <v>686</v>
      </c>
      <c r="J17" s="802" t="s">
        <v>402</v>
      </c>
      <c r="K17" s="801" t="s">
        <v>395</v>
      </c>
      <c r="L17" s="799">
        <v>120</v>
      </c>
      <c r="M17" s="798">
        <v>1</v>
      </c>
      <c r="N17" s="797">
        <v>1.6168893782141394</v>
      </c>
      <c r="O17" s="800" t="s">
        <v>1700</v>
      </c>
      <c r="P17" s="799">
        <v>120</v>
      </c>
      <c r="Q17" s="798">
        <v>1</v>
      </c>
      <c r="R17" s="797">
        <v>1.6168893782141394</v>
      </c>
      <c r="S17" s="517" t="s">
        <v>1700</v>
      </c>
      <c r="T17" s="796"/>
      <c r="U17" s="795" t="s">
        <v>1699</v>
      </c>
      <c r="V17" s="794" t="s">
        <v>395</v>
      </c>
      <c r="W17" s="794">
        <v>120</v>
      </c>
      <c r="X17" s="794">
        <v>120</v>
      </c>
      <c r="Y17" s="794"/>
      <c r="Z17" s="794"/>
      <c r="AA17" s="793" t="s">
        <v>1691</v>
      </c>
    </row>
    <row r="18" spans="1:27">
      <c r="A18" s="808">
        <v>1043</v>
      </c>
      <c r="B18" s="807" t="s">
        <v>525</v>
      </c>
      <c r="C18" s="806"/>
      <c r="D18" s="805" t="s">
        <v>402</v>
      </c>
      <c r="E18" s="804">
        <v>4</v>
      </c>
      <c r="F18" s="509" t="s">
        <v>1002</v>
      </c>
      <c r="G18" s="801" t="s">
        <v>402</v>
      </c>
      <c r="H18" s="803" t="s">
        <v>325</v>
      </c>
      <c r="I18" s="803" t="s">
        <v>686</v>
      </c>
      <c r="J18" s="802" t="s">
        <v>402</v>
      </c>
      <c r="K18" s="801" t="s">
        <v>395</v>
      </c>
      <c r="L18" s="799">
        <v>0.54</v>
      </c>
      <c r="M18" s="798">
        <v>1</v>
      </c>
      <c r="N18" s="797">
        <v>5.103675409230048</v>
      </c>
      <c r="O18" s="800" t="s">
        <v>1698</v>
      </c>
      <c r="P18" s="799">
        <v>0.54</v>
      </c>
      <c r="Q18" s="798">
        <v>1</v>
      </c>
      <c r="R18" s="797">
        <v>5.103675409230048</v>
      </c>
      <c r="S18" s="517" t="s">
        <v>1698</v>
      </c>
      <c r="T18" s="796"/>
      <c r="U18" s="795" t="s">
        <v>1697</v>
      </c>
      <c r="V18" s="794" t="s">
        <v>395</v>
      </c>
      <c r="W18" s="794">
        <v>0.54</v>
      </c>
      <c r="X18" s="794">
        <v>0.54</v>
      </c>
      <c r="Y18" s="794"/>
      <c r="Z18" s="794"/>
      <c r="AA18" s="793" t="s">
        <v>1691</v>
      </c>
    </row>
    <row r="19" spans="1:27" ht="18.75" customHeight="1">
      <c r="A19" s="808">
        <v>827</v>
      </c>
      <c r="B19" s="807" t="s">
        <v>525</v>
      </c>
      <c r="C19" s="806"/>
      <c r="D19" s="805" t="s">
        <v>402</v>
      </c>
      <c r="E19" s="804">
        <v>4</v>
      </c>
      <c r="F19" s="509" t="s">
        <v>996</v>
      </c>
      <c r="G19" s="801" t="s">
        <v>402</v>
      </c>
      <c r="H19" s="803" t="s">
        <v>325</v>
      </c>
      <c r="I19" s="803" t="s">
        <v>686</v>
      </c>
      <c r="J19" s="802" t="s">
        <v>402</v>
      </c>
      <c r="K19" s="801" t="s">
        <v>395</v>
      </c>
      <c r="L19" s="799">
        <v>0.19600000000000001</v>
      </c>
      <c r="M19" s="798">
        <v>1</v>
      </c>
      <c r="N19" s="797">
        <v>1.6168893782141394</v>
      </c>
      <c r="O19" s="800" t="s">
        <v>1696</v>
      </c>
      <c r="P19" s="799">
        <v>0.19600000000000001</v>
      </c>
      <c r="Q19" s="798">
        <v>1</v>
      </c>
      <c r="R19" s="797">
        <v>1.6168893782141394</v>
      </c>
      <c r="S19" s="517" t="s">
        <v>1696</v>
      </c>
      <c r="T19" s="796"/>
      <c r="U19" s="795" t="s">
        <v>1695</v>
      </c>
      <c r="V19" s="794" t="s">
        <v>1692</v>
      </c>
      <c r="W19" s="794">
        <v>196</v>
      </c>
      <c r="X19" s="794">
        <v>196</v>
      </c>
      <c r="Y19" s="794"/>
      <c r="Z19" s="794"/>
      <c r="AA19" s="793" t="s">
        <v>1691</v>
      </c>
    </row>
    <row r="20" spans="1:27">
      <c r="A20" s="808">
        <v>1085</v>
      </c>
      <c r="B20" s="807" t="s">
        <v>525</v>
      </c>
      <c r="C20" s="806"/>
      <c r="D20" s="805" t="s">
        <v>402</v>
      </c>
      <c r="E20" s="804">
        <v>4</v>
      </c>
      <c r="F20" s="509" t="s">
        <v>1006</v>
      </c>
      <c r="G20" s="801" t="s">
        <v>402</v>
      </c>
      <c r="H20" s="803" t="s">
        <v>325</v>
      </c>
      <c r="I20" s="803" t="s">
        <v>686</v>
      </c>
      <c r="J20" s="802" t="s">
        <v>402</v>
      </c>
      <c r="K20" s="801" t="s">
        <v>395</v>
      </c>
      <c r="L20" s="799">
        <v>0.61</v>
      </c>
      <c r="M20" s="798">
        <v>1</v>
      </c>
      <c r="N20" s="797">
        <v>1.3000688016831126</v>
      </c>
      <c r="O20" s="800" t="s">
        <v>1694</v>
      </c>
      <c r="P20" s="799">
        <v>0.61</v>
      </c>
      <c r="Q20" s="798">
        <v>1</v>
      </c>
      <c r="R20" s="797">
        <v>1.3000688016831126</v>
      </c>
      <c r="S20" s="517" t="s">
        <v>1694</v>
      </c>
      <c r="T20" s="796"/>
      <c r="U20" s="795" t="s">
        <v>1693</v>
      </c>
      <c r="V20" s="794" t="s">
        <v>1692</v>
      </c>
      <c r="W20" s="794">
        <v>610</v>
      </c>
      <c r="X20" s="794">
        <v>610</v>
      </c>
      <c r="Y20" s="794"/>
      <c r="Z20" s="794"/>
      <c r="AA20" s="793" t="s">
        <v>1691</v>
      </c>
    </row>
    <row r="21" spans="1:27" s="787" customFormat="1">
      <c r="B21" s="792"/>
      <c r="C21" s="791"/>
      <c r="M21" s="790"/>
      <c r="N21" s="790"/>
      <c r="O21" s="790"/>
      <c r="Q21" s="790"/>
      <c r="R21" s="790"/>
      <c r="S21" s="790"/>
      <c r="T21" s="789"/>
      <c r="U21" s="789"/>
      <c r="V21" s="785"/>
      <c r="W21" s="785"/>
      <c r="X21" s="785"/>
      <c r="Y21" s="785"/>
      <c r="Z21" s="785"/>
      <c r="AA21" s="788"/>
    </row>
    <row r="22" spans="1:27">
      <c r="L22" s="786"/>
      <c r="P22" s="786"/>
      <c r="V22" s="785"/>
      <c r="W22" s="785"/>
      <c r="X22" s="785"/>
      <c r="Y22" s="785"/>
      <c r="Z22" s="785"/>
    </row>
    <row r="23" spans="1:27">
      <c r="V23" s="785"/>
      <c r="W23" s="785"/>
      <c r="X23" s="785"/>
      <c r="Y23" s="785"/>
      <c r="Z23" s="785"/>
    </row>
    <row r="24" spans="1:27">
      <c r="V24" s="785"/>
      <c r="W24" s="785"/>
      <c r="X24" s="785"/>
      <c r="Y24" s="785"/>
      <c r="Z24" s="785"/>
    </row>
    <row r="25" spans="1:27">
      <c r="V25" s="785"/>
      <c r="W25" s="785"/>
      <c r="X25" s="785"/>
      <c r="Y25" s="785"/>
      <c r="Z25" s="785"/>
    </row>
  </sheetData>
  <mergeCells count="1">
    <mergeCell ref="W3:X3"/>
  </mergeCells>
  <conditionalFormatting sqref="L1 P1">
    <cfRule type="cellIs" dxfId="43" priority="1" stopIfTrue="1" operator="equal">
      <formula>$F9</formula>
    </cfRule>
  </conditionalFormatting>
  <conditionalFormatting sqref="B9:B20">
    <cfRule type="cellIs" dxfId="42" priority="2" stopIfTrue="1" operator="notEqual">
      <formula>""</formula>
    </cfRule>
  </conditionalFormatting>
  <dataValidations count="20">
    <dataValidation allowBlank="1" showInputMessage="1" showErrorMessage="1" prompt="Do not enter anything into these fields. _x000a__x000a_Entering the Index-Number in column A will update these fields accordingly (maybe you need to press &quot;F9&quot; to have Excel recalculate the fields). Be sure to have the names-list open._x000a_" sqref="F7:K20"/>
    <dataValidation allowBlank="1" showInputMessage="1" showErrorMessage="1" prompt="Mean amount of elementary flow or intermediate product flow. Enter your values (or the respective equation) here." sqref="P9:P20 L9:L20"/>
    <dataValidation allowBlank="1" showInputMessage="1" showErrorMessage="1" promptTitle="Output Group" prompt="Indicates the kind of output flow. The options 0, 2, and 4 are actively used in the ecoinvent quality network. The codes are: 0=ReferenceProduct_x000a_2=Allocated by product_x000a_4=ToNature_x000a_- = The flow is an Input-Flow_x000a__x000a_" sqref="E7:E20"/>
    <dataValidation allowBlank="1" showInputMessage="1" showErrorMessage="1" promptTitle="Uncertainty Type" prompt="Defines the kind of uncertainty distribution applied on one particular exchange. _x000a__x000a_0 = undefined_x000a_1 = LOGNORMAL (default)_x000a_2 = normal_x000a_3 = triang_x000a_4 = uniform_x000a_" sqref="Q2:Q20 M2:M20"/>
    <dataValidation allowBlank="1" showInputMessage="1" showErrorMessage="1" promptTitle="StandardDeviation" prompt="Do only change when you calculated the Standard Deviation (SD) of the data (square SD for lognormal Distribution, 2*SD for normal Distribution - see column M). _x000a__x000a_Otherwise leave the formula to have it calculated from the Pedigree-Matrix (column Q  to V)." sqref="R2:R20 N2:N20"/>
    <dataValidation allowBlank="1" showInputMessage="1" showErrorMessage="1" promptTitle="GeneralComment" prompt="Do not change, if you use Pedigree Matrix. The comment is generated from the remarks field (enter remarks there) and the Pedigree numbers._x000a__x000a_If you calculated the SD from the data (i.e. without Pedigree Matrix), set a direct reference to the remarks. _x000a__x000a_" sqref="S1:S20 O1:O20"/>
    <dataValidation allowBlank="1" showInputMessage="1" showErrorMessage="1" promptTitle="Input Group" prompt="Indicates the kind of input flow. Within the ecoinvent quality network, only 4 and 5 are actively used (any material, fuel, electricity, heat or service is classified as an input from technosphere)._x000a__x000a_4=FromNature_x000a_5=FromTechnosphere" sqref="D7:D8"/>
    <dataValidation allowBlank="1" showInputMessage="1" showErrorMessage="1" promptTitle="Remarks" prompt="A general comment (data source, calculation procedure, ...) can be made about each individual exchange. The remarks are added to the GeneralComment-field." sqref="U9:U20 AA2:AA3 U3 AA9:AA20"/>
    <dataValidation allowBlank="1" showInputMessage="1" showErrorMessage="1" promptTitle="Empty Line" prompt="An empty line signalises the end of an Ecospold-Dataset. Processes below the first empty line are excluded when exporting to XML. You can use the space below e.g. for additional calculations or comments" sqref="A21:S21 U21 AA21:IJ21"/>
    <dataValidation allowBlank="1" showInputMessage="1" showErrorMessage="1" prompt="This cell is automatically updated from the names List according to the index number in L1. It needs to be identical to the output product." sqref="L3:L6 P3:P6"/>
    <dataValidation allowBlank="1" showInputMessage="1" showErrorMessage="1" promptTitle="Unit" prompt="Unit of the exchange (elementary flow or intermediate product flow)." sqref="F6 K2:K3"/>
    <dataValidation allowBlank="1" showInputMessage="1" showErrorMessage="1" promptTitle="Infrastructure" prompt="Describes whether the intermediate product flow from or to the unit process is an infrastructure process or not._x000a__x000a_Not applicable to elementary flows." sqref="F5 J2:J3"/>
    <dataValidation allowBlank="1" showInputMessage="1" showErrorMessage="1" promptTitle="Name" prompt="Name of the exchange (elementary flow or intermediate product flow) in English language. " sqref="F2:F3"/>
    <dataValidation allowBlank="1" showInputMessage="1" showErrorMessage="1" promptTitle="Location" prompt="List of 2 letter ISO country codes extended by codes for regions, continents, market areas, and organisations and companies._x000a__x000a_See names list (sheet &quot;country&quot;) for the complete list." sqref="G2:G3 F4"/>
    <dataValidation allowBlank="1" showInputMessage="1" showErrorMessage="1" promptTitle="Input Group" prompt="Indicates the kind of input flow. Within the ecoinvent quality network, only 4 and 5 are actively used (any material, fuel, electricity, heat or service is classified as an input from technosphere)._x000a__x000a_4=FromNature_x000a_5=FromTechnosphere_x000a_- = an Output-Flow" sqref="D2:D3 D9:D20"/>
    <dataValidation allowBlank="1" showInputMessage="1" showErrorMessage="1" promptTitle="Output Group" prompt="Indicates the kind of output flow. The options 0, 2, and 4 are actively used in the ecoinvent quality network. The codes are: 0=ReferenceProduct_x000a_2=Allocated by product_x000a_4=ToNature_x000a_- = The flow is an Input-Flow_x000a_" sqref="E2:E3"/>
    <dataValidation allowBlank="1" showInputMessage="1" showErrorMessage="1" promptTitle="Index-Number" prompt="Indicates the reference number in the ecoinvent names list. Insert the index number from the names-list in this field and the rest is completed accordingly._x000a__x000a_If Input-/Outputgroup =4 then see sheet &quot;NamesElementary&quot;_x000a_If I/O-Group=5 then see sheet &quot;Names&quot;" sqref="A2:A3 A17:A20 A9:A12 A14"/>
    <dataValidation allowBlank="1" showInputMessage="1" showErrorMessage="1" promptTitle="Category" prompt="Describes the category one particular exchange belongs to (in English language). Category and subCategory are required for elementary flows because they have a discriminative function." sqref="H2:H3"/>
    <dataValidation allowBlank="1" showInputMessage="1" showErrorMessage="1" promptTitle="Subcategory" prompt="Describes the subCategory one particular exchange belongs to (in English language). Category and subCategory are required for elementary flows because they have a discriminative function." sqref="I2:I3"/>
    <dataValidation allowBlank="1" showInputMessage="1" showErrorMessage="1" prompt="always 1" sqref="L7:L8 P7:P8"/>
  </dataValidations>
  <printOptions horizontalCentered="1" verticalCentered="1"/>
  <pageMargins left="0.78740157480314965" right="0.78740157480314965" top="0.98425196850393704" bottom="0.98425196850393704" header="0.51181102362204722" footer="0.51181102362204722"/>
  <pageSetup paperSize="9" scale="42" orientation="landscape" r:id="rId1"/>
  <headerFooter alignWithMargins="0">
    <oddHeader>&amp;A</oddHeader>
    <oddFooter>&amp;L&amp;D&amp;C&amp;F&amp;RSeite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pageSetUpPr fitToPage="1"/>
  </sheetPr>
  <dimension ref="A1:AV53"/>
  <sheetViews>
    <sheetView zoomScale="70" zoomScaleNormal="70" workbookViewId="0">
      <pane xSplit="11" ySplit="6" topLeftCell="AF7" activePane="bottomRight" state="frozen"/>
      <selection activeCell="J46" sqref="J46"/>
      <selection pane="topRight" activeCell="J46" sqref="J46"/>
      <selection pane="bottomLeft" activeCell="J46" sqref="J46"/>
      <selection pane="bottomRight" activeCell="J46" sqref="J46"/>
    </sheetView>
  </sheetViews>
  <sheetFormatPr defaultColWidth="11.42578125" defaultRowHeight="12" outlineLevelRow="1" outlineLevelCol="1"/>
  <cols>
    <col min="1" max="1" width="10.7109375" style="7" customWidth="1"/>
    <col min="2" max="2" width="17.42578125" style="158" bestFit="1" customWidth="1"/>
    <col min="3" max="3" width="4.140625" style="159" hidden="1" customWidth="1" outlineLevel="1"/>
    <col min="4" max="4" width="5.140625" style="7" hidden="1" customWidth="1" outlineLevel="1"/>
    <col min="5" max="5" width="5.7109375" style="7" hidden="1" customWidth="1" outlineLevel="1"/>
    <col min="6" max="6" width="37.85546875" style="8" customWidth="1" collapsed="1"/>
    <col min="7" max="7" width="6.5703125" style="7" bestFit="1" customWidth="1"/>
    <col min="8" max="8" width="8.28515625" style="7" hidden="1" customWidth="1" outlineLevel="1"/>
    <col min="9" max="9" width="19.42578125" style="7" hidden="1" customWidth="1" outlineLevel="1"/>
    <col min="10" max="10" width="8" style="7" bestFit="1" customWidth="1" collapsed="1"/>
    <col min="11" max="11" width="5.140625" style="7" customWidth="1"/>
    <col min="12" max="12" width="11.5703125" style="7" hidden="1" customWidth="1" outlineLevel="1"/>
    <col min="13" max="13" width="5.7109375" style="32" hidden="1" customWidth="1" outlineLevel="1"/>
    <col min="14" max="14" width="8" style="32" hidden="1" customWidth="1" outlineLevel="1"/>
    <col min="15" max="15" width="48.85546875" style="33" hidden="1" customWidth="1" outlineLevel="1"/>
    <col min="16" max="16" width="13.28515625" style="7" hidden="1" customWidth="1" outlineLevel="1" collapsed="1"/>
    <col min="17" max="17" width="5.7109375" style="32" hidden="1" customWidth="1" outlineLevel="1"/>
    <col min="18" max="18" width="8" style="32" hidden="1" customWidth="1" outlineLevel="1"/>
    <col min="19" max="19" width="48.85546875" style="33" hidden="1" customWidth="1" outlineLevel="1"/>
    <col min="20" max="20" width="12" style="7" hidden="1" customWidth="1" outlineLevel="1" collapsed="1"/>
    <col min="21" max="21" width="4.140625" style="32" hidden="1" customWidth="1" outlineLevel="1"/>
    <col min="22" max="22" width="6.140625" style="32" hidden="1" customWidth="1" outlineLevel="1"/>
    <col min="23" max="23" width="15.42578125" style="33" hidden="1" customWidth="1" outlineLevel="1"/>
    <col min="24" max="24" width="12.140625" style="7" hidden="1" customWidth="1" outlineLevel="1" collapsed="1"/>
    <col min="25" max="25" width="4.7109375" style="32" hidden="1" customWidth="1" outlineLevel="1"/>
    <col min="26" max="26" width="5" style="32" hidden="1" customWidth="1" outlineLevel="1"/>
    <col min="27" max="27" width="31.7109375" style="33" hidden="1" customWidth="1" outlineLevel="1"/>
    <col min="28" max="28" width="12.28515625" style="7" customWidth="1" collapsed="1"/>
    <col min="29" max="29" width="5.7109375" style="32" hidden="1" customWidth="1" outlineLevel="1"/>
    <col min="30" max="30" width="8" style="32" hidden="1" customWidth="1" outlineLevel="1"/>
    <col min="31" max="31" width="15.42578125" style="33" hidden="1" customWidth="1" outlineLevel="1"/>
    <col min="32" max="32" width="10.140625" style="7" customWidth="1" collapsed="1"/>
    <col min="33" max="33" width="5.28515625" style="32" hidden="1" customWidth="1" outlineLevel="1"/>
    <col min="34" max="34" width="7.140625" style="32" hidden="1" customWidth="1" outlineLevel="1"/>
    <col min="35" max="35" width="27.28515625" style="33" hidden="1" customWidth="1" outlineLevel="1"/>
    <col min="36" max="36" width="8.140625" style="592" hidden="1" customWidth="1" outlineLevel="1"/>
    <col min="37" max="37" width="16.28515625" style="7" customWidth="1" collapsed="1"/>
    <col min="38" max="38" width="5.7109375" style="32" hidden="1" customWidth="1" outlineLevel="1"/>
    <col min="39" max="39" width="8" style="32" hidden="1" customWidth="1" outlineLevel="1"/>
    <col min="40" max="40" width="48.85546875" style="33" hidden="1" customWidth="1" outlineLevel="1"/>
    <col min="41" max="41" width="16.140625" style="7" bestFit="1" customWidth="1" collapsed="1"/>
    <col min="42" max="42" width="3.85546875" style="32" customWidth="1" outlineLevel="1"/>
    <col min="43" max="43" width="5.140625" style="32" customWidth="1" outlineLevel="1"/>
    <col min="44" max="44" width="31.7109375" style="33" customWidth="1" outlineLevel="1"/>
    <col min="45" max="45" width="17.28515625" style="7" bestFit="1" customWidth="1"/>
    <col min="46" max="46" width="5.7109375" style="32" customWidth="1" outlineLevel="1"/>
    <col min="47" max="47" width="8" style="32" customWidth="1" outlineLevel="1"/>
    <col min="48" max="48" width="45" style="33" customWidth="1" outlineLevel="1"/>
    <col min="49" max="16384" width="11.42578125" style="7"/>
  </cols>
  <sheetData>
    <row r="1" spans="1:48">
      <c r="A1" s="36"/>
      <c r="B1" s="34"/>
      <c r="C1" s="35"/>
      <c r="D1" s="36"/>
      <c r="E1" s="36"/>
      <c r="F1" s="37" t="s">
        <v>510</v>
      </c>
      <c r="G1" s="36"/>
      <c r="H1" s="36"/>
      <c r="I1" s="36"/>
      <c r="J1" s="36"/>
      <c r="K1" s="36"/>
      <c r="L1" s="122" t="s">
        <v>752</v>
      </c>
      <c r="M1" s="22"/>
      <c r="N1" s="22"/>
      <c r="O1" s="22"/>
      <c r="P1" s="122" t="s">
        <v>753</v>
      </c>
      <c r="Q1" s="22"/>
      <c r="R1" s="22"/>
      <c r="S1" s="22"/>
      <c r="T1" s="615" t="s">
        <v>870</v>
      </c>
      <c r="U1" s="22"/>
      <c r="V1" s="22"/>
      <c r="W1" s="22"/>
      <c r="X1" s="615" t="s">
        <v>871</v>
      </c>
      <c r="Y1" s="22"/>
      <c r="Z1" s="22"/>
      <c r="AA1" s="324"/>
      <c r="AB1" s="615" t="s">
        <v>872</v>
      </c>
      <c r="AC1" s="22"/>
      <c r="AD1" s="22"/>
      <c r="AE1" s="22"/>
      <c r="AF1" s="615" t="s">
        <v>873</v>
      </c>
      <c r="AG1" s="22"/>
      <c r="AH1" s="22"/>
      <c r="AI1" s="324"/>
      <c r="AJ1" s="588"/>
      <c r="AK1" s="122">
        <v>50</v>
      </c>
      <c r="AL1" s="22"/>
      <c r="AM1" s="22"/>
      <c r="AN1" s="22"/>
      <c r="AO1" s="122">
        <v>4832</v>
      </c>
      <c r="AP1" s="22"/>
      <c r="AQ1" s="22"/>
      <c r="AR1" s="324"/>
      <c r="AS1" s="122">
        <v>53</v>
      </c>
      <c r="AT1" s="22"/>
      <c r="AU1" s="22"/>
      <c r="AV1" s="22"/>
    </row>
    <row r="2" spans="1:48">
      <c r="A2" s="36"/>
      <c r="B2" s="147"/>
      <c r="C2" s="35" t="s">
        <v>511</v>
      </c>
      <c r="D2" s="147">
        <v>3503</v>
      </c>
      <c r="E2" s="147">
        <v>3504</v>
      </c>
      <c r="F2" s="147">
        <v>3702</v>
      </c>
      <c r="G2" s="147">
        <v>3703</v>
      </c>
      <c r="H2" s="147">
        <v>3506</v>
      </c>
      <c r="I2" s="147">
        <v>3507</v>
      </c>
      <c r="J2" s="147">
        <v>3508</v>
      </c>
      <c r="K2" s="147">
        <v>3706</v>
      </c>
      <c r="L2" s="147">
        <v>3707</v>
      </c>
      <c r="M2" s="23">
        <v>3708</v>
      </c>
      <c r="N2" s="23">
        <v>3709</v>
      </c>
      <c r="O2" s="24">
        <v>3792</v>
      </c>
      <c r="P2" s="147">
        <v>3707</v>
      </c>
      <c r="Q2" s="23">
        <v>3708</v>
      </c>
      <c r="R2" s="23">
        <v>3709</v>
      </c>
      <c r="S2" s="24">
        <v>3792</v>
      </c>
      <c r="T2" s="147">
        <v>3707</v>
      </c>
      <c r="U2" s="23">
        <v>3708</v>
      </c>
      <c r="V2" s="23">
        <v>3709</v>
      </c>
      <c r="W2" s="24">
        <v>3792</v>
      </c>
      <c r="X2" s="147">
        <v>3707</v>
      </c>
      <c r="Y2" s="23">
        <v>3708</v>
      </c>
      <c r="Z2" s="23">
        <v>3709</v>
      </c>
      <c r="AA2" s="24">
        <v>3792</v>
      </c>
      <c r="AB2" s="147">
        <v>3707</v>
      </c>
      <c r="AC2" s="23">
        <v>3708</v>
      </c>
      <c r="AD2" s="23">
        <v>3709</v>
      </c>
      <c r="AE2" s="24">
        <v>3792</v>
      </c>
      <c r="AF2" s="147">
        <v>3707</v>
      </c>
      <c r="AG2" s="23">
        <v>3708</v>
      </c>
      <c r="AH2" s="23">
        <v>3709</v>
      </c>
      <c r="AI2" s="24">
        <v>3792</v>
      </c>
      <c r="AJ2" s="589"/>
      <c r="AK2" s="147">
        <v>3707</v>
      </c>
      <c r="AL2" s="23">
        <v>3708</v>
      </c>
      <c r="AM2" s="23">
        <v>3709</v>
      </c>
      <c r="AN2" s="24">
        <v>3792</v>
      </c>
      <c r="AO2" s="147">
        <v>3707</v>
      </c>
      <c r="AP2" s="23">
        <v>3708</v>
      </c>
      <c r="AQ2" s="23">
        <v>3709</v>
      </c>
      <c r="AR2" s="24">
        <v>3792</v>
      </c>
      <c r="AS2" s="147">
        <v>3707</v>
      </c>
      <c r="AT2" s="23">
        <v>3708</v>
      </c>
      <c r="AU2" s="23">
        <v>3709</v>
      </c>
      <c r="AV2" s="24">
        <v>3792</v>
      </c>
    </row>
    <row r="3" spans="1:48" ht="101.25">
      <c r="A3" s="36" t="s">
        <v>398</v>
      </c>
      <c r="B3" s="166"/>
      <c r="C3" s="35">
        <v>401</v>
      </c>
      <c r="D3" s="167" t="s">
        <v>514</v>
      </c>
      <c r="E3" s="167" t="s">
        <v>515</v>
      </c>
      <c r="F3" s="132" t="s">
        <v>516</v>
      </c>
      <c r="G3" s="41" t="s">
        <v>517</v>
      </c>
      <c r="H3" s="41" t="s">
        <v>518</v>
      </c>
      <c r="I3" s="41" t="s">
        <v>519</v>
      </c>
      <c r="J3" s="41" t="s">
        <v>520</v>
      </c>
      <c r="K3" s="41" t="s">
        <v>394</v>
      </c>
      <c r="L3" s="148" t="s">
        <v>1160</v>
      </c>
      <c r="M3" s="25" t="s">
        <v>265</v>
      </c>
      <c r="N3" s="25" t="s">
        <v>266</v>
      </c>
      <c r="O3" s="128" t="s">
        <v>548</v>
      </c>
      <c r="P3" s="148" t="s">
        <v>1161</v>
      </c>
      <c r="Q3" s="25" t="s">
        <v>265</v>
      </c>
      <c r="R3" s="25" t="s">
        <v>266</v>
      </c>
      <c r="S3" s="128" t="s">
        <v>548</v>
      </c>
      <c r="T3" s="148" t="s">
        <v>1160</v>
      </c>
      <c r="U3" s="25" t="s">
        <v>265</v>
      </c>
      <c r="V3" s="25" t="s">
        <v>266</v>
      </c>
      <c r="W3" s="128" t="s">
        <v>548</v>
      </c>
      <c r="X3" s="148" t="s">
        <v>1161</v>
      </c>
      <c r="Y3" s="25" t="s">
        <v>265</v>
      </c>
      <c r="Z3" s="25" t="s">
        <v>266</v>
      </c>
      <c r="AA3" s="128" t="s">
        <v>548</v>
      </c>
      <c r="AB3" s="148" t="s">
        <v>1160</v>
      </c>
      <c r="AC3" s="25" t="s">
        <v>265</v>
      </c>
      <c r="AD3" s="25" t="s">
        <v>266</v>
      </c>
      <c r="AE3" s="128" t="s">
        <v>548</v>
      </c>
      <c r="AF3" s="148" t="s">
        <v>1161</v>
      </c>
      <c r="AG3" s="25" t="s">
        <v>265</v>
      </c>
      <c r="AH3" s="25" t="s">
        <v>266</v>
      </c>
      <c r="AI3" s="128" t="s">
        <v>548</v>
      </c>
      <c r="AJ3" s="599"/>
      <c r="AK3" s="148" t="s">
        <v>1160</v>
      </c>
      <c r="AL3" s="25" t="s">
        <v>265</v>
      </c>
      <c r="AM3" s="25" t="s">
        <v>266</v>
      </c>
      <c r="AN3" s="128" t="s">
        <v>548</v>
      </c>
      <c r="AO3" s="148" t="s">
        <v>1161</v>
      </c>
      <c r="AP3" s="25" t="s">
        <v>265</v>
      </c>
      <c r="AQ3" s="25" t="s">
        <v>266</v>
      </c>
      <c r="AR3" s="128" t="s">
        <v>548</v>
      </c>
      <c r="AS3" s="148" t="s">
        <v>1162</v>
      </c>
      <c r="AT3" s="25" t="s">
        <v>265</v>
      </c>
      <c r="AU3" s="25" t="s">
        <v>266</v>
      </c>
      <c r="AV3" s="128" t="s">
        <v>548</v>
      </c>
    </row>
    <row r="4" spans="1:48">
      <c r="A4" s="36"/>
      <c r="B4" s="166"/>
      <c r="C4" s="35">
        <v>662</v>
      </c>
      <c r="D4" s="9"/>
      <c r="E4" s="9"/>
      <c r="F4" s="132" t="s">
        <v>517</v>
      </c>
      <c r="G4" s="132"/>
      <c r="H4" s="132"/>
      <c r="I4" s="132"/>
      <c r="J4" s="132"/>
      <c r="K4" s="132"/>
      <c r="L4" s="148" t="s">
        <v>1105</v>
      </c>
      <c r="M4" s="129"/>
      <c r="N4" s="129"/>
      <c r="O4" s="130"/>
      <c r="P4" s="148" t="s">
        <v>1105</v>
      </c>
      <c r="Q4" s="129"/>
      <c r="R4" s="129"/>
      <c r="S4" s="130"/>
      <c r="T4" s="148" t="s">
        <v>465</v>
      </c>
      <c r="U4" s="129"/>
      <c r="V4" s="129"/>
      <c r="W4" s="130"/>
      <c r="X4" s="148" t="s">
        <v>465</v>
      </c>
      <c r="Y4" s="129"/>
      <c r="Z4" s="129"/>
      <c r="AA4" s="130"/>
      <c r="AB4" s="148" t="s">
        <v>956</v>
      </c>
      <c r="AC4" s="129"/>
      <c r="AD4" s="129"/>
      <c r="AE4" s="130"/>
      <c r="AF4" s="148" t="s">
        <v>956</v>
      </c>
      <c r="AG4" s="129"/>
      <c r="AH4" s="129"/>
      <c r="AI4" s="130"/>
      <c r="AJ4" s="600"/>
      <c r="AK4" s="148" t="s">
        <v>268</v>
      </c>
      <c r="AL4" s="129"/>
      <c r="AM4" s="129"/>
      <c r="AN4" s="130"/>
      <c r="AO4" s="148" t="s">
        <v>268</v>
      </c>
      <c r="AP4" s="129"/>
      <c r="AQ4" s="129"/>
      <c r="AR4" s="130"/>
      <c r="AS4" s="148" t="s">
        <v>268</v>
      </c>
      <c r="AT4" s="129"/>
      <c r="AU4" s="129"/>
      <c r="AV4" s="130"/>
    </row>
    <row r="5" spans="1:48">
      <c r="A5" s="36"/>
      <c r="B5" s="166"/>
      <c r="C5" s="35">
        <v>493</v>
      </c>
      <c r="D5" s="9"/>
      <c r="E5" s="9"/>
      <c r="F5" s="132" t="s">
        <v>520</v>
      </c>
      <c r="G5" s="132"/>
      <c r="H5" s="132"/>
      <c r="I5" s="132"/>
      <c r="J5" s="132"/>
      <c r="K5" s="132"/>
      <c r="L5" s="148">
        <v>0</v>
      </c>
      <c r="M5" s="129"/>
      <c r="N5" s="129"/>
      <c r="O5" s="130"/>
      <c r="P5" s="148">
        <v>0</v>
      </c>
      <c r="Q5" s="129"/>
      <c r="R5" s="129"/>
      <c r="S5" s="130"/>
      <c r="T5" s="148">
        <v>0</v>
      </c>
      <c r="U5" s="129"/>
      <c r="V5" s="129"/>
      <c r="W5" s="130"/>
      <c r="X5" s="148">
        <v>0</v>
      </c>
      <c r="Y5" s="129"/>
      <c r="Z5" s="129"/>
      <c r="AA5" s="130"/>
      <c r="AB5" s="148">
        <v>0</v>
      </c>
      <c r="AC5" s="129"/>
      <c r="AD5" s="129"/>
      <c r="AE5" s="130"/>
      <c r="AF5" s="148">
        <v>0</v>
      </c>
      <c r="AG5" s="129"/>
      <c r="AH5" s="129"/>
      <c r="AI5" s="130"/>
      <c r="AJ5" s="600"/>
      <c r="AK5" s="148">
        <v>0</v>
      </c>
      <c r="AL5" s="129"/>
      <c r="AM5" s="129"/>
      <c r="AN5" s="130"/>
      <c r="AO5" s="148">
        <v>0</v>
      </c>
      <c r="AP5" s="129"/>
      <c r="AQ5" s="129"/>
      <c r="AR5" s="130"/>
      <c r="AS5" s="148">
        <v>0</v>
      </c>
      <c r="AT5" s="129"/>
      <c r="AU5" s="129"/>
      <c r="AV5" s="130"/>
    </row>
    <row r="6" spans="1:48">
      <c r="A6" s="36"/>
      <c r="B6" s="166"/>
      <c r="C6" s="35">
        <v>403</v>
      </c>
      <c r="D6" s="9"/>
      <c r="E6" s="9"/>
      <c r="F6" s="132" t="s">
        <v>394</v>
      </c>
      <c r="G6" s="352"/>
      <c r="H6" s="132"/>
      <c r="I6" s="132"/>
      <c r="J6" s="132"/>
      <c r="K6" s="132"/>
      <c r="L6" s="148" t="s">
        <v>395</v>
      </c>
      <c r="M6" s="129"/>
      <c r="N6" s="129"/>
      <c r="O6" s="130"/>
      <c r="P6" s="148" t="s">
        <v>395</v>
      </c>
      <c r="Q6" s="129"/>
      <c r="R6" s="129"/>
      <c r="S6" s="130"/>
      <c r="T6" s="148" t="s">
        <v>395</v>
      </c>
      <c r="U6" s="129"/>
      <c r="V6" s="129"/>
      <c r="W6" s="130"/>
      <c r="X6" s="148" t="s">
        <v>395</v>
      </c>
      <c r="Y6" s="129"/>
      <c r="Z6" s="129"/>
      <c r="AA6" s="130"/>
      <c r="AB6" s="148" t="s">
        <v>395</v>
      </c>
      <c r="AC6" s="129"/>
      <c r="AD6" s="129"/>
      <c r="AE6" s="130"/>
      <c r="AF6" s="148" t="s">
        <v>395</v>
      </c>
      <c r="AG6" s="129"/>
      <c r="AH6" s="129"/>
      <c r="AI6" s="130"/>
      <c r="AJ6" s="600"/>
      <c r="AK6" s="148" t="s">
        <v>395</v>
      </c>
      <c r="AL6" s="129"/>
      <c r="AM6" s="129"/>
      <c r="AN6" s="130"/>
      <c r="AO6" s="148" t="s">
        <v>395</v>
      </c>
      <c r="AP6" s="129"/>
      <c r="AQ6" s="129"/>
      <c r="AR6" s="130"/>
      <c r="AS6" s="148" t="s">
        <v>395</v>
      </c>
      <c r="AT6" s="129"/>
      <c r="AU6" s="129"/>
      <c r="AV6" s="130"/>
    </row>
    <row r="7" spans="1:48">
      <c r="A7" s="122">
        <v>50</v>
      </c>
      <c r="B7" s="168" t="s">
        <v>329</v>
      </c>
      <c r="C7" s="169"/>
      <c r="D7" s="11" t="s">
        <v>402</v>
      </c>
      <c r="E7" s="170">
        <v>0</v>
      </c>
      <c r="F7" s="145" t="s">
        <v>1160</v>
      </c>
      <c r="G7" s="16" t="s">
        <v>268</v>
      </c>
      <c r="H7" s="14" t="s">
        <v>402</v>
      </c>
      <c r="I7" s="14" t="s">
        <v>402</v>
      </c>
      <c r="J7" s="15">
        <v>0</v>
      </c>
      <c r="K7" s="16" t="s">
        <v>395</v>
      </c>
      <c r="L7" s="606">
        <v>0</v>
      </c>
      <c r="M7" s="29"/>
      <c r="N7" s="1"/>
      <c r="O7" s="31"/>
      <c r="P7" s="606">
        <v>0</v>
      </c>
      <c r="Q7" s="29"/>
      <c r="R7" s="1"/>
      <c r="S7" s="31"/>
      <c r="T7" s="606">
        <v>0</v>
      </c>
      <c r="U7" s="29"/>
      <c r="V7" s="1"/>
      <c r="W7" s="31"/>
      <c r="X7" s="606">
        <v>0</v>
      </c>
      <c r="Y7" s="29"/>
      <c r="Z7" s="1"/>
      <c r="AA7" s="31"/>
      <c r="AB7" s="606">
        <v>0</v>
      </c>
      <c r="AC7" s="29"/>
      <c r="AD7" s="1"/>
      <c r="AE7" s="31"/>
      <c r="AF7" s="606">
        <v>0</v>
      </c>
      <c r="AG7" s="29"/>
      <c r="AH7" s="1"/>
      <c r="AI7" s="31"/>
      <c r="AJ7" s="590"/>
      <c r="AK7" s="584">
        <v>1</v>
      </c>
      <c r="AL7" s="29"/>
      <c r="AM7" s="1"/>
      <c r="AN7" s="31"/>
      <c r="AO7" s="149">
        <v>0</v>
      </c>
      <c r="AP7" s="29"/>
      <c r="AQ7" s="1"/>
      <c r="AR7" s="31"/>
      <c r="AS7" s="149">
        <v>0</v>
      </c>
      <c r="AT7" s="29"/>
      <c r="AU7" s="1"/>
      <c r="AV7" s="31"/>
    </row>
    <row r="8" spans="1:48">
      <c r="A8" s="122">
        <v>4832</v>
      </c>
      <c r="B8" s="168"/>
      <c r="C8" s="169"/>
      <c r="D8" s="11" t="s">
        <v>402</v>
      </c>
      <c r="E8" s="170">
        <v>0</v>
      </c>
      <c r="F8" s="145" t="s">
        <v>1161</v>
      </c>
      <c r="G8" s="16" t="s">
        <v>268</v>
      </c>
      <c r="H8" s="14" t="s">
        <v>402</v>
      </c>
      <c r="I8" s="14" t="s">
        <v>402</v>
      </c>
      <c r="J8" s="15">
        <v>0</v>
      </c>
      <c r="K8" s="16" t="s">
        <v>395</v>
      </c>
      <c r="L8" s="606">
        <v>0</v>
      </c>
      <c r="M8" s="29"/>
      <c r="N8" s="1"/>
      <c r="O8" s="31"/>
      <c r="P8" s="606">
        <v>0</v>
      </c>
      <c r="Q8" s="29"/>
      <c r="R8" s="1"/>
      <c r="S8" s="31"/>
      <c r="T8" s="606">
        <v>0</v>
      </c>
      <c r="U8" s="29"/>
      <c r="V8" s="1"/>
      <c r="W8" s="31"/>
      <c r="X8" s="606">
        <v>0</v>
      </c>
      <c r="Y8" s="29"/>
      <c r="Z8" s="1"/>
      <c r="AA8" s="31"/>
      <c r="AB8" s="606">
        <v>0</v>
      </c>
      <c r="AC8" s="29"/>
      <c r="AD8" s="1"/>
      <c r="AE8" s="31"/>
      <c r="AF8" s="606">
        <v>0</v>
      </c>
      <c r="AG8" s="29"/>
      <c r="AH8" s="1"/>
      <c r="AI8" s="31"/>
      <c r="AJ8" s="590"/>
      <c r="AK8" s="149">
        <v>0</v>
      </c>
      <c r="AL8" s="29"/>
      <c r="AM8" s="1"/>
      <c r="AN8" s="31"/>
      <c r="AO8" s="584">
        <v>1</v>
      </c>
      <c r="AP8" s="29"/>
      <c r="AQ8" s="1"/>
      <c r="AR8" s="31"/>
      <c r="AS8" s="149">
        <v>0</v>
      </c>
      <c r="AT8" s="29"/>
      <c r="AU8" s="1"/>
      <c r="AV8" s="31"/>
    </row>
    <row r="9" spans="1:48" hidden="1" outlineLevel="1">
      <c r="A9" s="2">
        <v>53</v>
      </c>
      <c r="B9" s="168"/>
      <c r="C9" s="169"/>
      <c r="D9" s="11" t="s">
        <v>402</v>
      </c>
      <c r="E9" s="170">
        <v>0</v>
      </c>
      <c r="F9" s="145" t="s">
        <v>1162</v>
      </c>
      <c r="G9" s="16" t="s">
        <v>268</v>
      </c>
      <c r="H9" s="14" t="s">
        <v>402</v>
      </c>
      <c r="I9" s="14" t="s">
        <v>402</v>
      </c>
      <c r="J9" s="15">
        <v>0</v>
      </c>
      <c r="K9" s="16" t="s">
        <v>395</v>
      </c>
      <c r="L9" s="606">
        <v>0</v>
      </c>
      <c r="M9" s="29"/>
      <c r="N9" s="1"/>
      <c r="O9" s="248"/>
      <c r="P9" s="606">
        <v>0</v>
      </c>
      <c r="Q9" s="29"/>
      <c r="R9" s="1"/>
      <c r="S9" s="248"/>
      <c r="T9" s="606">
        <v>0</v>
      </c>
      <c r="U9" s="29"/>
      <c r="V9" s="1"/>
      <c r="W9" s="248"/>
      <c r="X9" s="606">
        <v>0</v>
      </c>
      <c r="Y9" s="29"/>
      <c r="Z9" s="1"/>
      <c r="AA9" s="248"/>
      <c r="AB9" s="606">
        <v>0</v>
      </c>
      <c r="AC9" s="29"/>
      <c r="AD9" s="1"/>
      <c r="AE9" s="248"/>
      <c r="AF9" s="606">
        <v>0</v>
      </c>
      <c r="AG9" s="29"/>
      <c r="AH9" s="1"/>
      <c r="AI9" s="248"/>
      <c r="AJ9" s="601"/>
      <c r="AK9" s="149">
        <v>0</v>
      </c>
      <c r="AL9" s="29"/>
      <c r="AM9" s="1"/>
      <c r="AN9" s="248"/>
      <c r="AO9" s="149">
        <v>0</v>
      </c>
      <c r="AP9" s="29"/>
      <c r="AQ9" s="1"/>
      <c r="AR9" s="248"/>
      <c r="AS9" s="584">
        <v>1</v>
      </c>
      <c r="AT9" s="29"/>
      <c r="AU9" s="1"/>
      <c r="AV9" s="248"/>
    </row>
    <row r="10" spans="1:48" hidden="1" outlineLevel="1">
      <c r="A10" s="471" t="s">
        <v>752</v>
      </c>
      <c r="B10" s="168"/>
      <c r="C10" s="169"/>
      <c r="D10" s="11" t="s">
        <v>402</v>
      </c>
      <c r="E10" s="170">
        <v>0</v>
      </c>
      <c r="F10" s="145" t="s">
        <v>1160</v>
      </c>
      <c r="G10" s="16" t="s">
        <v>1105</v>
      </c>
      <c r="H10" s="14" t="s">
        <v>402</v>
      </c>
      <c r="I10" s="14" t="s">
        <v>402</v>
      </c>
      <c r="J10" s="15">
        <v>0</v>
      </c>
      <c r="K10" s="16" t="s">
        <v>395</v>
      </c>
      <c r="L10" s="606">
        <v>1</v>
      </c>
      <c r="M10" s="29"/>
      <c r="N10" s="1"/>
      <c r="O10" s="248"/>
      <c r="P10" s="606">
        <v>0</v>
      </c>
      <c r="Q10" s="29"/>
      <c r="R10" s="1"/>
      <c r="S10" s="248"/>
      <c r="T10" s="606">
        <v>0</v>
      </c>
      <c r="U10" s="29"/>
      <c r="V10" s="1"/>
      <c r="W10" s="248"/>
      <c r="X10" s="606">
        <v>0</v>
      </c>
      <c r="Y10" s="29"/>
      <c r="Z10" s="1"/>
      <c r="AA10" s="248"/>
      <c r="AB10" s="606">
        <v>0</v>
      </c>
      <c r="AC10" s="29"/>
      <c r="AD10" s="1"/>
      <c r="AE10" s="248"/>
      <c r="AF10" s="606">
        <v>0</v>
      </c>
      <c r="AG10" s="29"/>
      <c r="AH10" s="1"/>
      <c r="AI10" s="248"/>
      <c r="AJ10" s="601"/>
      <c r="AK10" s="149">
        <v>0</v>
      </c>
      <c r="AL10" s="29"/>
      <c r="AM10" s="1"/>
      <c r="AN10" s="248"/>
      <c r="AO10" s="149">
        <v>0</v>
      </c>
      <c r="AP10" s="29"/>
      <c r="AQ10" s="1"/>
      <c r="AR10" s="248"/>
      <c r="AS10" s="149">
        <v>0</v>
      </c>
      <c r="AT10" s="29"/>
      <c r="AU10" s="1"/>
      <c r="AV10" s="248"/>
    </row>
    <row r="11" spans="1:48" hidden="1" outlineLevel="1">
      <c r="A11" s="471" t="s">
        <v>753</v>
      </c>
      <c r="B11" s="168"/>
      <c r="C11" s="169"/>
      <c r="D11" s="11" t="s">
        <v>402</v>
      </c>
      <c r="E11" s="170">
        <v>0</v>
      </c>
      <c r="F11" s="145" t="s">
        <v>1161</v>
      </c>
      <c r="G11" s="16" t="s">
        <v>1105</v>
      </c>
      <c r="H11" s="14" t="s">
        <v>402</v>
      </c>
      <c r="I11" s="14" t="s">
        <v>402</v>
      </c>
      <c r="J11" s="15">
        <v>0</v>
      </c>
      <c r="K11" s="16" t="s">
        <v>395</v>
      </c>
      <c r="L11" s="606">
        <v>0</v>
      </c>
      <c r="M11" s="29"/>
      <c r="N11" s="1"/>
      <c r="O11" s="248"/>
      <c r="P11" s="606">
        <v>1</v>
      </c>
      <c r="Q11" s="29"/>
      <c r="R11" s="1"/>
      <c r="S11" s="248"/>
      <c r="T11" s="606">
        <v>0</v>
      </c>
      <c r="U11" s="29"/>
      <c r="V11" s="1"/>
      <c r="W11" s="248"/>
      <c r="X11" s="606">
        <v>0</v>
      </c>
      <c r="Y11" s="29"/>
      <c r="Z11" s="1"/>
      <c r="AA11" s="248"/>
      <c r="AB11" s="606">
        <v>0</v>
      </c>
      <c r="AC11" s="29"/>
      <c r="AD11" s="1"/>
      <c r="AE11" s="248"/>
      <c r="AF11" s="606">
        <v>0</v>
      </c>
      <c r="AG11" s="29"/>
      <c r="AH11" s="1"/>
      <c r="AI11" s="248"/>
      <c r="AJ11" s="601"/>
      <c r="AK11" s="149">
        <v>0</v>
      </c>
      <c r="AL11" s="29"/>
      <c r="AM11" s="1"/>
      <c r="AN11" s="248"/>
      <c r="AO11" s="149">
        <v>0</v>
      </c>
      <c r="AP11" s="29"/>
      <c r="AQ11" s="1"/>
      <c r="AR11" s="248"/>
      <c r="AS11" s="149">
        <v>0</v>
      </c>
      <c r="AT11" s="29"/>
      <c r="AU11" s="1"/>
      <c r="AV11" s="248"/>
    </row>
    <row r="12" spans="1:48" hidden="1" outlineLevel="1">
      <c r="A12" s="471" t="s">
        <v>870</v>
      </c>
      <c r="B12" s="168"/>
      <c r="C12" s="169"/>
      <c r="D12" s="11" t="s">
        <v>402</v>
      </c>
      <c r="E12" s="170">
        <v>0</v>
      </c>
      <c r="F12" s="145" t="s">
        <v>1160</v>
      </c>
      <c r="G12" s="16" t="s">
        <v>465</v>
      </c>
      <c r="H12" s="14" t="s">
        <v>402</v>
      </c>
      <c r="I12" s="14" t="s">
        <v>402</v>
      </c>
      <c r="J12" s="15">
        <v>0</v>
      </c>
      <c r="K12" s="16" t="s">
        <v>395</v>
      </c>
      <c r="L12" s="606">
        <v>0</v>
      </c>
      <c r="M12" s="29"/>
      <c r="N12" s="1"/>
      <c r="O12" s="248"/>
      <c r="P12" s="606">
        <v>0</v>
      </c>
      <c r="Q12" s="29"/>
      <c r="R12" s="1"/>
      <c r="S12" s="248"/>
      <c r="T12" s="606">
        <v>1</v>
      </c>
      <c r="U12" s="29"/>
      <c r="V12" s="1"/>
      <c r="W12" s="248"/>
      <c r="X12" s="606">
        <v>0</v>
      </c>
      <c r="Y12" s="29"/>
      <c r="Z12" s="1"/>
      <c r="AA12" s="248"/>
      <c r="AB12" s="606">
        <v>0</v>
      </c>
      <c r="AC12" s="29"/>
      <c r="AD12" s="1"/>
      <c r="AE12" s="248"/>
      <c r="AF12" s="606">
        <v>0</v>
      </c>
      <c r="AG12" s="29"/>
      <c r="AH12" s="1"/>
      <c r="AI12" s="248"/>
      <c r="AJ12" s="601"/>
      <c r="AK12" s="149">
        <v>0</v>
      </c>
      <c r="AL12" s="29"/>
      <c r="AM12" s="1"/>
      <c r="AN12" s="248"/>
      <c r="AO12" s="149">
        <v>0</v>
      </c>
      <c r="AP12" s="29"/>
      <c r="AQ12" s="1"/>
      <c r="AR12" s="248"/>
      <c r="AS12" s="149">
        <v>0</v>
      </c>
      <c r="AT12" s="29"/>
      <c r="AU12" s="1"/>
      <c r="AV12" s="248"/>
    </row>
    <row r="13" spans="1:48" hidden="1" outlineLevel="1">
      <c r="A13" s="471" t="s">
        <v>871</v>
      </c>
      <c r="B13" s="168"/>
      <c r="C13" s="169"/>
      <c r="D13" s="11" t="s">
        <v>402</v>
      </c>
      <c r="E13" s="170">
        <v>0</v>
      </c>
      <c r="F13" s="145" t="s">
        <v>1161</v>
      </c>
      <c r="G13" s="16" t="s">
        <v>465</v>
      </c>
      <c r="H13" s="14" t="s">
        <v>402</v>
      </c>
      <c r="I13" s="14" t="s">
        <v>402</v>
      </c>
      <c r="J13" s="15">
        <v>0</v>
      </c>
      <c r="K13" s="16" t="s">
        <v>395</v>
      </c>
      <c r="L13" s="606">
        <v>0</v>
      </c>
      <c r="M13" s="29"/>
      <c r="N13" s="1"/>
      <c r="O13" s="248"/>
      <c r="P13" s="606">
        <v>0</v>
      </c>
      <c r="Q13" s="29"/>
      <c r="R13" s="1"/>
      <c r="S13" s="248"/>
      <c r="T13" s="606">
        <v>0</v>
      </c>
      <c r="U13" s="29"/>
      <c r="V13" s="1"/>
      <c r="W13" s="248"/>
      <c r="X13" s="606">
        <v>1</v>
      </c>
      <c r="Y13" s="29"/>
      <c r="Z13" s="1"/>
      <c r="AA13" s="248"/>
      <c r="AB13" s="606">
        <v>0</v>
      </c>
      <c r="AC13" s="29"/>
      <c r="AD13" s="1"/>
      <c r="AE13" s="248"/>
      <c r="AF13" s="606">
        <v>0</v>
      </c>
      <c r="AG13" s="29"/>
      <c r="AH13" s="1"/>
      <c r="AI13" s="248"/>
      <c r="AJ13" s="601"/>
      <c r="AK13" s="149">
        <v>0</v>
      </c>
      <c r="AL13" s="29"/>
      <c r="AM13" s="1"/>
      <c r="AN13" s="248"/>
      <c r="AO13" s="149">
        <v>0</v>
      </c>
      <c r="AP13" s="29"/>
      <c r="AQ13" s="1"/>
      <c r="AR13" s="248"/>
      <c r="AS13" s="149">
        <v>0</v>
      </c>
      <c r="AT13" s="29"/>
      <c r="AU13" s="1"/>
      <c r="AV13" s="248"/>
    </row>
    <row r="14" spans="1:48" collapsed="1">
      <c r="A14" s="471" t="s">
        <v>872</v>
      </c>
      <c r="B14" s="168"/>
      <c r="C14" s="169"/>
      <c r="D14" s="11" t="s">
        <v>402</v>
      </c>
      <c r="E14" s="170">
        <v>0</v>
      </c>
      <c r="F14" s="145" t="s">
        <v>1160</v>
      </c>
      <c r="G14" s="16" t="s">
        <v>956</v>
      </c>
      <c r="H14" s="14" t="s">
        <v>402</v>
      </c>
      <c r="I14" s="14" t="s">
        <v>402</v>
      </c>
      <c r="J14" s="15">
        <v>0</v>
      </c>
      <c r="K14" s="16" t="s">
        <v>395</v>
      </c>
      <c r="L14" s="606">
        <v>0</v>
      </c>
      <c r="M14" s="29"/>
      <c r="N14" s="1"/>
      <c r="O14" s="248"/>
      <c r="P14" s="606">
        <v>0</v>
      </c>
      <c r="Q14" s="29"/>
      <c r="R14" s="1"/>
      <c r="S14" s="248"/>
      <c r="T14" s="606">
        <v>0</v>
      </c>
      <c r="U14" s="29"/>
      <c r="V14" s="1"/>
      <c r="W14" s="248"/>
      <c r="X14" s="606">
        <v>0</v>
      </c>
      <c r="Y14" s="29"/>
      <c r="Z14" s="1"/>
      <c r="AA14" s="248"/>
      <c r="AB14" s="584">
        <v>1</v>
      </c>
      <c r="AC14" s="29"/>
      <c r="AD14" s="1"/>
      <c r="AE14" s="248"/>
      <c r="AF14" s="606">
        <v>0</v>
      </c>
      <c r="AG14" s="29"/>
      <c r="AH14" s="1"/>
      <c r="AI14" s="248"/>
      <c r="AJ14" s="601"/>
      <c r="AK14" s="149">
        <v>0</v>
      </c>
      <c r="AL14" s="29"/>
      <c r="AM14" s="1"/>
      <c r="AN14" s="248"/>
      <c r="AO14" s="149">
        <v>0</v>
      </c>
      <c r="AP14" s="29"/>
      <c r="AQ14" s="1"/>
      <c r="AR14" s="248"/>
      <c r="AS14" s="149">
        <v>0</v>
      </c>
      <c r="AT14" s="29"/>
      <c r="AU14" s="1"/>
      <c r="AV14" s="248"/>
    </row>
    <row r="15" spans="1:48">
      <c r="A15" s="471" t="s">
        <v>873</v>
      </c>
      <c r="B15" s="168"/>
      <c r="C15" s="169"/>
      <c r="D15" s="11" t="s">
        <v>402</v>
      </c>
      <c r="E15" s="170">
        <v>0</v>
      </c>
      <c r="F15" s="145" t="s">
        <v>1161</v>
      </c>
      <c r="G15" s="16" t="s">
        <v>956</v>
      </c>
      <c r="H15" s="14" t="s">
        <v>402</v>
      </c>
      <c r="I15" s="14" t="s">
        <v>402</v>
      </c>
      <c r="J15" s="15">
        <v>0</v>
      </c>
      <c r="K15" s="16" t="s">
        <v>395</v>
      </c>
      <c r="L15" s="606">
        <v>0</v>
      </c>
      <c r="M15" s="29"/>
      <c r="N15" s="1"/>
      <c r="O15" s="248"/>
      <c r="P15" s="606">
        <v>0</v>
      </c>
      <c r="Q15" s="29"/>
      <c r="R15" s="1"/>
      <c r="S15" s="248"/>
      <c r="T15" s="606">
        <v>0</v>
      </c>
      <c r="U15" s="29"/>
      <c r="V15" s="1"/>
      <c r="W15" s="248"/>
      <c r="X15" s="606">
        <v>0</v>
      </c>
      <c r="Y15" s="29"/>
      <c r="Z15" s="1"/>
      <c r="AA15" s="248"/>
      <c r="AB15" s="606">
        <v>0</v>
      </c>
      <c r="AC15" s="29"/>
      <c r="AD15" s="1"/>
      <c r="AE15" s="248"/>
      <c r="AF15" s="584">
        <v>1</v>
      </c>
      <c r="AG15" s="29"/>
      <c r="AH15" s="1"/>
      <c r="AI15" s="248"/>
      <c r="AJ15" s="601"/>
      <c r="AK15" s="149">
        <v>0</v>
      </c>
      <c r="AL15" s="29"/>
      <c r="AM15" s="1"/>
      <c r="AN15" s="248"/>
      <c r="AO15" s="149">
        <v>0</v>
      </c>
      <c r="AP15" s="29"/>
      <c r="AQ15" s="1"/>
      <c r="AR15" s="248"/>
      <c r="AS15" s="149">
        <v>0</v>
      </c>
      <c r="AT15" s="29"/>
      <c r="AU15" s="1"/>
      <c r="AV15" s="248"/>
    </row>
    <row r="16" spans="1:48" ht="12.75">
      <c r="A16" s="116">
        <v>1450</v>
      </c>
      <c r="B16" s="168" t="s">
        <v>707</v>
      </c>
      <c r="C16" s="151" t="s">
        <v>525</v>
      </c>
      <c r="D16" s="152" t="s">
        <v>527</v>
      </c>
      <c r="E16" s="153" t="s">
        <v>402</v>
      </c>
      <c r="F16" s="144" t="s">
        <v>1163</v>
      </c>
      <c r="G16" s="125" t="s">
        <v>402</v>
      </c>
      <c r="H16" s="164" t="s">
        <v>273</v>
      </c>
      <c r="I16" s="123" t="s">
        <v>1117</v>
      </c>
      <c r="J16" s="124" t="s">
        <v>402</v>
      </c>
      <c r="K16" s="125" t="s">
        <v>409</v>
      </c>
      <c r="L16" s="171">
        <v>62.283162323761722</v>
      </c>
      <c r="M16" s="29">
        <v>1</v>
      </c>
      <c r="N16" s="1">
        <v>1.3440316373092398</v>
      </c>
      <c r="O16" s="139" t="s">
        <v>1164</v>
      </c>
      <c r="P16" s="171">
        <v>16.608843286336459</v>
      </c>
      <c r="Q16" s="29">
        <v>1</v>
      </c>
      <c r="R16" s="1">
        <v>1.3440316373092398</v>
      </c>
      <c r="S16" s="139" t="s">
        <v>1164</v>
      </c>
      <c r="T16" s="171">
        <v>62.283162323761722</v>
      </c>
      <c r="U16" s="29">
        <v>1</v>
      </c>
      <c r="V16" s="1">
        <v>1.3440316373092398</v>
      </c>
      <c r="W16" s="139" t="s">
        <v>1164</v>
      </c>
      <c r="X16" s="171">
        <v>16.608843286336459</v>
      </c>
      <c r="Y16" s="29">
        <v>1</v>
      </c>
      <c r="Z16" s="1">
        <v>1.3440316373092398</v>
      </c>
      <c r="AA16" s="31" t="s">
        <v>1164</v>
      </c>
      <c r="AB16" s="171">
        <v>62.283162323761722</v>
      </c>
      <c r="AC16" s="29">
        <v>1</v>
      </c>
      <c r="AD16" s="1">
        <v>1.3440316373092398</v>
      </c>
      <c r="AE16" s="139" t="s">
        <v>1164</v>
      </c>
      <c r="AF16" s="171">
        <v>16.608843286336459</v>
      </c>
      <c r="AG16" s="29">
        <v>1</v>
      </c>
      <c r="AH16" s="1">
        <v>1.3440316373092398</v>
      </c>
      <c r="AI16" s="31" t="s">
        <v>1164</v>
      </c>
      <c r="AJ16" s="590"/>
      <c r="AK16" s="583">
        <v>62.283162323761722</v>
      </c>
      <c r="AL16" s="29">
        <v>1</v>
      </c>
      <c r="AM16" s="1">
        <v>1.3440316373092398</v>
      </c>
      <c r="AN16" s="139" t="s">
        <v>1164</v>
      </c>
      <c r="AO16" s="583">
        <v>16.608843286336459</v>
      </c>
      <c r="AP16" s="29">
        <v>1</v>
      </c>
      <c r="AQ16" s="1">
        <v>1.3440316373092398</v>
      </c>
      <c r="AR16" s="31" t="s">
        <v>1164</v>
      </c>
      <c r="AS16" s="583">
        <v>0</v>
      </c>
      <c r="AT16" s="29">
        <v>1</v>
      </c>
      <c r="AU16" s="1">
        <v>1.3440316373092398</v>
      </c>
      <c r="AV16" s="139" t="s">
        <v>1164</v>
      </c>
    </row>
    <row r="17" spans="1:48" ht="12.75">
      <c r="A17" s="36">
        <v>1620</v>
      </c>
      <c r="B17" s="168" t="s">
        <v>524</v>
      </c>
      <c r="C17" s="169" t="s">
        <v>525</v>
      </c>
      <c r="D17" s="50" t="s">
        <v>526</v>
      </c>
      <c r="E17" s="10" t="s">
        <v>402</v>
      </c>
      <c r="F17" s="144" t="s">
        <v>1132</v>
      </c>
      <c r="G17" s="125" t="s">
        <v>578</v>
      </c>
      <c r="H17" s="164" t="s">
        <v>402</v>
      </c>
      <c r="I17" s="123" t="s">
        <v>402</v>
      </c>
      <c r="J17" s="124">
        <v>0</v>
      </c>
      <c r="K17" s="125" t="s">
        <v>395</v>
      </c>
      <c r="L17" s="171">
        <v>0</v>
      </c>
      <c r="M17" s="29">
        <v>1</v>
      </c>
      <c r="N17" s="1">
        <v>1.2610264677735246</v>
      </c>
      <c r="O17" s="139" t="s">
        <v>1165</v>
      </c>
      <c r="P17" s="171">
        <v>0</v>
      </c>
      <c r="Q17" s="29">
        <v>1</v>
      </c>
      <c r="R17" s="1">
        <v>1.2610264677735246</v>
      </c>
      <c r="S17" s="139" t="s">
        <v>1165</v>
      </c>
      <c r="T17" s="171">
        <v>0</v>
      </c>
      <c r="U17" s="29">
        <v>1</v>
      </c>
      <c r="V17" s="1">
        <v>1.2610264677735246</v>
      </c>
      <c r="W17" s="139" t="s">
        <v>1165</v>
      </c>
      <c r="X17" s="171">
        <v>0</v>
      </c>
      <c r="Y17" s="29">
        <v>1</v>
      </c>
      <c r="Z17" s="1">
        <v>1.2610264677735246</v>
      </c>
      <c r="AA17" s="31" t="s">
        <v>1165</v>
      </c>
      <c r="AB17" s="171">
        <v>0</v>
      </c>
      <c r="AC17" s="29">
        <v>1</v>
      </c>
      <c r="AD17" s="1">
        <v>1.2610264677735246</v>
      </c>
      <c r="AE17" s="139" t="s">
        <v>1165</v>
      </c>
      <c r="AF17" s="171">
        <v>0</v>
      </c>
      <c r="AG17" s="29">
        <v>1</v>
      </c>
      <c r="AH17" s="1">
        <v>1.2610264677735246</v>
      </c>
      <c r="AI17" s="31" t="s">
        <v>1165</v>
      </c>
      <c r="AJ17" s="590"/>
      <c r="AK17" s="583">
        <v>1.0526315789473684</v>
      </c>
      <c r="AL17" s="29" t="e">
        <v>#REF!</v>
      </c>
      <c r="AM17" s="1">
        <v>1.2610264677735246</v>
      </c>
      <c r="AN17" s="139" t="s">
        <v>1166</v>
      </c>
      <c r="AO17" s="583">
        <v>1.0526315789473684</v>
      </c>
      <c r="AP17" s="29">
        <v>1</v>
      </c>
      <c r="AQ17" s="1">
        <v>1.2610264677735246</v>
      </c>
      <c r="AR17" s="31" t="s">
        <v>1165</v>
      </c>
      <c r="AS17" s="583">
        <v>0</v>
      </c>
      <c r="AT17" s="29">
        <v>1</v>
      </c>
      <c r="AU17" s="1">
        <v>1.2610264677735246</v>
      </c>
      <c r="AV17" s="139" t="s">
        <v>1165</v>
      </c>
    </row>
    <row r="18" spans="1:48" ht="12.75" hidden="1" outlineLevel="1">
      <c r="A18" s="143" t="s">
        <v>751</v>
      </c>
      <c r="B18" s="168"/>
      <c r="C18" s="169" t="s">
        <v>525</v>
      </c>
      <c r="D18" s="50" t="s">
        <v>526</v>
      </c>
      <c r="E18" s="10" t="s">
        <v>402</v>
      </c>
      <c r="F18" s="144" t="s">
        <v>1132</v>
      </c>
      <c r="G18" s="125" t="s">
        <v>1105</v>
      </c>
      <c r="H18" s="164" t="s">
        <v>402</v>
      </c>
      <c r="I18" s="123" t="s">
        <v>402</v>
      </c>
      <c r="J18" s="124">
        <v>0</v>
      </c>
      <c r="K18" s="125" t="s">
        <v>395</v>
      </c>
      <c r="L18" s="171">
        <v>1.0526315789473684</v>
      </c>
      <c r="M18" s="29">
        <v>1</v>
      </c>
      <c r="N18" s="1">
        <v>1.2610264677735246</v>
      </c>
      <c r="O18" s="139" t="s">
        <v>1166</v>
      </c>
      <c r="P18" s="171">
        <v>1.0526315789473684</v>
      </c>
      <c r="Q18" s="29">
        <v>1</v>
      </c>
      <c r="R18" s="1">
        <v>1.2610264677735246</v>
      </c>
      <c r="S18" s="139" t="s">
        <v>1166</v>
      </c>
      <c r="T18" s="171">
        <v>0</v>
      </c>
      <c r="U18" s="29">
        <v>1</v>
      </c>
      <c r="V18" s="1">
        <v>1.2610264677735246</v>
      </c>
      <c r="W18" s="139" t="s">
        <v>1166</v>
      </c>
      <c r="X18" s="171">
        <v>0</v>
      </c>
      <c r="Y18" s="29">
        <v>1</v>
      </c>
      <c r="Z18" s="1">
        <v>1.2610264677735246</v>
      </c>
      <c r="AA18" s="31" t="s">
        <v>1166</v>
      </c>
      <c r="AB18" s="171">
        <v>0</v>
      </c>
      <c r="AC18" s="29">
        <v>1</v>
      </c>
      <c r="AD18" s="1">
        <v>1.2610264677735246</v>
      </c>
      <c r="AE18" s="139" t="s">
        <v>1166</v>
      </c>
      <c r="AF18" s="171">
        <v>0</v>
      </c>
      <c r="AG18" s="29">
        <v>1</v>
      </c>
      <c r="AH18" s="1">
        <v>1.2610264677735246</v>
      </c>
      <c r="AI18" s="31" t="s">
        <v>1166</v>
      </c>
      <c r="AJ18" s="590"/>
      <c r="AK18" s="171">
        <v>0</v>
      </c>
      <c r="AO18" s="171">
        <v>0</v>
      </c>
      <c r="AP18" s="29">
        <v>1</v>
      </c>
      <c r="AQ18" s="1">
        <v>1.2610264677735246</v>
      </c>
      <c r="AR18" s="31" t="s">
        <v>1166</v>
      </c>
      <c r="AS18" s="583">
        <v>2.3684210526315783</v>
      </c>
      <c r="AT18" s="29">
        <v>1</v>
      </c>
      <c r="AU18" s="1">
        <v>1.2610264677735246</v>
      </c>
      <c r="AV18" s="139" t="s">
        <v>1166</v>
      </c>
    </row>
    <row r="19" spans="1:48" ht="12.75" hidden="1" outlineLevel="1">
      <c r="A19" s="36" t="s">
        <v>864</v>
      </c>
      <c r="B19" s="168"/>
      <c r="C19" s="169" t="s">
        <v>525</v>
      </c>
      <c r="D19" s="50" t="s">
        <v>526</v>
      </c>
      <c r="E19" s="10" t="s">
        <v>402</v>
      </c>
      <c r="F19" s="144" t="s">
        <v>1132</v>
      </c>
      <c r="G19" s="125" t="s">
        <v>465</v>
      </c>
      <c r="H19" s="164" t="s">
        <v>402</v>
      </c>
      <c r="I19" s="123" t="s">
        <v>402</v>
      </c>
      <c r="J19" s="124">
        <v>0</v>
      </c>
      <c r="K19" s="125" t="s">
        <v>395</v>
      </c>
      <c r="L19" s="171">
        <v>0</v>
      </c>
      <c r="M19" s="29">
        <v>1</v>
      </c>
      <c r="N19" s="1">
        <v>1.2610264677735246</v>
      </c>
      <c r="O19" s="139" t="s">
        <v>1165</v>
      </c>
      <c r="P19" s="171">
        <v>0</v>
      </c>
      <c r="Q19" s="29">
        <v>1</v>
      </c>
      <c r="R19" s="1">
        <v>1.2610264677735246</v>
      </c>
      <c r="S19" s="139" t="s">
        <v>1165</v>
      </c>
      <c r="T19" s="171">
        <v>1.0526315789473684</v>
      </c>
      <c r="U19" s="29">
        <v>1</v>
      </c>
      <c r="V19" s="1">
        <v>1.2610264677735246</v>
      </c>
      <c r="W19" s="139" t="s">
        <v>1165</v>
      </c>
      <c r="X19" s="171">
        <v>1.0526315789473684</v>
      </c>
      <c r="Y19" s="29">
        <v>1</v>
      </c>
      <c r="Z19" s="1">
        <v>1.2610264677735246</v>
      </c>
      <c r="AA19" s="31" t="s">
        <v>1165</v>
      </c>
      <c r="AB19" s="171">
        <v>0</v>
      </c>
      <c r="AC19" s="29">
        <v>1</v>
      </c>
      <c r="AD19" s="1">
        <v>1.2610264677735246</v>
      </c>
      <c r="AE19" s="139" t="s">
        <v>1165</v>
      </c>
      <c r="AF19" s="171">
        <v>0</v>
      </c>
      <c r="AG19" s="29">
        <v>1</v>
      </c>
      <c r="AH19" s="1">
        <v>1.2610264677735246</v>
      </c>
      <c r="AI19" s="31" t="s">
        <v>1165</v>
      </c>
      <c r="AJ19" s="590"/>
      <c r="AK19" s="171">
        <v>0</v>
      </c>
      <c r="AL19" s="29">
        <v>1</v>
      </c>
      <c r="AM19" s="1">
        <v>1.2610264677735246</v>
      </c>
      <c r="AN19" s="139" t="s">
        <v>1165</v>
      </c>
      <c r="AO19" s="171">
        <v>0</v>
      </c>
      <c r="AP19" s="29">
        <v>1</v>
      </c>
      <c r="AQ19" s="1">
        <v>1.2610264677735246</v>
      </c>
      <c r="AR19" s="31" t="s">
        <v>1165</v>
      </c>
      <c r="AS19" s="583">
        <v>0</v>
      </c>
      <c r="AT19" s="29">
        <v>1</v>
      </c>
      <c r="AU19" s="1">
        <v>1.2610264677735246</v>
      </c>
      <c r="AV19" s="139" t="s">
        <v>1165</v>
      </c>
    </row>
    <row r="20" spans="1:48" ht="12.75" collapsed="1">
      <c r="A20" s="8" t="s">
        <v>865</v>
      </c>
      <c r="B20" s="168"/>
      <c r="C20" s="169" t="s">
        <v>525</v>
      </c>
      <c r="D20" s="50" t="s">
        <v>526</v>
      </c>
      <c r="E20" s="10" t="s">
        <v>402</v>
      </c>
      <c r="F20" s="144" t="s">
        <v>1132</v>
      </c>
      <c r="G20" s="125" t="s">
        <v>956</v>
      </c>
      <c r="H20" s="164" t="s">
        <v>402</v>
      </c>
      <c r="I20" s="123" t="s">
        <v>402</v>
      </c>
      <c r="J20" s="124">
        <v>0</v>
      </c>
      <c r="K20" s="125" t="s">
        <v>395</v>
      </c>
      <c r="L20" s="171">
        <v>0</v>
      </c>
      <c r="M20" s="29">
        <v>1</v>
      </c>
      <c r="N20" s="1">
        <v>1.2610264677735246</v>
      </c>
      <c r="O20" s="139" t="s">
        <v>1166</v>
      </c>
      <c r="P20" s="171">
        <v>0</v>
      </c>
      <c r="Q20" s="29">
        <v>1</v>
      </c>
      <c r="R20" s="1">
        <v>1.2610264677735246</v>
      </c>
      <c r="S20" s="139" t="s">
        <v>1166</v>
      </c>
      <c r="T20" s="171">
        <v>0</v>
      </c>
      <c r="U20" s="29">
        <v>1</v>
      </c>
      <c r="V20" s="1">
        <v>1.2610264677735246</v>
      </c>
      <c r="W20" s="139" t="s">
        <v>1166</v>
      </c>
      <c r="X20" s="171">
        <v>0</v>
      </c>
      <c r="Y20" s="29">
        <v>1</v>
      </c>
      <c r="Z20" s="1">
        <v>1.2610264677735246</v>
      </c>
      <c r="AA20" s="31" t="s">
        <v>1166</v>
      </c>
      <c r="AB20" s="171">
        <v>1.0526315789473684</v>
      </c>
      <c r="AC20" s="29">
        <v>1</v>
      </c>
      <c r="AD20" s="1">
        <v>1.2610264677735246</v>
      </c>
      <c r="AE20" s="139" t="s">
        <v>1166</v>
      </c>
      <c r="AF20" s="171">
        <v>1.0526315789473684</v>
      </c>
      <c r="AG20" s="29">
        <v>1</v>
      </c>
      <c r="AH20" s="1">
        <v>1.2610264677735246</v>
      </c>
      <c r="AI20" s="31" t="s">
        <v>1166</v>
      </c>
      <c r="AJ20" s="590"/>
      <c r="AK20" s="171">
        <v>0</v>
      </c>
      <c r="AL20" s="29">
        <v>1</v>
      </c>
      <c r="AM20" s="1">
        <v>1.2610264677735246</v>
      </c>
      <c r="AN20" s="139" t="s">
        <v>1166</v>
      </c>
      <c r="AO20" s="171">
        <v>0</v>
      </c>
      <c r="AP20" s="29">
        <v>1</v>
      </c>
      <c r="AQ20" s="1">
        <v>1.2610264677735246</v>
      </c>
      <c r="AR20" s="31" t="s">
        <v>1166</v>
      </c>
      <c r="AS20" s="583">
        <v>2.3684210526315783</v>
      </c>
      <c r="AT20" s="29">
        <v>1</v>
      </c>
      <c r="AU20" s="1">
        <v>1.2610264677735246</v>
      </c>
      <c r="AV20" s="139" t="s">
        <v>1166</v>
      </c>
    </row>
    <row r="21" spans="1:48" ht="24">
      <c r="A21" s="36">
        <v>1259</v>
      </c>
      <c r="B21" s="168"/>
      <c r="C21" s="169" t="s">
        <v>525</v>
      </c>
      <c r="D21" s="50" t="s">
        <v>526</v>
      </c>
      <c r="E21" s="10" t="s">
        <v>402</v>
      </c>
      <c r="F21" s="144" t="s">
        <v>55</v>
      </c>
      <c r="G21" s="125" t="s">
        <v>521</v>
      </c>
      <c r="H21" s="164" t="s">
        <v>402</v>
      </c>
      <c r="I21" s="123" t="s">
        <v>402</v>
      </c>
      <c r="J21" s="124">
        <v>0</v>
      </c>
      <c r="K21" s="125" t="s">
        <v>395</v>
      </c>
      <c r="L21" s="171">
        <v>6.7887856450801764E-4</v>
      </c>
      <c r="M21" s="29">
        <v>1</v>
      </c>
      <c r="N21" s="1">
        <v>1.6910336104485675</v>
      </c>
      <c r="O21" s="139" t="s">
        <v>1167</v>
      </c>
      <c r="P21" s="171">
        <v>1.8103428386880471E-4</v>
      </c>
      <c r="Q21" s="29">
        <v>1</v>
      </c>
      <c r="R21" s="1">
        <v>1.6910336104485675</v>
      </c>
      <c r="S21" s="139" t="s">
        <v>1167</v>
      </c>
      <c r="T21" s="171">
        <v>6.7887856450801764E-4</v>
      </c>
      <c r="U21" s="29">
        <v>1</v>
      </c>
      <c r="V21" s="1">
        <v>1.6910336104485675</v>
      </c>
      <c r="W21" s="139" t="s">
        <v>1167</v>
      </c>
      <c r="X21" s="171">
        <v>1.8103428386880471E-4</v>
      </c>
      <c r="Y21" s="29">
        <v>1</v>
      </c>
      <c r="Z21" s="1">
        <v>1.6910336104485675</v>
      </c>
      <c r="AA21" s="31" t="s">
        <v>1167</v>
      </c>
      <c r="AB21" s="171">
        <v>6.7887856450801764E-4</v>
      </c>
      <c r="AC21" s="29">
        <v>1</v>
      </c>
      <c r="AD21" s="1">
        <v>1.6910336104485675</v>
      </c>
      <c r="AE21" s="139" t="s">
        <v>1167</v>
      </c>
      <c r="AF21" s="171">
        <v>1.8103428386880471E-4</v>
      </c>
      <c r="AG21" s="29">
        <v>1</v>
      </c>
      <c r="AH21" s="1">
        <v>1.6910336104485675</v>
      </c>
      <c r="AI21" s="31" t="s">
        <v>1167</v>
      </c>
      <c r="AJ21" s="590"/>
      <c r="AK21" s="583">
        <v>6.7887856450801764E-4</v>
      </c>
      <c r="AL21" s="29">
        <v>1</v>
      </c>
      <c r="AM21" s="1">
        <v>1.6910336104485675</v>
      </c>
      <c r="AN21" s="139" t="s">
        <v>1167</v>
      </c>
      <c r="AO21" s="583">
        <v>1.8103428386880471E-4</v>
      </c>
      <c r="AP21" s="29">
        <v>1</v>
      </c>
      <c r="AQ21" s="1">
        <v>1.6910336104485675</v>
      </c>
      <c r="AR21" s="31" t="s">
        <v>1167</v>
      </c>
      <c r="AS21" s="583">
        <v>1.9294443412333133E-3</v>
      </c>
      <c r="AT21" s="29">
        <v>1</v>
      </c>
      <c r="AU21" s="1">
        <v>1.6910336104485675</v>
      </c>
      <c r="AV21" s="139" t="s">
        <v>1167</v>
      </c>
    </row>
    <row r="22" spans="1:48" ht="24">
      <c r="A22" s="2">
        <v>1216</v>
      </c>
      <c r="B22" s="168" t="s">
        <v>525</v>
      </c>
      <c r="C22" s="169" t="s">
        <v>525</v>
      </c>
      <c r="D22" s="50" t="s">
        <v>526</v>
      </c>
      <c r="E22" s="10" t="s">
        <v>402</v>
      </c>
      <c r="F22" s="144" t="s">
        <v>1168</v>
      </c>
      <c r="G22" s="125" t="s">
        <v>521</v>
      </c>
      <c r="H22" s="164" t="s">
        <v>402</v>
      </c>
      <c r="I22" s="123" t="s">
        <v>402</v>
      </c>
      <c r="J22" s="124">
        <v>0</v>
      </c>
      <c r="K22" s="125" t="s">
        <v>395</v>
      </c>
      <c r="L22" s="171">
        <v>1.4325127334465195</v>
      </c>
      <c r="M22" s="29">
        <v>1</v>
      </c>
      <c r="N22" s="1">
        <v>1.1130148943987077</v>
      </c>
      <c r="O22" s="139" t="s">
        <v>1169</v>
      </c>
      <c r="P22" s="171">
        <v>0.38200339558573776</v>
      </c>
      <c r="Q22" s="29">
        <v>1</v>
      </c>
      <c r="R22" s="1">
        <v>1.1130148943987077</v>
      </c>
      <c r="S22" s="139" t="s">
        <v>1169</v>
      </c>
      <c r="T22" s="171">
        <v>1.4325127334465195</v>
      </c>
      <c r="U22" s="29">
        <v>1</v>
      </c>
      <c r="V22" s="1">
        <v>1.1130148943987077</v>
      </c>
      <c r="W22" s="139" t="s">
        <v>1169</v>
      </c>
      <c r="X22" s="171">
        <v>0.38200339558573776</v>
      </c>
      <c r="Y22" s="29">
        <v>1</v>
      </c>
      <c r="Z22" s="1">
        <v>1.1130148943987077</v>
      </c>
      <c r="AA22" s="31" t="s">
        <v>1169</v>
      </c>
      <c r="AB22" s="171">
        <v>1.4325127334465195</v>
      </c>
      <c r="AC22" s="29">
        <v>1</v>
      </c>
      <c r="AD22" s="1">
        <v>1.1130148943987077</v>
      </c>
      <c r="AE22" s="139" t="s">
        <v>1169</v>
      </c>
      <c r="AF22" s="171">
        <v>0.38200339558573776</v>
      </c>
      <c r="AG22" s="29">
        <v>1</v>
      </c>
      <c r="AH22" s="1">
        <v>1.1130148943987077</v>
      </c>
      <c r="AI22" s="31" t="s">
        <v>1169</v>
      </c>
      <c r="AJ22" s="590"/>
      <c r="AK22" s="583">
        <v>1.4325127334465195</v>
      </c>
      <c r="AL22" s="29">
        <v>1</v>
      </c>
      <c r="AM22" s="1">
        <v>1.1130148943987077</v>
      </c>
      <c r="AN22" s="139" t="s">
        <v>1169</v>
      </c>
      <c r="AO22" s="583">
        <v>0.38200339558573776</v>
      </c>
      <c r="AP22" s="29">
        <v>1</v>
      </c>
      <c r="AQ22" s="1">
        <v>1.1130148943987077</v>
      </c>
      <c r="AR22" s="31" t="s">
        <v>1169</v>
      </c>
      <c r="AS22" s="583">
        <v>11.842105263157894</v>
      </c>
      <c r="AT22" s="29">
        <v>1</v>
      </c>
      <c r="AU22" s="1">
        <v>1.1130148943987077</v>
      </c>
      <c r="AV22" s="139" t="s">
        <v>1169</v>
      </c>
    </row>
    <row r="23" spans="1:48" ht="24">
      <c r="A23" s="2">
        <v>1217</v>
      </c>
      <c r="B23" s="168" t="s">
        <v>525</v>
      </c>
      <c r="C23" s="169" t="s">
        <v>525</v>
      </c>
      <c r="D23" s="50" t="s">
        <v>526</v>
      </c>
      <c r="E23" s="10" t="s">
        <v>402</v>
      </c>
      <c r="F23" s="144" t="s">
        <v>1109</v>
      </c>
      <c r="G23" s="125" t="s">
        <v>521</v>
      </c>
      <c r="H23" s="164" t="s">
        <v>402</v>
      </c>
      <c r="I23" s="123" t="s">
        <v>402</v>
      </c>
      <c r="J23" s="124">
        <v>0</v>
      </c>
      <c r="K23" s="125" t="s">
        <v>395</v>
      </c>
      <c r="L23" s="171">
        <v>8.9687753746216875E-2</v>
      </c>
      <c r="M23" s="29">
        <v>1</v>
      </c>
      <c r="N23" s="1">
        <v>1.3440316373092398</v>
      </c>
      <c r="O23" s="139" t="s">
        <v>1170</v>
      </c>
      <c r="P23" s="171">
        <v>2.3916734332324496E-2</v>
      </c>
      <c r="Q23" s="29">
        <v>1</v>
      </c>
      <c r="R23" s="1">
        <v>1.3440316373092398</v>
      </c>
      <c r="S23" s="139" t="s">
        <v>1170</v>
      </c>
      <c r="T23" s="171">
        <v>8.9687753746216875E-2</v>
      </c>
      <c r="U23" s="29">
        <v>1</v>
      </c>
      <c r="V23" s="1">
        <v>1.3440316373092398</v>
      </c>
      <c r="W23" s="139" t="s">
        <v>1170</v>
      </c>
      <c r="X23" s="171">
        <v>2.3916734332324496E-2</v>
      </c>
      <c r="Y23" s="29">
        <v>1</v>
      </c>
      <c r="Z23" s="1">
        <v>1.3440316373092398</v>
      </c>
      <c r="AA23" s="31" t="s">
        <v>1170</v>
      </c>
      <c r="AB23" s="171">
        <v>8.9687753746216875E-2</v>
      </c>
      <c r="AC23" s="29">
        <v>1</v>
      </c>
      <c r="AD23" s="1">
        <v>1.3440316373092398</v>
      </c>
      <c r="AE23" s="139" t="s">
        <v>1170</v>
      </c>
      <c r="AF23" s="171">
        <v>2.3916734332324496E-2</v>
      </c>
      <c r="AG23" s="29">
        <v>1</v>
      </c>
      <c r="AH23" s="1">
        <v>1.3440316373092398</v>
      </c>
      <c r="AI23" s="31" t="s">
        <v>1170</v>
      </c>
      <c r="AJ23" s="590"/>
      <c r="AK23" s="583">
        <v>8.9687753746216875E-2</v>
      </c>
      <c r="AL23" s="29">
        <v>1</v>
      </c>
      <c r="AM23" s="1">
        <v>1.3440316373092398</v>
      </c>
      <c r="AN23" s="139" t="s">
        <v>1170</v>
      </c>
      <c r="AO23" s="583">
        <v>2.3916734332324496E-2</v>
      </c>
      <c r="AP23" s="29">
        <v>1</v>
      </c>
      <c r="AQ23" s="1">
        <v>1.3440316373092398</v>
      </c>
      <c r="AR23" s="31" t="s">
        <v>1170</v>
      </c>
      <c r="AS23" s="241">
        <v>0</v>
      </c>
      <c r="AT23" s="29">
        <v>1</v>
      </c>
      <c r="AU23" s="1">
        <v>1.3440316373092398</v>
      </c>
      <c r="AV23" s="139" t="s">
        <v>1170</v>
      </c>
    </row>
    <row r="24" spans="1:48" ht="24">
      <c r="A24" s="2">
        <v>2923</v>
      </c>
      <c r="B24" s="168" t="s">
        <v>525</v>
      </c>
      <c r="C24" s="169" t="s">
        <v>525</v>
      </c>
      <c r="D24" s="50" t="s">
        <v>526</v>
      </c>
      <c r="E24" s="10" t="s">
        <v>402</v>
      </c>
      <c r="F24" s="144" t="s">
        <v>1171</v>
      </c>
      <c r="G24" s="125" t="s">
        <v>521</v>
      </c>
      <c r="H24" s="164" t="s">
        <v>402</v>
      </c>
      <c r="I24" s="123" t="s">
        <v>402</v>
      </c>
      <c r="J24" s="124">
        <v>0</v>
      </c>
      <c r="K24" s="125" t="s">
        <v>395</v>
      </c>
      <c r="L24" s="171">
        <v>6.3928869425047428E-4</v>
      </c>
      <c r="M24" s="29">
        <v>1</v>
      </c>
      <c r="N24" s="1">
        <v>1.6910336104485675</v>
      </c>
      <c r="O24" s="139" t="s">
        <v>1172</v>
      </c>
      <c r="P24" s="171">
        <v>1.7047698513345981E-4</v>
      </c>
      <c r="Q24" s="29">
        <v>1</v>
      </c>
      <c r="R24" s="1">
        <v>1.6910336104485675</v>
      </c>
      <c r="S24" s="139" t="s">
        <v>1172</v>
      </c>
      <c r="T24" s="171">
        <v>6.3928869425047428E-4</v>
      </c>
      <c r="U24" s="29">
        <v>1</v>
      </c>
      <c r="V24" s="1">
        <v>1.6910336104485675</v>
      </c>
      <c r="W24" s="139" t="s">
        <v>1172</v>
      </c>
      <c r="X24" s="171">
        <v>1.7047698513345981E-4</v>
      </c>
      <c r="Y24" s="29">
        <v>1</v>
      </c>
      <c r="Z24" s="1">
        <v>1.6910336104485675</v>
      </c>
      <c r="AA24" s="31" t="s">
        <v>1172</v>
      </c>
      <c r="AB24" s="171">
        <v>6.3928869425047428E-4</v>
      </c>
      <c r="AC24" s="29">
        <v>1</v>
      </c>
      <c r="AD24" s="1">
        <v>1.6910336104485675</v>
      </c>
      <c r="AE24" s="139" t="s">
        <v>1172</v>
      </c>
      <c r="AF24" s="171">
        <v>1.7047698513345981E-4</v>
      </c>
      <c r="AG24" s="29">
        <v>1</v>
      </c>
      <c r="AH24" s="1">
        <v>1.6910336104485675</v>
      </c>
      <c r="AI24" s="31" t="s">
        <v>1172</v>
      </c>
      <c r="AJ24" s="590"/>
      <c r="AK24" s="583">
        <v>6.3928869425047428E-4</v>
      </c>
      <c r="AL24" s="29">
        <v>1</v>
      </c>
      <c r="AM24" s="1">
        <v>1.6910336104485675</v>
      </c>
      <c r="AN24" s="139" t="s">
        <v>1172</v>
      </c>
      <c r="AO24" s="583">
        <v>1.7047698513345981E-4</v>
      </c>
      <c r="AP24" s="29">
        <v>1</v>
      </c>
      <c r="AQ24" s="1">
        <v>1.6910336104485675</v>
      </c>
      <c r="AR24" s="31" t="s">
        <v>1172</v>
      </c>
      <c r="AS24" s="583">
        <v>1.8169257626066112E-3</v>
      </c>
      <c r="AT24" s="29">
        <v>1</v>
      </c>
      <c r="AU24" s="1">
        <v>1.6910336104485675</v>
      </c>
      <c r="AV24" s="139" t="s">
        <v>1172</v>
      </c>
    </row>
    <row r="25" spans="1:48" ht="24">
      <c r="A25" s="2">
        <v>1280</v>
      </c>
      <c r="B25" s="168" t="s">
        <v>525</v>
      </c>
      <c r="C25" s="169" t="s">
        <v>525</v>
      </c>
      <c r="D25" s="50" t="s">
        <v>526</v>
      </c>
      <c r="E25" s="10" t="s">
        <v>402</v>
      </c>
      <c r="F25" s="144" t="s">
        <v>1173</v>
      </c>
      <c r="G25" s="125" t="s">
        <v>521</v>
      </c>
      <c r="H25" s="164" t="s">
        <v>402</v>
      </c>
      <c r="I25" s="123" t="s">
        <v>402</v>
      </c>
      <c r="J25" s="124">
        <v>0</v>
      </c>
      <c r="K25" s="125" t="s">
        <v>395</v>
      </c>
      <c r="L25" s="171">
        <v>0.46348430333159391</v>
      </c>
      <c r="M25" s="29">
        <v>1</v>
      </c>
      <c r="N25" s="1">
        <v>1.3440316373092398</v>
      </c>
      <c r="O25" s="139" t="s">
        <v>1174</v>
      </c>
      <c r="P25" s="171">
        <v>0.12359581422175836</v>
      </c>
      <c r="Q25" s="29">
        <v>1</v>
      </c>
      <c r="R25" s="1">
        <v>1.3440316373092398</v>
      </c>
      <c r="S25" s="139" t="s">
        <v>1174</v>
      </c>
      <c r="T25" s="171">
        <v>0.46348430333159391</v>
      </c>
      <c r="U25" s="29">
        <v>1</v>
      </c>
      <c r="V25" s="1">
        <v>1.3440316373092398</v>
      </c>
      <c r="W25" s="139" t="s">
        <v>1174</v>
      </c>
      <c r="X25" s="171">
        <v>0.12359581422175836</v>
      </c>
      <c r="Y25" s="29">
        <v>1</v>
      </c>
      <c r="Z25" s="1">
        <v>1.3440316373092398</v>
      </c>
      <c r="AA25" s="31" t="s">
        <v>1174</v>
      </c>
      <c r="AB25" s="171">
        <v>0.46348430333159391</v>
      </c>
      <c r="AC25" s="29">
        <v>1</v>
      </c>
      <c r="AD25" s="1">
        <v>1.3440316373092398</v>
      </c>
      <c r="AE25" s="139" t="s">
        <v>1174</v>
      </c>
      <c r="AF25" s="171">
        <v>0.12359581422175836</v>
      </c>
      <c r="AG25" s="29">
        <v>1</v>
      </c>
      <c r="AH25" s="1">
        <v>1.3440316373092398</v>
      </c>
      <c r="AI25" s="31" t="s">
        <v>1174</v>
      </c>
      <c r="AJ25" s="590"/>
      <c r="AK25" s="583">
        <v>0.46348430333159391</v>
      </c>
      <c r="AL25" s="29">
        <v>1</v>
      </c>
      <c r="AM25" s="1">
        <v>1.3440316373092398</v>
      </c>
      <c r="AN25" s="139" t="s">
        <v>1174</v>
      </c>
      <c r="AO25" s="583">
        <v>0.12359581422175836</v>
      </c>
      <c r="AP25" s="29">
        <v>1</v>
      </c>
      <c r="AQ25" s="1">
        <v>1.3440316373092398</v>
      </c>
      <c r="AR25" s="31" t="s">
        <v>1174</v>
      </c>
      <c r="AS25" s="583">
        <v>1.3172711778897932</v>
      </c>
      <c r="AT25" s="29">
        <v>1</v>
      </c>
      <c r="AU25" s="1">
        <v>1.3440316373092398</v>
      </c>
      <c r="AV25" s="139" t="s">
        <v>1174</v>
      </c>
    </row>
    <row r="26" spans="1:48" ht="24">
      <c r="A26" s="226">
        <v>4225</v>
      </c>
      <c r="B26" s="168"/>
      <c r="C26" s="169" t="s">
        <v>525</v>
      </c>
      <c r="D26" s="50" t="s">
        <v>526</v>
      </c>
      <c r="E26" s="10" t="s">
        <v>402</v>
      </c>
      <c r="F26" s="144" t="s">
        <v>1139</v>
      </c>
      <c r="G26" s="125" t="s">
        <v>521</v>
      </c>
      <c r="H26" s="164" t="s">
        <v>402</v>
      </c>
      <c r="I26" s="123" t="s">
        <v>402</v>
      </c>
      <c r="J26" s="124">
        <v>0</v>
      </c>
      <c r="K26" s="125" t="s">
        <v>395</v>
      </c>
      <c r="L26" s="171">
        <v>7.095388502842703E-4</v>
      </c>
      <c r="M26" s="29">
        <v>1</v>
      </c>
      <c r="N26" s="1">
        <v>1.6910336104485675</v>
      </c>
      <c r="O26" s="139" t="s">
        <v>1175</v>
      </c>
      <c r="P26" s="171">
        <v>1.8921036007580542E-4</v>
      </c>
      <c r="Q26" s="29">
        <v>1</v>
      </c>
      <c r="R26" s="1">
        <v>1.6910336104485675</v>
      </c>
      <c r="S26" s="139" t="s">
        <v>1175</v>
      </c>
      <c r="T26" s="171">
        <v>7.095388502842703E-4</v>
      </c>
      <c r="U26" s="29">
        <v>1</v>
      </c>
      <c r="V26" s="1">
        <v>1.6910336104485675</v>
      </c>
      <c r="W26" s="139" t="s">
        <v>1175</v>
      </c>
      <c r="X26" s="171">
        <v>1.8921036007580542E-4</v>
      </c>
      <c r="Y26" s="29">
        <v>1</v>
      </c>
      <c r="Z26" s="1">
        <v>1.6910336104485675</v>
      </c>
      <c r="AA26" s="31" t="s">
        <v>1175</v>
      </c>
      <c r="AB26" s="171">
        <v>7.095388502842703E-4</v>
      </c>
      <c r="AC26" s="29">
        <v>1</v>
      </c>
      <c r="AD26" s="1">
        <v>1.6910336104485675</v>
      </c>
      <c r="AE26" s="139" t="s">
        <v>1175</v>
      </c>
      <c r="AF26" s="171">
        <v>1.8921036007580542E-4</v>
      </c>
      <c r="AG26" s="29">
        <v>1</v>
      </c>
      <c r="AH26" s="1">
        <v>1.6910336104485675</v>
      </c>
      <c r="AI26" s="31" t="s">
        <v>1175</v>
      </c>
      <c r="AJ26" s="590"/>
      <c r="AK26" s="583">
        <v>7.095388502842703E-4</v>
      </c>
      <c r="AL26" s="29">
        <v>1</v>
      </c>
      <c r="AM26" s="1">
        <v>1.6910336104485675</v>
      </c>
      <c r="AN26" s="139" t="s">
        <v>1175</v>
      </c>
      <c r="AO26" s="583">
        <v>1.8921036007580542E-4</v>
      </c>
      <c r="AP26" s="29">
        <v>1</v>
      </c>
      <c r="AQ26" s="1">
        <v>1.6910336104485675</v>
      </c>
      <c r="AR26" s="31" t="s">
        <v>1175</v>
      </c>
      <c r="AS26" s="583">
        <v>2.0165841008079263E-3</v>
      </c>
      <c r="AT26" s="29">
        <v>1</v>
      </c>
      <c r="AU26" s="1">
        <v>1.6910336104485675</v>
      </c>
      <c r="AV26" s="139" t="s">
        <v>1175</v>
      </c>
    </row>
    <row r="27" spans="1:48" ht="36">
      <c r="A27" s="157">
        <v>2987</v>
      </c>
      <c r="B27" s="168" t="s">
        <v>152</v>
      </c>
      <c r="C27" s="169" t="s">
        <v>525</v>
      </c>
      <c r="D27" s="50" t="s">
        <v>526</v>
      </c>
      <c r="E27" s="10" t="s">
        <v>402</v>
      </c>
      <c r="F27" s="144" t="s">
        <v>59</v>
      </c>
      <c r="G27" s="125" t="s">
        <v>521</v>
      </c>
      <c r="H27" s="164" t="s">
        <v>402</v>
      </c>
      <c r="I27" s="123" t="s">
        <v>402</v>
      </c>
      <c r="J27" s="124">
        <v>0</v>
      </c>
      <c r="K27" s="125" t="s">
        <v>397</v>
      </c>
      <c r="L27" s="171">
        <v>2.1512299733922515</v>
      </c>
      <c r="M27" s="29">
        <v>1</v>
      </c>
      <c r="N27" s="1">
        <v>2.0949941301068096</v>
      </c>
      <c r="O27" s="139" t="s">
        <v>1176</v>
      </c>
      <c r="P27" s="171">
        <v>2.1512299733922515</v>
      </c>
      <c r="Q27" s="29">
        <v>1</v>
      </c>
      <c r="R27" s="1">
        <v>2.0949941301068096</v>
      </c>
      <c r="S27" s="139" t="s">
        <v>1176</v>
      </c>
      <c r="T27" s="171">
        <v>2.1512299733922515</v>
      </c>
      <c r="U27" s="29">
        <v>1</v>
      </c>
      <c r="V27" s="1">
        <v>2.0949941301068096</v>
      </c>
      <c r="W27" s="139" t="s">
        <v>1176</v>
      </c>
      <c r="X27" s="171">
        <v>2.1512299733922515</v>
      </c>
      <c r="Y27" s="29">
        <v>1</v>
      </c>
      <c r="Z27" s="1">
        <v>2.0949941301068096</v>
      </c>
      <c r="AA27" s="31" t="s">
        <v>1176</v>
      </c>
      <c r="AB27" s="171">
        <v>2.1512299733922515</v>
      </c>
      <c r="AC27" s="29">
        <v>1</v>
      </c>
      <c r="AD27" s="1">
        <v>2.0949941301068096</v>
      </c>
      <c r="AE27" s="139" t="s">
        <v>1176</v>
      </c>
      <c r="AF27" s="171">
        <v>2.1512299733922515</v>
      </c>
      <c r="AG27" s="29">
        <v>1</v>
      </c>
      <c r="AH27" s="1">
        <v>2.0949941301068096</v>
      </c>
      <c r="AI27" s="31" t="s">
        <v>1176</v>
      </c>
      <c r="AJ27" s="590"/>
      <c r="AK27" s="583">
        <v>2.1512299733922515</v>
      </c>
      <c r="AL27" s="29">
        <v>1</v>
      </c>
      <c r="AM27" s="1">
        <v>2.0949941301068096</v>
      </c>
      <c r="AN27" s="139" t="s">
        <v>1176</v>
      </c>
      <c r="AO27" s="583">
        <v>2.1512299733922515</v>
      </c>
      <c r="AP27" s="29">
        <v>1</v>
      </c>
      <c r="AQ27" s="1">
        <v>2.0949941301068096</v>
      </c>
      <c r="AR27" s="31" t="s">
        <v>1176</v>
      </c>
      <c r="AS27" s="583">
        <v>4.840267440132564</v>
      </c>
      <c r="AT27" s="29">
        <v>1</v>
      </c>
      <c r="AU27" s="1">
        <v>2.0949941301068096</v>
      </c>
      <c r="AV27" s="139" t="s">
        <v>1176</v>
      </c>
    </row>
    <row r="28" spans="1:48" ht="24">
      <c r="A28" s="157">
        <v>1841</v>
      </c>
      <c r="B28" s="168" t="s">
        <v>525</v>
      </c>
      <c r="C28" s="169" t="s">
        <v>525</v>
      </c>
      <c r="D28" s="50" t="s">
        <v>526</v>
      </c>
      <c r="E28" s="10" t="s">
        <v>402</v>
      </c>
      <c r="F28" s="144" t="s">
        <v>62</v>
      </c>
      <c r="G28" s="125" t="s">
        <v>521</v>
      </c>
      <c r="H28" s="164" t="s">
        <v>402</v>
      </c>
      <c r="I28" s="123" t="s">
        <v>402</v>
      </c>
      <c r="J28" s="124">
        <v>0</v>
      </c>
      <c r="K28" s="125" t="s">
        <v>397</v>
      </c>
      <c r="L28" s="171">
        <v>9.3102401888127337E-2</v>
      </c>
      <c r="M28" s="29">
        <v>1</v>
      </c>
      <c r="N28" s="1">
        <v>2.0949941301068096</v>
      </c>
      <c r="O28" s="139" t="s">
        <v>1177</v>
      </c>
      <c r="P28" s="171">
        <v>2.4827307170167286E-2</v>
      </c>
      <c r="Q28" s="29">
        <v>1</v>
      </c>
      <c r="R28" s="1">
        <v>2.0949941301068096</v>
      </c>
      <c r="S28" s="139" t="s">
        <v>1177</v>
      </c>
      <c r="T28" s="171">
        <v>9.3102401888127337E-2</v>
      </c>
      <c r="U28" s="29">
        <v>1</v>
      </c>
      <c r="V28" s="1">
        <v>2.0949941301068096</v>
      </c>
      <c r="W28" s="139" t="s">
        <v>1177</v>
      </c>
      <c r="X28" s="171">
        <v>2.4827307170167286E-2</v>
      </c>
      <c r="Y28" s="29">
        <v>1</v>
      </c>
      <c r="Z28" s="1">
        <v>2.0949941301068096</v>
      </c>
      <c r="AA28" s="31" t="s">
        <v>1177</v>
      </c>
      <c r="AB28" s="171">
        <v>9.3102401888127337E-2</v>
      </c>
      <c r="AC28" s="29">
        <v>1</v>
      </c>
      <c r="AD28" s="1">
        <v>2.0949941301068096</v>
      </c>
      <c r="AE28" s="139" t="s">
        <v>1177</v>
      </c>
      <c r="AF28" s="171">
        <v>2.4827307170167286E-2</v>
      </c>
      <c r="AG28" s="29">
        <v>1</v>
      </c>
      <c r="AH28" s="1">
        <v>2.0949941301068096</v>
      </c>
      <c r="AI28" s="31" t="s">
        <v>1177</v>
      </c>
      <c r="AJ28" s="590"/>
      <c r="AK28" s="583">
        <v>9.3102401888127337E-2</v>
      </c>
      <c r="AL28" s="29">
        <v>1</v>
      </c>
      <c r="AM28" s="1">
        <v>2.0949941301068096</v>
      </c>
      <c r="AN28" s="139" t="s">
        <v>1177</v>
      </c>
      <c r="AO28" s="583">
        <v>2.4827307170167286E-2</v>
      </c>
      <c r="AP28" s="29">
        <v>1</v>
      </c>
      <c r="AQ28" s="1">
        <v>2.0949941301068096</v>
      </c>
      <c r="AR28" s="31" t="s">
        <v>1177</v>
      </c>
      <c r="AS28" s="583">
        <v>0.26460682641888822</v>
      </c>
      <c r="AT28" s="29">
        <v>1</v>
      </c>
      <c r="AU28" s="1">
        <v>2.0949941301068096</v>
      </c>
      <c r="AV28" s="139" t="s">
        <v>1177</v>
      </c>
    </row>
    <row r="29" spans="1:48" ht="24">
      <c r="A29" s="36">
        <v>916</v>
      </c>
      <c r="B29" s="168" t="s">
        <v>525</v>
      </c>
      <c r="C29" s="169" t="s">
        <v>525</v>
      </c>
      <c r="D29" s="50" t="s">
        <v>526</v>
      </c>
      <c r="E29" s="10" t="s">
        <v>402</v>
      </c>
      <c r="F29" s="144" t="s">
        <v>1178</v>
      </c>
      <c r="G29" s="125" t="s">
        <v>521</v>
      </c>
      <c r="H29" s="164" t="s">
        <v>402</v>
      </c>
      <c r="I29" s="123" t="s">
        <v>402</v>
      </c>
      <c r="J29" s="124">
        <v>0</v>
      </c>
      <c r="K29" s="125" t="s">
        <v>395</v>
      </c>
      <c r="L29" s="171">
        <v>18.508064516129036</v>
      </c>
      <c r="M29" s="29">
        <v>1</v>
      </c>
      <c r="N29" s="1">
        <v>1.2237593405947058</v>
      </c>
      <c r="O29" s="139" t="s">
        <v>1179</v>
      </c>
      <c r="P29" s="171">
        <v>4.9354838709677411</v>
      </c>
      <c r="Q29" s="29">
        <v>1</v>
      </c>
      <c r="R29" s="1">
        <v>1.2237593405947058</v>
      </c>
      <c r="S29" s="139" t="s">
        <v>1179</v>
      </c>
      <c r="T29" s="171">
        <v>18.508064516129036</v>
      </c>
      <c r="U29" s="29">
        <v>1</v>
      </c>
      <c r="V29" s="1">
        <v>1.2237593405947058</v>
      </c>
      <c r="W29" s="139" t="s">
        <v>1179</v>
      </c>
      <c r="X29" s="171">
        <v>4.9354838709677411</v>
      </c>
      <c r="Y29" s="29">
        <v>1</v>
      </c>
      <c r="Z29" s="1">
        <v>1.2237593405947058</v>
      </c>
      <c r="AA29" s="31" t="s">
        <v>1179</v>
      </c>
      <c r="AB29" s="171">
        <v>18.508064516129036</v>
      </c>
      <c r="AC29" s="29">
        <v>1</v>
      </c>
      <c r="AD29" s="1">
        <v>1.2237593405947058</v>
      </c>
      <c r="AE29" s="139" t="s">
        <v>1179</v>
      </c>
      <c r="AF29" s="171">
        <v>4.9354838709677411</v>
      </c>
      <c r="AG29" s="29">
        <v>1</v>
      </c>
      <c r="AH29" s="1">
        <v>1.2237593405947058</v>
      </c>
      <c r="AI29" s="31" t="s">
        <v>1179</v>
      </c>
      <c r="AJ29" s="590"/>
      <c r="AK29" s="583">
        <v>18.508064516129036</v>
      </c>
      <c r="AL29" s="29">
        <v>1</v>
      </c>
      <c r="AM29" s="1">
        <v>1.2237593405947058</v>
      </c>
      <c r="AN29" s="139" t="s">
        <v>1179</v>
      </c>
      <c r="AO29" s="583">
        <v>4.9354838709677411</v>
      </c>
      <c r="AP29" s="29">
        <v>1</v>
      </c>
      <c r="AQ29" s="1">
        <v>1.2237593405947058</v>
      </c>
      <c r="AR29" s="31" t="s">
        <v>1179</v>
      </c>
      <c r="AS29" s="241">
        <v>0</v>
      </c>
      <c r="AT29" s="29">
        <v>1</v>
      </c>
      <c r="AU29" s="1">
        <v>1.2237593405947058</v>
      </c>
      <c r="AV29" s="139" t="s">
        <v>1179</v>
      </c>
    </row>
    <row r="30" spans="1:48" ht="24">
      <c r="A30" s="120">
        <v>5101</v>
      </c>
      <c r="B30" s="168" t="s">
        <v>726</v>
      </c>
      <c r="C30" s="169" t="s">
        <v>525</v>
      </c>
      <c r="D30" s="50" t="s">
        <v>526</v>
      </c>
      <c r="E30" s="10" t="s">
        <v>402</v>
      </c>
      <c r="F30" s="144" t="s">
        <v>1180</v>
      </c>
      <c r="G30" s="125" t="s">
        <v>521</v>
      </c>
      <c r="H30" s="164" t="s">
        <v>402</v>
      </c>
      <c r="I30" s="123" t="s">
        <v>402</v>
      </c>
      <c r="J30" s="124">
        <v>0</v>
      </c>
      <c r="K30" s="125" t="s">
        <v>677</v>
      </c>
      <c r="L30" s="171">
        <v>174.19354838709677</v>
      </c>
      <c r="M30" s="29">
        <v>1</v>
      </c>
      <c r="N30" s="1">
        <v>1.5913055862177166</v>
      </c>
      <c r="O30" s="139" t="s">
        <v>1181</v>
      </c>
      <c r="P30" s="171">
        <v>46.451612903225801</v>
      </c>
      <c r="Q30" s="29">
        <v>1</v>
      </c>
      <c r="R30" s="1">
        <v>1.5913055862177166</v>
      </c>
      <c r="S30" s="139" t="s">
        <v>1181</v>
      </c>
      <c r="T30" s="171">
        <v>174.19354838709677</v>
      </c>
      <c r="U30" s="29">
        <v>1</v>
      </c>
      <c r="V30" s="1">
        <v>1.5913055862177166</v>
      </c>
      <c r="W30" s="139" t="s">
        <v>1181</v>
      </c>
      <c r="X30" s="171">
        <v>46.451612903225801</v>
      </c>
      <c r="Y30" s="29">
        <v>1</v>
      </c>
      <c r="Z30" s="1">
        <v>1.5913055862177166</v>
      </c>
      <c r="AA30" s="31" t="s">
        <v>1181</v>
      </c>
      <c r="AB30" s="171">
        <v>174.19354838709677</v>
      </c>
      <c r="AC30" s="29">
        <v>1</v>
      </c>
      <c r="AD30" s="1">
        <v>1.5913055862177166</v>
      </c>
      <c r="AE30" s="139" t="s">
        <v>1181</v>
      </c>
      <c r="AF30" s="171">
        <v>46.451612903225801</v>
      </c>
      <c r="AG30" s="29">
        <v>1</v>
      </c>
      <c r="AH30" s="1">
        <v>1.5913055862177166</v>
      </c>
      <c r="AI30" s="31" t="s">
        <v>1181</v>
      </c>
      <c r="AJ30" s="590"/>
      <c r="AK30" s="583">
        <v>174.19354838709677</v>
      </c>
      <c r="AL30" s="29">
        <v>1</v>
      </c>
      <c r="AM30" s="1">
        <v>1.5913055862177166</v>
      </c>
      <c r="AN30" s="139" t="s">
        <v>1181</v>
      </c>
      <c r="AO30" s="583">
        <v>46.451612903225801</v>
      </c>
      <c r="AP30" s="29">
        <v>1</v>
      </c>
      <c r="AQ30" s="1">
        <v>1.5913055862177166</v>
      </c>
      <c r="AR30" s="31" t="s">
        <v>1181</v>
      </c>
      <c r="AS30" s="241">
        <v>0</v>
      </c>
      <c r="AT30" s="29">
        <v>1</v>
      </c>
      <c r="AU30" s="1">
        <v>1.5913055862177166</v>
      </c>
      <c r="AV30" s="139" t="s">
        <v>1181</v>
      </c>
    </row>
    <row r="31" spans="1:48" ht="24">
      <c r="A31" s="120">
        <v>5104</v>
      </c>
      <c r="B31" s="168" t="s">
        <v>525</v>
      </c>
      <c r="C31" s="169" t="s">
        <v>525</v>
      </c>
      <c r="D31" s="50" t="s">
        <v>526</v>
      </c>
      <c r="E31" s="10" t="s">
        <v>402</v>
      </c>
      <c r="F31" s="144" t="s">
        <v>1182</v>
      </c>
      <c r="G31" s="125" t="s">
        <v>521</v>
      </c>
      <c r="H31" s="164" t="s">
        <v>402</v>
      </c>
      <c r="I31" s="123" t="s">
        <v>402</v>
      </c>
      <c r="J31" s="124">
        <v>0</v>
      </c>
      <c r="K31" s="125" t="s">
        <v>678</v>
      </c>
      <c r="L31" s="171">
        <v>0</v>
      </c>
      <c r="M31" s="29">
        <v>1</v>
      </c>
      <c r="N31" s="1">
        <v>1.5913055862177166</v>
      </c>
      <c r="O31" s="139" t="s">
        <v>1181</v>
      </c>
      <c r="P31" s="171">
        <v>0</v>
      </c>
      <c r="Q31" s="29">
        <v>1</v>
      </c>
      <c r="R31" s="1">
        <v>1.5913055862177166</v>
      </c>
      <c r="S31" s="139" t="s">
        <v>1181</v>
      </c>
      <c r="T31" s="171">
        <v>0</v>
      </c>
      <c r="U31" s="29">
        <v>1</v>
      </c>
      <c r="V31" s="1">
        <v>1.5913055862177166</v>
      </c>
      <c r="W31" s="139" t="s">
        <v>1181</v>
      </c>
      <c r="X31" s="171">
        <v>0</v>
      </c>
      <c r="Y31" s="29">
        <v>1</v>
      </c>
      <c r="Z31" s="1">
        <v>1.5913055862177166</v>
      </c>
      <c r="AA31" s="31" t="s">
        <v>1181</v>
      </c>
      <c r="AB31" s="171">
        <v>0</v>
      </c>
      <c r="AC31" s="29">
        <v>1</v>
      </c>
      <c r="AD31" s="1">
        <v>1.5913055862177166</v>
      </c>
      <c r="AE31" s="139" t="s">
        <v>1181</v>
      </c>
      <c r="AF31" s="171">
        <v>0</v>
      </c>
      <c r="AG31" s="29">
        <v>1</v>
      </c>
      <c r="AH31" s="1">
        <v>1.5913055862177166</v>
      </c>
      <c r="AI31" s="31" t="s">
        <v>1181</v>
      </c>
      <c r="AJ31" s="590"/>
      <c r="AK31" s="583">
        <v>124.11290322580646</v>
      </c>
      <c r="AL31" s="29">
        <v>1</v>
      </c>
      <c r="AM31" s="1">
        <v>1.5913055862177166</v>
      </c>
      <c r="AN31" s="139" t="s">
        <v>1181</v>
      </c>
      <c r="AO31" s="583">
        <v>33.096774193548384</v>
      </c>
      <c r="AP31" s="29">
        <v>1</v>
      </c>
      <c r="AQ31" s="1">
        <v>1.5913055862177166</v>
      </c>
      <c r="AR31" s="31" t="s">
        <v>1181</v>
      </c>
      <c r="AS31" s="241">
        <v>0</v>
      </c>
      <c r="AT31" s="29">
        <v>1</v>
      </c>
      <c r="AU31" s="1">
        <v>1.5913055862177166</v>
      </c>
      <c r="AV31" s="139" t="s">
        <v>1181</v>
      </c>
    </row>
    <row r="32" spans="1:48" ht="24">
      <c r="A32" s="120">
        <v>5287</v>
      </c>
      <c r="B32" s="168" t="s">
        <v>525</v>
      </c>
      <c r="C32" s="169" t="s">
        <v>525</v>
      </c>
      <c r="D32" s="50" t="s">
        <v>526</v>
      </c>
      <c r="E32" s="10" t="s">
        <v>402</v>
      </c>
      <c r="F32" s="144" t="s">
        <v>1183</v>
      </c>
      <c r="G32" s="125" t="s">
        <v>521</v>
      </c>
      <c r="H32" s="164" t="s">
        <v>402</v>
      </c>
      <c r="I32" s="123" t="s">
        <v>402</v>
      </c>
      <c r="J32" s="124">
        <v>0</v>
      </c>
      <c r="K32" s="125" t="s">
        <v>678</v>
      </c>
      <c r="L32" s="171">
        <v>0</v>
      </c>
      <c r="M32" s="29">
        <v>1</v>
      </c>
      <c r="N32" s="1">
        <v>1.5913055862177166</v>
      </c>
      <c r="O32" s="139" t="s">
        <v>1181</v>
      </c>
      <c r="P32" s="171">
        <v>0</v>
      </c>
      <c r="Q32" s="29">
        <v>1</v>
      </c>
      <c r="R32" s="1">
        <v>1.5913055862177166</v>
      </c>
      <c r="S32" s="139" t="s">
        <v>1181</v>
      </c>
      <c r="T32" s="171">
        <v>0</v>
      </c>
      <c r="U32" s="29">
        <v>1</v>
      </c>
      <c r="V32" s="1">
        <v>1.5913055862177166</v>
      </c>
      <c r="W32" s="139" t="s">
        <v>1181</v>
      </c>
      <c r="X32" s="171">
        <v>0</v>
      </c>
      <c r="Y32" s="29">
        <v>1</v>
      </c>
      <c r="Z32" s="1">
        <v>1.5913055862177166</v>
      </c>
      <c r="AA32" s="31" t="s">
        <v>1181</v>
      </c>
      <c r="AB32" s="171">
        <v>0</v>
      </c>
      <c r="AC32" s="29">
        <v>1</v>
      </c>
      <c r="AD32" s="1">
        <v>1.5913055862177166</v>
      </c>
      <c r="AE32" s="139" t="s">
        <v>1181</v>
      </c>
      <c r="AF32" s="171">
        <v>0</v>
      </c>
      <c r="AG32" s="29">
        <v>1</v>
      </c>
      <c r="AH32" s="1">
        <v>1.5913055862177166</v>
      </c>
      <c r="AI32" s="31" t="s">
        <v>1181</v>
      </c>
      <c r="AJ32" s="590"/>
      <c r="AK32" s="583">
        <v>39.193548387096776</v>
      </c>
      <c r="AL32" s="29">
        <v>1</v>
      </c>
      <c r="AM32" s="1">
        <v>1.5913055862177166</v>
      </c>
      <c r="AN32" s="139" t="s">
        <v>1181</v>
      </c>
      <c r="AO32" s="583">
        <v>10.451612903225804</v>
      </c>
      <c r="AP32" s="29">
        <v>1</v>
      </c>
      <c r="AQ32" s="1">
        <v>1.5913055862177166</v>
      </c>
      <c r="AR32" s="31" t="s">
        <v>1181</v>
      </c>
      <c r="AS32" s="241">
        <v>0</v>
      </c>
      <c r="AT32" s="29">
        <v>1</v>
      </c>
      <c r="AU32" s="1">
        <v>1.5913055862177166</v>
      </c>
      <c r="AV32" s="139" t="s">
        <v>1181</v>
      </c>
    </row>
    <row r="33" spans="1:48" ht="24">
      <c r="A33" s="226">
        <v>32004</v>
      </c>
      <c r="B33" s="168" t="s">
        <v>525</v>
      </c>
      <c r="C33" s="169" t="s">
        <v>525</v>
      </c>
      <c r="D33" s="50" t="s">
        <v>526</v>
      </c>
      <c r="E33" s="10" t="s">
        <v>402</v>
      </c>
      <c r="F33" s="144" t="s">
        <v>1133</v>
      </c>
      <c r="G33" s="125" t="s">
        <v>1105</v>
      </c>
      <c r="H33" s="164" t="s">
        <v>402</v>
      </c>
      <c r="I33" s="123" t="s">
        <v>402</v>
      </c>
      <c r="J33" s="124">
        <v>0</v>
      </c>
      <c r="K33" s="125" t="s">
        <v>678</v>
      </c>
      <c r="L33" s="171">
        <v>163.30645161290326</v>
      </c>
      <c r="M33" s="29">
        <v>1</v>
      </c>
      <c r="N33" s="1">
        <v>1.5913055862177166</v>
      </c>
      <c r="O33" s="139" t="s">
        <v>1181</v>
      </c>
      <c r="P33" s="171">
        <v>43.548387096774185</v>
      </c>
      <c r="Q33" s="29">
        <v>1</v>
      </c>
      <c r="R33" s="1">
        <v>1.5913055862177166</v>
      </c>
      <c r="S33" s="139" t="s">
        <v>1181</v>
      </c>
      <c r="T33" s="171">
        <v>0</v>
      </c>
      <c r="U33" s="29">
        <v>1</v>
      </c>
      <c r="V33" s="1">
        <v>1.5913055862177166</v>
      </c>
      <c r="W33" s="139" t="s">
        <v>1181</v>
      </c>
      <c r="X33" s="171">
        <v>0</v>
      </c>
      <c r="Y33" s="29">
        <v>1</v>
      </c>
      <c r="Z33" s="1">
        <v>1.5913055862177166</v>
      </c>
      <c r="AA33" s="31" t="s">
        <v>1181</v>
      </c>
      <c r="AB33" s="171">
        <v>0</v>
      </c>
      <c r="AC33" s="29">
        <v>1</v>
      </c>
      <c r="AD33" s="1">
        <v>1.5913055862177166</v>
      </c>
      <c r="AE33" s="139" t="s">
        <v>1181</v>
      </c>
      <c r="AF33" s="171">
        <v>0</v>
      </c>
      <c r="AG33" s="29">
        <v>1</v>
      </c>
      <c r="AH33" s="1">
        <v>1.5913055862177166</v>
      </c>
      <c r="AI33" s="31" t="s">
        <v>1181</v>
      </c>
      <c r="AJ33" s="590"/>
      <c r="AK33" s="583">
        <v>0</v>
      </c>
      <c r="AL33" s="29">
        <v>1</v>
      </c>
      <c r="AM33" s="1">
        <v>1.5913055862177166</v>
      </c>
      <c r="AN33" s="139" t="s">
        <v>1181</v>
      </c>
      <c r="AO33" s="583">
        <v>0</v>
      </c>
      <c r="AP33" s="29">
        <v>1</v>
      </c>
      <c r="AQ33" s="1">
        <v>1.5913055862177166</v>
      </c>
      <c r="AR33" s="31" t="s">
        <v>1181</v>
      </c>
      <c r="AS33" s="241">
        <v>0</v>
      </c>
      <c r="AT33" s="29">
        <v>1</v>
      </c>
      <c r="AU33" s="1">
        <v>1.5913055862177166</v>
      </c>
      <c r="AV33" s="139" t="s">
        <v>1181</v>
      </c>
    </row>
    <row r="34" spans="1:48" ht="24">
      <c r="A34" s="226" t="s">
        <v>866</v>
      </c>
      <c r="B34" s="168" t="s">
        <v>525</v>
      </c>
      <c r="C34" s="169" t="s">
        <v>525</v>
      </c>
      <c r="D34" s="50" t="s">
        <v>526</v>
      </c>
      <c r="E34" s="10" t="s">
        <v>402</v>
      </c>
      <c r="F34" s="144" t="s">
        <v>1133</v>
      </c>
      <c r="G34" s="125" t="s">
        <v>465</v>
      </c>
      <c r="H34" s="164" t="s">
        <v>402</v>
      </c>
      <c r="I34" s="123" t="s">
        <v>402</v>
      </c>
      <c r="J34" s="124">
        <v>0</v>
      </c>
      <c r="K34" s="125" t="s">
        <v>678</v>
      </c>
      <c r="L34" s="171">
        <v>0</v>
      </c>
      <c r="M34" s="29">
        <v>1</v>
      </c>
      <c r="N34" s="1">
        <v>1.5913055862177166</v>
      </c>
      <c r="O34" s="139" t="s">
        <v>1181</v>
      </c>
      <c r="P34" s="171">
        <v>0</v>
      </c>
      <c r="Q34" s="29">
        <v>1</v>
      </c>
      <c r="R34" s="1">
        <v>1.5913055862177166</v>
      </c>
      <c r="S34" s="139" t="s">
        <v>1181</v>
      </c>
      <c r="T34" s="171">
        <v>163.30645161290326</v>
      </c>
      <c r="U34" s="29">
        <v>1</v>
      </c>
      <c r="V34" s="1">
        <v>1.5913055862177166</v>
      </c>
      <c r="W34" s="139" t="s">
        <v>1181</v>
      </c>
      <c r="X34" s="171">
        <v>43.548387096774185</v>
      </c>
      <c r="Y34" s="29">
        <v>1</v>
      </c>
      <c r="Z34" s="1">
        <v>1.5913055862177166</v>
      </c>
      <c r="AA34" s="31" t="s">
        <v>1181</v>
      </c>
      <c r="AB34" s="171">
        <v>0</v>
      </c>
      <c r="AC34" s="29">
        <v>1</v>
      </c>
      <c r="AD34" s="1">
        <v>1.5913055862177166</v>
      </c>
      <c r="AE34" s="139" t="s">
        <v>1181</v>
      </c>
      <c r="AF34" s="171">
        <v>0</v>
      </c>
      <c r="AG34" s="29">
        <v>1</v>
      </c>
      <c r="AH34" s="1">
        <v>1.5913055862177166</v>
      </c>
      <c r="AI34" s="31" t="s">
        <v>1181</v>
      </c>
      <c r="AJ34" s="590"/>
      <c r="AK34" s="583">
        <v>0</v>
      </c>
      <c r="AL34" s="29">
        <v>1</v>
      </c>
      <c r="AM34" s="1">
        <v>1.5913055862177166</v>
      </c>
      <c r="AN34" s="139" t="s">
        <v>1181</v>
      </c>
      <c r="AO34" s="583">
        <v>0</v>
      </c>
      <c r="AP34" s="29">
        <v>1</v>
      </c>
      <c r="AQ34" s="1">
        <v>1.5913055862177166</v>
      </c>
      <c r="AR34" s="31" t="s">
        <v>1181</v>
      </c>
      <c r="AS34" s="241">
        <v>0</v>
      </c>
      <c r="AT34" s="29">
        <v>1</v>
      </c>
      <c r="AU34" s="1">
        <v>1.5913055862177166</v>
      </c>
      <c r="AV34" s="139" t="s">
        <v>1181</v>
      </c>
    </row>
    <row r="35" spans="1:48" ht="24">
      <c r="A35" s="226" t="s">
        <v>867</v>
      </c>
      <c r="B35" s="168" t="s">
        <v>525</v>
      </c>
      <c r="C35" s="169" t="s">
        <v>525</v>
      </c>
      <c r="D35" s="50" t="s">
        <v>526</v>
      </c>
      <c r="E35" s="10" t="s">
        <v>402</v>
      </c>
      <c r="F35" s="144" t="s">
        <v>1133</v>
      </c>
      <c r="G35" s="125" t="s">
        <v>497</v>
      </c>
      <c r="H35" s="164" t="s">
        <v>402</v>
      </c>
      <c r="I35" s="123" t="s">
        <v>402</v>
      </c>
      <c r="J35" s="124">
        <v>0</v>
      </c>
      <c r="K35" s="125" t="s">
        <v>678</v>
      </c>
      <c r="L35" s="171">
        <v>0</v>
      </c>
      <c r="M35" s="29">
        <v>1</v>
      </c>
      <c r="N35" s="1">
        <v>1.5913055862177166</v>
      </c>
      <c r="O35" s="139" t="s">
        <v>1181</v>
      </c>
      <c r="P35" s="607">
        <v>0</v>
      </c>
      <c r="Q35" s="29">
        <v>1</v>
      </c>
      <c r="R35" s="1">
        <v>1.5913055862177166</v>
      </c>
      <c r="S35" s="139" t="s">
        <v>1181</v>
      </c>
      <c r="T35" s="171">
        <v>0</v>
      </c>
      <c r="U35" s="29">
        <v>1</v>
      </c>
      <c r="V35" s="1">
        <v>1.5913055862177166</v>
      </c>
      <c r="W35" s="139" t="s">
        <v>1181</v>
      </c>
      <c r="X35" s="171">
        <v>0</v>
      </c>
      <c r="Y35" s="29">
        <v>1</v>
      </c>
      <c r="Z35" s="1">
        <v>1.5913055862177166</v>
      </c>
      <c r="AA35" s="31" t="s">
        <v>1181</v>
      </c>
      <c r="AB35" s="171">
        <v>163.30645161290326</v>
      </c>
      <c r="AC35" s="29">
        <v>1</v>
      </c>
      <c r="AD35" s="1">
        <v>1.5913055862177166</v>
      </c>
      <c r="AE35" s="139" t="s">
        <v>1181</v>
      </c>
      <c r="AF35" s="171">
        <v>43.548387096774185</v>
      </c>
      <c r="AG35" s="29">
        <v>1</v>
      </c>
      <c r="AH35" s="1">
        <v>1.5913055862177166</v>
      </c>
      <c r="AI35" s="31" t="s">
        <v>1181</v>
      </c>
      <c r="AJ35" s="590"/>
      <c r="AK35" s="583">
        <v>0</v>
      </c>
      <c r="AL35" s="29">
        <v>1</v>
      </c>
      <c r="AM35" s="1">
        <v>1.5913055862177166</v>
      </c>
      <c r="AN35" s="139" t="s">
        <v>1181</v>
      </c>
      <c r="AO35" s="583">
        <v>0</v>
      </c>
      <c r="AP35" s="29">
        <v>1</v>
      </c>
      <c r="AQ35" s="1">
        <v>1.5913055862177166</v>
      </c>
      <c r="AR35" s="31" t="s">
        <v>1181</v>
      </c>
      <c r="AS35" s="241">
        <v>0</v>
      </c>
      <c r="AT35" s="29">
        <v>1</v>
      </c>
      <c r="AU35" s="1">
        <v>1.5913055862177166</v>
      </c>
      <c r="AV35" s="139" t="s">
        <v>1181</v>
      </c>
    </row>
    <row r="36" spans="1:48" ht="24">
      <c r="A36" s="2">
        <v>1409</v>
      </c>
      <c r="B36" s="168" t="s">
        <v>727</v>
      </c>
      <c r="C36" s="169" t="s">
        <v>525</v>
      </c>
      <c r="D36" s="50" t="s">
        <v>526</v>
      </c>
      <c r="E36" s="10" t="s">
        <v>402</v>
      </c>
      <c r="F36" s="144" t="s">
        <v>1184</v>
      </c>
      <c r="G36" s="125" t="s">
        <v>393</v>
      </c>
      <c r="H36" s="164" t="s">
        <v>402</v>
      </c>
      <c r="I36" s="123" t="s">
        <v>402</v>
      </c>
      <c r="J36" s="124">
        <v>0</v>
      </c>
      <c r="K36" s="125" t="s">
        <v>395</v>
      </c>
      <c r="L36" s="171">
        <v>1.3181672587584919E-3</v>
      </c>
      <c r="M36" s="29">
        <v>1</v>
      </c>
      <c r="N36" s="1">
        <v>1.6910336104485675</v>
      </c>
      <c r="O36" s="139" t="s">
        <v>1185</v>
      </c>
      <c r="P36" s="171">
        <v>3.5151126900226446E-4</v>
      </c>
      <c r="Q36" s="29">
        <v>1</v>
      </c>
      <c r="R36" s="1">
        <v>1.6910336104485675</v>
      </c>
      <c r="S36" s="139" t="s">
        <v>1185</v>
      </c>
      <c r="T36" s="171">
        <v>1.3181672587584919E-3</v>
      </c>
      <c r="U36" s="29">
        <v>1</v>
      </c>
      <c r="V36" s="1">
        <v>1.6910336104485675</v>
      </c>
      <c r="W36" s="139" t="s">
        <v>1185</v>
      </c>
      <c r="X36" s="171">
        <v>3.5151126900226446E-4</v>
      </c>
      <c r="Y36" s="29">
        <v>1</v>
      </c>
      <c r="Z36" s="1">
        <v>1.6910336104485675</v>
      </c>
      <c r="AA36" s="31" t="s">
        <v>1185</v>
      </c>
      <c r="AB36" s="171">
        <v>1.3181672587584919E-3</v>
      </c>
      <c r="AC36" s="29">
        <v>1</v>
      </c>
      <c r="AD36" s="1">
        <v>1.6910336104485675</v>
      </c>
      <c r="AE36" s="139" t="s">
        <v>1185</v>
      </c>
      <c r="AF36" s="171">
        <v>3.5151126900226446E-4</v>
      </c>
      <c r="AG36" s="29">
        <v>1</v>
      </c>
      <c r="AH36" s="1">
        <v>1.6910336104485675</v>
      </c>
      <c r="AI36" s="31" t="s">
        <v>1185</v>
      </c>
      <c r="AJ36" s="590"/>
      <c r="AK36" s="583">
        <v>1.3181672587584919E-3</v>
      </c>
      <c r="AL36" s="29">
        <v>1</v>
      </c>
      <c r="AM36" s="1">
        <v>1.6910336104485675</v>
      </c>
      <c r="AN36" s="139" t="s">
        <v>1185</v>
      </c>
      <c r="AO36" s="583">
        <v>3.5151126900226446E-4</v>
      </c>
      <c r="AP36" s="29">
        <v>1</v>
      </c>
      <c r="AQ36" s="1">
        <v>1.6910336104485675</v>
      </c>
      <c r="AR36" s="31" t="s">
        <v>1185</v>
      </c>
      <c r="AS36" s="583">
        <v>3.7463701038399247E-3</v>
      </c>
      <c r="AT36" s="29">
        <v>1</v>
      </c>
      <c r="AU36" s="1">
        <v>1.6910336104485675</v>
      </c>
      <c r="AV36" s="139" t="s">
        <v>1185</v>
      </c>
    </row>
    <row r="37" spans="1:48" ht="12.75">
      <c r="A37" s="172">
        <v>3820</v>
      </c>
      <c r="B37" s="168" t="s">
        <v>525</v>
      </c>
      <c r="C37" s="169" t="s">
        <v>525</v>
      </c>
      <c r="D37" s="50" t="s">
        <v>526</v>
      </c>
      <c r="E37" s="10" t="s">
        <v>402</v>
      </c>
      <c r="F37" s="144" t="s">
        <v>1147</v>
      </c>
      <c r="G37" s="125" t="s">
        <v>521</v>
      </c>
      <c r="H37" s="164" t="s">
        <v>402</v>
      </c>
      <c r="I37" s="123" t="s">
        <v>402</v>
      </c>
      <c r="J37" s="124">
        <v>1</v>
      </c>
      <c r="K37" s="125" t="s">
        <v>522</v>
      </c>
      <c r="L37" s="171">
        <v>1.0660138976626659E-11</v>
      </c>
      <c r="M37" s="29">
        <v>1</v>
      </c>
      <c r="N37" s="1">
        <v>3.0486732757433477</v>
      </c>
      <c r="O37" s="139" t="s">
        <v>1186</v>
      </c>
      <c r="P37" s="171">
        <v>2.8427037271004423E-12</v>
      </c>
      <c r="Q37" s="29">
        <v>1</v>
      </c>
      <c r="R37" s="1">
        <v>3.0486732757433477</v>
      </c>
      <c r="S37" s="139" t="s">
        <v>1186</v>
      </c>
      <c r="T37" s="171">
        <v>1.0660138976626659E-11</v>
      </c>
      <c r="U37" s="29">
        <v>1</v>
      </c>
      <c r="V37" s="1">
        <v>3.0486732757433477</v>
      </c>
      <c r="W37" s="139" t="s">
        <v>1186</v>
      </c>
      <c r="X37" s="171">
        <v>2.8427037271004423E-12</v>
      </c>
      <c r="Y37" s="29">
        <v>1</v>
      </c>
      <c r="Z37" s="1">
        <v>3.0486732757433477</v>
      </c>
      <c r="AA37" s="31" t="s">
        <v>1186</v>
      </c>
      <c r="AB37" s="171">
        <v>1.0660138976626659E-11</v>
      </c>
      <c r="AC37" s="29">
        <v>1</v>
      </c>
      <c r="AD37" s="1">
        <v>3.0486732757433477</v>
      </c>
      <c r="AE37" s="139" t="s">
        <v>1186</v>
      </c>
      <c r="AF37" s="171">
        <v>2.8427037271004423E-12</v>
      </c>
      <c r="AG37" s="29">
        <v>1</v>
      </c>
      <c r="AH37" s="1">
        <v>3.0486732757433477</v>
      </c>
      <c r="AI37" s="31" t="s">
        <v>1186</v>
      </c>
      <c r="AJ37" s="590"/>
      <c r="AK37" s="583">
        <v>1.0660138976626659E-11</v>
      </c>
      <c r="AL37" s="29">
        <v>1</v>
      </c>
      <c r="AM37" s="1">
        <v>3.0486732757433477</v>
      </c>
      <c r="AN37" s="139" t="s">
        <v>1186</v>
      </c>
      <c r="AO37" s="583">
        <v>2.8427037271004423E-12</v>
      </c>
      <c r="AP37" s="29">
        <v>1</v>
      </c>
      <c r="AQ37" s="1">
        <v>3.0486732757433477</v>
      </c>
      <c r="AR37" s="31" t="s">
        <v>1186</v>
      </c>
      <c r="AS37" s="583">
        <v>3.029723709146524E-11</v>
      </c>
      <c r="AT37" s="29">
        <v>1</v>
      </c>
      <c r="AU37" s="1">
        <v>3.0486732757433477</v>
      </c>
      <c r="AV37" s="139" t="s">
        <v>1186</v>
      </c>
    </row>
    <row r="38" spans="1:48" ht="36">
      <c r="A38" s="36">
        <v>490</v>
      </c>
      <c r="B38" s="168" t="s">
        <v>272</v>
      </c>
      <c r="C38" s="169" t="s">
        <v>525</v>
      </c>
      <c r="D38" s="50" t="s">
        <v>402</v>
      </c>
      <c r="E38" s="10" t="s">
        <v>527</v>
      </c>
      <c r="F38" s="144" t="s">
        <v>324</v>
      </c>
      <c r="G38" s="125" t="s">
        <v>402</v>
      </c>
      <c r="H38" s="164" t="s">
        <v>325</v>
      </c>
      <c r="I38" s="126" t="s">
        <v>685</v>
      </c>
      <c r="J38" s="124" t="s">
        <v>402</v>
      </c>
      <c r="K38" s="125" t="s">
        <v>677</v>
      </c>
      <c r="L38" s="171">
        <v>391.9354838709678</v>
      </c>
      <c r="M38" s="29">
        <v>1</v>
      </c>
      <c r="N38" s="1">
        <v>3.0492095289625252</v>
      </c>
      <c r="O38" s="139" t="s">
        <v>1187</v>
      </c>
      <c r="P38" s="171">
        <v>104.51612903225806</v>
      </c>
      <c r="Q38" s="29">
        <v>1</v>
      </c>
      <c r="R38" s="1">
        <v>3.0492095289625252</v>
      </c>
      <c r="S38" s="139" t="s">
        <v>1187</v>
      </c>
      <c r="T38" s="171">
        <v>391.9354838709678</v>
      </c>
      <c r="U38" s="29">
        <v>1</v>
      </c>
      <c r="V38" s="1">
        <v>3.0492095289625252</v>
      </c>
      <c r="W38" s="139" t="s">
        <v>1187</v>
      </c>
      <c r="X38" s="171">
        <v>104.51612903225806</v>
      </c>
      <c r="Y38" s="29">
        <v>1</v>
      </c>
      <c r="Z38" s="1">
        <v>3.0492095289625252</v>
      </c>
      <c r="AA38" s="31" t="s">
        <v>1187</v>
      </c>
      <c r="AB38" s="171">
        <v>391.9354838709678</v>
      </c>
      <c r="AC38" s="29">
        <v>1</v>
      </c>
      <c r="AD38" s="1">
        <v>3.0492095289625252</v>
      </c>
      <c r="AE38" s="139" t="s">
        <v>1187</v>
      </c>
      <c r="AF38" s="171">
        <v>104.51612903225806</v>
      </c>
      <c r="AG38" s="29">
        <v>1</v>
      </c>
      <c r="AH38" s="1">
        <v>3.0492095289625252</v>
      </c>
      <c r="AI38" s="31" t="s">
        <v>1187</v>
      </c>
      <c r="AJ38" s="590"/>
      <c r="AK38" s="583">
        <v>391.9354838709678</v>
      </c>
      <c r="AL38" s="29">
        <v>1</v>
      </c>
      <c r="AM38" s="1">
        <v>3.0492095289625252</v>
      </c>
      <c r="AN38" s="139" t="s">
        <v>1187</v>
      </c>
      <c r="AO38" s="583">
        <v>104.51612903225806</v>
      </c>
      <c r="AP38" s="29">
        <v>1</v>
      </c>
      <c r="AQ38" s="1">
        <v>3.0492095289625252</v>
      </c>
      <c r="AR38" s="31" t="s">
        <v>1187</v>
      </c>
      <c r="AS38" s="241">
        <v>0</v>
      </c>
      <c r="AT38" s="29">
        <v>1</v>
      </c>
      <c r="AU38" s="1">
        <v>3.0492095289625252</v>
      </c>
      <c r="AV38" s="139" t="s">
        <v>1187</v>
      </c>
    </row>
    <row r="39" spans="1:48" s="176" customFormat="1" ht="24">
      <c r="A39" s="242"/>
      <c r="B39" s="168" t="s">
        <v>399</v>
      </c>
      <c r="C39" s="169" t="s">
        <v>525</v>
      </c>
      <c r="D39" s="50" t="s">
        <v>402</v>
      </c>
      <c r="E39" s="10" t="s">
        <v>527</v>
      </c>
      <c r="F39" s="144" t="s">
        <v>331</v>
      </c>
      <c r="G39" s="125" t="s">
        <v>402</v>
      </c>
      <c r="H39" s="164" t="s">
        <v>211</v>
      </c>
      <c r="I39" s="123" t="s">
        <v>212</v>
      </c>
      <c r="J39" s="124" t="s">
        <v>402</v>
      </c>
      <c r="K39" s="125" t="s">
        <v>395</v>
      </c>
      <c r="L39" s="171">
        <v>1.2619134897360705E-5</v>
      </c>
      <c r="M39" s="29">
        <v>1</v>
      </c>
      <c r="N39" s="1">
        <v>1.5646750276965706</v>
      </c>
      <c r="O39" s="139" t="s">
        <v>1188</v>
      </c>
      <c r="P39" s="171">
        <v>3.3651026392961876E-6</v>
      </c>
      <c r="Q39" s="29">
        <v>1</v>
      </c>
      <c r="R39" s="1">
        <v>1.5646750276965706</v>
      </c>
      <c r="S39" s="139" t="s">
        <v>1188</v>
      </c>
      <c r="T39" s="171">
        <v>1.2619134897360705E-5</v>
      </c>
      <c r="U39" s="29">
        <v>1</v>
      </c>
      <c r="V39" s="1">
        <v>1.5646750276965706</v>
      </c>
      <c r="W39" s="139" t="s">
        <v>1188</v>
      </c>
      <c r="X39" s="171">
        <v>3.3651026392961876E-6</v>
      </c>
      <c r="Y39" s="29">
        <v>1</v>
      </c>
      <c r="Z39" s="1">
        <v>1.5646750276965706</v>
      </c>
      <c r="AA39" s="31" t="s">
        <v>1188</v>
      </c>
      <c r="AB39" s="171">
        <v>1.2619134897360705E-5</v>
      </c>
      <c r="AC39" s="29">
        <v>1</v>
      </c>
      <c r="AD39" s="1">
        <v>1.5646750276965706</v>
      </c>
      <c r="AE39" s="139" t="s">
        <v>1188</v>
      </c>
      <c r="AF39" s="171">
        <v>3.3651026392961876E-6</v>
      </c>
      <c r="AG39" s="29">
        <v>1</v>
      </c>
      <c r="AH39" s="1">
        <v>1.5646750276965706</v>
      </c>
      <c r="AI39" s="31" t="s">
        <v>1188</v>
      </c>
      <c r="AJ39" s="590"/>
      <c r="AK39" s="583">
        <v>1.2619134897360705E-5</v>
      </c>
      <c r="AL39" s="29">
        <v>1</v>
      </c>
      <c r="AM39" s="1">
        <v>1.5646750276965706</v>
      </c>
      <c r="AN39" s="139" t="s">
        <v>1188</v>
      </c>
      <c r="AO39" s="583">
        <v>3.3651026392961876E-6</v>
      </c>
      <c r="AP39" s="29">
        <v>1</v>
      </c>
      <c r="AQ39" s="1">
        <v>1.5646750276965706</v>
      </c>
      <c r="AR39" s="31" t="s">
        <v>1188</v>
      </c>
      <c r="AS39" s="241">
        <v>0</v>
      </c>
      <c r="AT39" s="29">
        <v>1</v>
      </c>
      <c r="AU39" s="1">
        <v>1.5646750276965706</v>
      </c>
      <c r="AV39" s="139" t="s">
        <v>1188</v>
      </c>
    </row>
    <row r="40" spans="1:48" s="176" customFormat="1" ht="24">
      <c r="A40" s="116">
        <v>1876</v>
      </c>
      <c r="B40" s="168"/>
      <c r="C40" s="169" t="s">
        <v>525</v>
      </c>
      <c r="D40" s="50" t="s">
        <v>402</v>
      </c>
      <c r="E40" s="10" t="s">
        <v>527</v>
      </c>
      <c r="F40" s="144" t="s">
        <v>683</v>
      </c>
      <c r="G40" s="125" t="s">
        <v>402</v>
      </c>
      <c r="H40" s="164" t="s">
        <v>211</v>
      </c>
      <c r="I40" s="123" t="s">
        <v>212</v>
      </c>
      <c r="J40" s="124" t="s">
        <v>402</v>
      </c>
      <c r="K40" s="125" t="s">
        <v>395</v>
      </c>
      <c r="L40" s="171">
        <v>2.047104105571848E-4</v>
      </c>
      <c r="M40" s="29">
        <v>1</v>
      </c>
      <c r="N40" s="1">
        <v>1.5646750276965706</v>
      </c>
      <c r="O40" s="139" t="s">
        <v>1188</v>
      </c>
      <c r="P40" s="171">
        <v>5.4589442815249267E-5</v>
      </c>
      <c r="Q40" s="29">
        <v>1</v>
      </c>
      <c r="R40" s="1">
        <v>1.5646750276965706</v>
      </c>
      <c r="S40" s="139" t="s">
        <v>1188</v>
      </c>
      <c r="T40" s="171">
        <v>2.047104105571848E-4</v>
      </c>
      <c r="U40" s="29">
        <v>1</v>
      </c>
      <c r="V40" s="1">
        <v>1.5646750276965706</v>
      </c>
      <c r="W40" s="139" t="s">
        <v>1188</v>
      </c>
      <c r="X40" s="171">
        <v>5.4589442815249267E-5</v>
      </c>
      <c r="Y40" s="29">
        <v>1</v>
      </c>
      <c r="Z40" s="1">
        <v>1.5646750276965706</v>
      </c>
      <c r="AA40" s="31" t="s">
        <v>1188</v>
      </c>
      <c r="AB40" s="171">
        <v>2.047104105571848E-4</v>
      </c>
      <c r="AC40" s="29">
        <v>1</v>
      </c>
      <c r="AD40" s="1">
        <v>1.5646750276965706</v>
      </c>
      <c r="AE40" s="139" t="s">
        <v>1188</v>
      </c>
      <c r="AF40" s="171">
        <v>5.4589442815249267E-5</v>
      </c>
      <c r="AG40" s="29">
        <v>1</v>
      </c>
      <c r="AH40" s="1">
        <v>1.5646750276965706</v>
      </c>
      <c r="AI40" s="31" t="s">
        <v>1188</v>
      </c>
      <c r="AJ40" s="590"/>
      <c r="AK40" s="583">
        <v>2.047104105571848E-4</v>
      </c>
      <c r="AL40" s="29">
        <v>1</v>
      </c>
      <c r="AM40" s="1">
        <v>1.5646750276965706</v>
      </c>
      <c r="AN40" s="139" t="s">
        <v>1188</v>
      </c>
      <c r="AO40" s="583">
        <v>5.4589442815249267E-5</v>
      </c>
      <c r="AP40" s="29">
        <v>1</v>
      </c>
      <c r="AQ40" s="1">
        <v>1.5646750276965706</v>
      </c>
      <c r="AR40" s="31" t="s">
        <v>1188</v>
      </c>
      <c r="AS40" s="241">
        <v>0</v>
      </c>
      <c r="AT40" s="29">
        <v>1</v>
      </c>
      <c r="AU40" s="1">
        <v>1.5646750276965706</v>
      </c>
      <c r="AV40" s="139" t="s">
        <v>1188</v>
      </c>
    </row>
    <row r="41" spans="1:48" s="176" customFormat="1" ht="24">
      <c r="A41" s="242"/>
      <c r="B41" s="168" t="s">
        <v>525</v>
      </c>
      <c r="C41" s="169" t="s">
        <v>525</v>
      </c>
      <c r="D41" s="50" t="s">
        <v>402</v>
      </c>
      <c r="E41" s="10" t="s">
        <v>527</v>
      </c>
      <c r="F41" s="144" t="s">
        <v>213</v>
      </c>
      <c r="G41" s="125" t="s">
        <v>402</v>
      </c>
      <c r="H41" s="164" t="s">
        <v>211</v>
      </c>
      <c r="I41" s="123" t="s">
        <v>212</v>
      </c>
      <c r="J41" s="124" t="s">
        <v>402</v>
      </c>
      <c r="K41" s="125" t="s">
        <v>395</v>
      </c>
      <c r="L41" s="171">
        <v>2.0199799761730203E-3</v>
      </c>
      <c r="M41" s="29">
        <v>1</v>
      </c>
      <c r="N41" s="1">
        <v>1.5646750276965706</v>
      </c>
      <c r="O41" s="139" t="s">
        <v>1188</v>
      </c>
      <c r="P41" s="171">
        <v>5.3866132697947199E-4</v>
      </c>
      <c r="Q41" s="29">
        <v>1</v>
      </c>
      <c r="R41" s="1">
        <v>1.5646750276965706</v>
      </c>
      <c r="S41" s="139" t="s">
        <v>1188</v>
      </c>
      <c r="T41" s="171">
        <v>2.0199799761730203E-3</v>
      </c>
      <c r="U41" s="29">
        <v>1</v>
      </c>
      <c r="V41" s="1">
        <v>1.5646750276965706</v>
      </c>
      <c r="W41" s="139" t="s">
        <v>1188</v>
      </c>
      <c r="X41" s="171">
        <v>5.3866132697947199E-4</v>
      </c>
      <c r="Y41" s="29">
        <v>1</v>
      </c>
      <c r="Z41" s="1">
        <v>1.5646750276965706</v>
      </c>
      <c r="AA41" s="31" t="s">
        <v>1188</v>
      </c>
      <c r="AB41" s="171">
        <v>2.0199799761730203E-3</v>
      </c>
      <c r="AC41" s="29">
        <v>1</v>
      </c>
      <c r="AD41" s="1">
        <v>1.5646750276965706</v>
      </c>
      <c r="AE41" s="139" t="s">
        <v>1188</v>
      </c>
      <c r="AF41" s="171">
        <v>5.3866132697947199E-4</v>
      </c>
      <c r="AG41" s="29">
        <v>1</v>
      </c>
      <c r="AH41" s="1">
        <v>1.5646750276965706</v>
      </c>
      <c r="AI41" s="31" t="s">
        <v>1188</v>
      </c>
      <c r="AJ41" s="590"/>
      <c r="AK41" s="583">
        <v>2.0199799761730203E-3</v>
      </c>
      <c r="AL41" s="29">
        <v>1</v>
      </c>
      <c r="AM41" s="1">
        <v>1.5646750276965706</v>
      </c>
      <c r="AN41" s="139" t="s">
        <v>1188</v>
      </c>
      <c r="AO41" s="583">
        <v>5.3866132697947199E-4</v>
      </c>
      <c r="AP41" s="29">
        <v>1</v>
      </c>
      <c r="AQ41" s="1">
        <v>1.5646750276965706</v>
      </c>
      <c r="AR41" s="31" t="s">
        <v>1188</v>
      </c>
      <c r="AS41" s="241">
        <v>0</v>
      </c>
      <c r="AT41" s="29">
        <v>1</v>
      </c>
      <c r="AU41" s="1">
        <v>1.5646750276965706</v>
      </c>
      <c r="AV41" s="139" t="s">
        <v>1188</v>
      </c>
    </row>
    <row r="42" spans="1:48" ht="24">
      <c r="A42" s="150">
        <v>1993</v>
      </c>
      <c r="B42" s="168" t="s">
        <v>525</v>
      </c>
      <c r="C42" s="169" t="s">
        <v>525</v>
      </c>
      <c r="D42" s="50" t="s">
        <v>402</v>
      </c>
      <c r="E42" s="10" t="s">
        <v>527</v>
      </c>
      <c r="F42" s="144" t="s">
        <v>5</v>
      </c>
      <c r="G42" s="125" t="s">
        <v>402</v>
      </c>
      <c r="H42" s="164" t="s">
        <v>211</v>
      </c>
      <c r="I42" s="123" t="s">
        <v>212</v>
      </c>
      <c r="J42" s="124" t="s">
        <v>402</v>
      </c>
      <c r="K42" s="125" t="s">
        <v>395</v>
      </c>
      <c r="L42" s="171">
        <v>3.5991174853372436E-2</v>
      </c>
      <c r="M42" s="29">
        <v>1</v>
      </c>
      <c r="N42" s="1">
        <v>3.0492095289625252</v>
      </c>
      <c r="O42" s="139" t="s">
        <v>1188</v>
      </c>
      <c r="P42" s="171">
        <v>9.5976466275659814E-3</v>
      </c>
      <c r="Q42" s="29">
        <v>1</v>
      </c>
      <c r="R42" s="1">
        <v>3.0492095289625252</v>
      </c>
      <c r="S42" s="139" t="s">
        <v>1188</v>
      </c>
      <c r="T42" s="171">
        <v>3.5991174853372436E-2</v>
      </c>
      <c r="U42" s="29">
        <v>1</v>
      </c>
      <c r="V42" s="1">
        <v>3.0492095289625252</v>
      </c>
      <c r="W42" s="139" t="s">
        <v>1188</v>
      </c>
      <c r="X42" s="171">
        <v>9.5976466275659814E-3</v>
      </c>
      <c r="Y42" s="29">
        <v>1</v>
      </c>
      <c r="Z42" s="1">
        <v>3.0492095289625252</v>
      </c>
      <c r="AA42" s="31" t="s">
        <v>1188</v>
      </c>
      <c r="AB42" s="171">
        <v>3.5991174853372436E-2</v>
      </c>
      <c r="AC42" s="29">
        <v>1</v>
      </c>
      <c r="AD42" s="1">
        <v>3.0492095289625252</v>
      </c>
      <c r="AE42" s="139" t="s">
        <v>1188</v>
      </c>
      <c r="AF42" s="171">
        <v>9.5976466275659814E-3</v>
      </c>
      <c r="AG42" s="29">
        <v>1</v>
      </c>
      <c r="AH42" s="1">
        <v>3.0492095289625252</v>
      </c>
      <c r="AI42" s="31" t="s">
        <v>1188</v>
      </c>
      <c r="AJ42" s="590"/>
      <c r="AK42" s="583">
        <v>3.5991174853372436E-2</v>
      </c>
      <c r="AL42" s="29">
        <v>1</v>
      </c>
      <c r="AM42" s="1">
        <v>3.0492095289625252</v>
      </c>
      <c r="AN42" s="139" t="s">
        <v>1188</v>
      </c>
      <c r="AO42" s="583">
        <v>9.5976466275659814E-3</v>
      </c>
      <c r="AP42" s="29">
        <v>1</v>
      </c>
      <c r="AQ42" s="1">
        <v>3.0492095289625252</v>
      </c>
      <c r="AR42" s="31" t="s">
        <v>1188</v>
      </c>
      <c r="AS42" s="241">
        <v>0</v>
      </c>
      <c r="AT42" s="29">
        <v>1</v>
      </c>
      <c r="AU42" s="1">
        <v>3.0492095289625252</v>
      </c>
      <c r="AV42" s="139" t="s">
        <v>1188</v>
      </c>
    </row>
    <row r="43" spans="1:48" s="176" customFormat="1" ht="24">
      <c r="A43" s="242"/>
      <c r="B43" s="168" t="s">
        <v>525</v>
      </c>
      <c r="C43" s="169" t="s">
        <v>525</v>
      </c>
      <c r="D43" s="50" t="s">
        <v>402</v>
      </c>
      <c r="E43" s="10" t="s">
        <v>527</v>
      </c>
      <c r="F43" s="144" t="s">
        <v>332</v>
      </c>
      <c r="G43" s="125" t="s">
        <v>402</v>
      </c>
      <c r="H43" s="164" t="s">
        <v>211</v>
      </c>
      <c r="I43" s="123" t="s">
        <v>212</v>
      </c>
      <c r="J43" s="124" t="s">
        <v>402</v>
      </c>
      <c r="K43" s="125" t="s">
        <v>395</v>
      </c>
      <c r="L43" s="171">
        <v>1.0235520527859239E-7</v>
      </c>
      <c r="M43" s="29">
        <v>1</v>
      </c>
      <c r="N43" s="1">
        <v>5.0560603833099531</v>
      </c>
      <c r="O43" s="139" t="s">
        <v>1188</v>
      </c>
      <c r="P43" s="171">
        <v>2.7294721407624631E-8</v>
      </c>
      <c r="Q43" s="29">
        <v>1</v>
      </c>
      <c r="R43" s="1">
        <v>5.0560603833099531</v>
      </c>
      <c r="S43" s="139" t="s">
        <v>1188</v>
      </c>
      <c r="T43" s="171">
        <v>1.0235520527859239E-7</v>
      </c>
      <c r="U43" s="29">
        <v>1</v>
      </c>
      <c r="V43" s="1">
        <v>5.0560603833099531</v>
      </c>
      <c r="W43" s="139" t="s">
        <v>1188</v>
      </c>
      <c r="X43" s="171">
        <v>2.7294721407624631E-8</v>
      </c>
      <c r="Y43" s="29">
        <v>1</v>
      </c>
      <c r="Z43" s="1">
        <v>5.0560603833099531</v>
      </c>
      <c r="AA43" s="31" t="s">
        <v>1188</v>
      </c>
      <c r="AB43" s="171">
        <v>1.0235520527859239E-7</v>
      </c>
      <c r="AC43" s="29">
        <v>1</v>
      </c>
      <c r="AD43" s="1">
        <v>5.0560603833099531</v>
      </c>
      <c r="AE43" s="139" t="s">
        <v>1188</v>
      </c>
      <c r="AF43" s="171">
        <v>2.7294721407624631E-8</v>
      </c>
      <c r="AG43" s="29">
        <v>1</v>
      </c>
      <c r="AH43" s="1">
        <v>5.0560603833099531</v>
      </c>
      <c r="AI43" s="31" t="s">
        <v>1188</v>
      </c>
      <c r="AJ43" s="590"/>
      <c r="AK43" s="583">
        <v>1.0235520527859239E-7</v>
      </c>
      <c r="AL43" s="29">
        <v>1</v>
      </c>
      <c r="AM43" s="1">
        <v>5.0560603833099531</v>
      </c>
      <c r="AN43" s="139" t="s">
        <v>1188</v>
      </c>
      <c r="AO43" s="583">
        <v>2.7294721407624631E-8</v>
      </c>
      <c r="AP43" s="29">
        <v>1</v>
      </c>
      <c r="AQ43" s="1">
        <v>5.0560603833099531</v>
      </c>
      <c r="AR43" s="31" t="s">
        <v>1188</v>
      </c>
      <c r="AS43" s="241">
        <v>0</v>
      </c>
      <c r="AT43" s="29">
        <v>1</v>
      </c>
      <c r="AU43" s="1">
        <v>5.0560603833099531</v>
      </c>
      <c r="AV43" s="139" t="s">
        <v>1188</v>
      </c>
    </row>
    <row r="44" spans="1:48" s="176" customFormat="1" ht="24">
      <c r="A44" s="242"/>
      <c r="B44" s="168" t="s">
        <v>525</v>
      </c>
      <c r="C44" s="169" t="s">
        <v>525</v>
      </c>
      <c r="D44" s="50" t="s">
        <v>402</v>
      </c>
      <c r="E44" s="10" t="s">
        <v>527</v>
      </c>
      <c r="F44" s="144" t="s">
        <v>333</v>
      </c>
      <c r="G44" s="125" t="s">
        <v>402</v>
      </c>
      <c r="H44" s="164" t="s">
        <v>211</v>
      </c>
      <c r="I44" s="123" t="s">
        <v>212</v>
      </c>
      <c r="J44" s="124" t="s">
        <v>402</v>
      </c>
      <c r="K44" s="125" t="s">
        <v>395</v>
      </c>
      <c r="L44" s="171">
        <v>2.0751466275659822E-4</v>
      </c>
      <c r="M44" s="29">
        <v>1</v>
      </c>
      <c r="N44" s="1">
        <v>1.5646750276965706</v>
      </c>
      <c r="O44" s="139" t="s">
        <v>1188</v>
      </c>
      <c r="P44" s="171">
        <v>5.5337243401759518E-5</v>
      </c>
      <c r="Q44" s="29">
        <v>1</v>
      </c>
      <c r="R44" s="1">
        <v>1.5646750276965706</v>
      </c>
      <c r="S44" s="139" t="s">
        <v>1188</v>
      </c>
      <c r="T44" s="171">
        <v>2.0751466275659822E-4</v>
      </c>
      <c r="U44" s="29">
        <v>1</v>
      </c>
      <c r="V44" s="1">
        <v>1.5646750276965706</v>
      </c>
      <c r="W44" s="139" t="s">
        <v>1188</v>
      </c>
      <c r="X44" s="171">
        <v>5.5337243401759518E-5</v>
      </c>
      <c r="Y44" s="29">
        <v>1</v>
      </c>
      <c r="Z44" s="1">
        <v>1.5646750276965706</v>
      </c>
      <c r="AA44" s="31" t="s">
        <v>1188</v>
      </c>
      <c r="AB44" s="171">
        <v>2.0751466275659822E-4</v>
      </c>
      <c r="AC44" s="29">
        <v>1</v>
      </c>
      <c r="AD44" s="1">
        <v>1.5646750276965706</v>
      </c>
      <c r="AE44" s="139" t="s">
        <v>1188</v>
      </c>
      <c r="AF44" s="171">
        <v>5.5337243401759518E-5</v>
      </c>
      <c r="AG44" s="29">
        <v>1</v>
      </c>
      <c r="AH44" s="1">
        <v>1.5646750276965706</v>
      </c>
      <c r="AI44" s="31" t="s">
        <v>1188</v>
      </c>
      <c r="AJ44" s="590"/>
      <c r="AK44" s="583">
        <v>2.0751466275659822E-4</v>
      </c>
      <c r="AL44" s="29">
        <v>1</v>
      </c>
      <c r="AM44" s="1">
        <v>1.5646750276965706</v>
      </c>
      <c r="AN44" s="139" t="s">
        <v>1188</v>
      </c>
      <c r="AO44" s="583">
        <v>5.5337243401759518E-5</v>
      </c>
      <c r="AP44" s="29">
        <v>1</v>
      </c>
      <c r="AQ44" s="1">
        <v>1.5646750276965706</v>
      </c>
      <c r="AR44" s="31" t="s">
        <v>1188</v>
      </c>
      <c r="AS44" s="241">
        <v>0</v>
      </c>
      <c r="AT44" s="29">
        <v>1</v>
      </c>
      <c r="AU44" s="1">
        <v>1.5646750276965706</v>
      </c>
      <c r="AV44" s="139" t="s">
        <v>1188</v>
      </c>
    </row>
    <row r="45" spans="1:48" s="176" customFormat="1" ht="24">
      <c r="A45" s="242"/>
      <c r="B45" s="168" t="s">
        <v>525</v>
      </c>
      <c r="C45" s="169" t="s">
        <v>525</v>
      </c>
      <c r="D45" s="50" t="s">
        <v>402</v>
      </c>
      <c r="E45" s="10" t="s">
        <v>527</v>
      </c>
      <c r="F45" s="144" t="s">
        <v>334</v>
      </c>
      <c r="G45" s="125" t="s">
        <v>402</v>
      </c>
      <c r="H45" s="164" t="s">
        <v>211</v>
      </c>
      <c r="I45" s="123" t="s">
        <v>212</v>
      </c>
      <c r="J45" s="124" t="s">
        <v>402</v>
      </c>
      <c r="K45" s="125" t="s">
        <v>395</v>
      </c>
      <c r="L45" s="171">
        <v>2.8042521994134892E-6</v>
      </c>
      <c r="M45" s="29">
        <v>1</v>
      </c>
      <c r="N45" s="1">
        <v>1.5646750276965706</v>
      </c>
      <c r="O45" s="139" t="s">
        <v>1188</v>
      </c>
      <c r="P45" s="171">
        <v>7.4780058651026373E-7</v>
      </c>
      <c r="Q45" s="29">
        <v>1</v>
      </c>
      <c r="R45" s="1">
        <v>1.5646750276965706</v>
      </c>
      <c r="S45" s="139" t="s">
        <v>1188</v>
      </c>
      <c r="T45" s="171">
        <v>2.8042521994134892E-6</v>
      </c>
      <c r="U45" s="29">
        <v>1</v>
      </c>
      <c r="V45" s="1">
        <v>1.5646750276965706</v>
      </c>
      <c r="W45" s="139" t="s">
        <v>1188</v>
      </c>
      <c r="X45" s="171">
        <v>7.4780058651026373E-7</v>
      </c>
      <c r="Y45" s="29">
        <v>1</v>
      </c>
      <c r="Z45" s="1">
        <v>1.5646750276965706</v>
      </c>
      <c r="AA45" s="31" t="s">
        <v>1188</v>
      </c>
      <c r="AB45" s="171">
        <v>2.8042521994134892E-6</v>
      </c>
      <c r="AC45" s="29">
        <v>1</v>
      </c>
      <c r="AD45" s="1">
        <v>1.5646750276965706</v>
      </c>
      <c r="AE45" s="139" t="s">
        <v>1188</v>
      </c>
      <c r="AF45" s="171">
        <v>7.4780058651026373E-7</v>
      </c>
      <c r="AG45" s="29">
        <v>1</v>
      </c>
      <c r="AH45" s="1">
        <v>1.5646750276965706</v>
      </c>
      <c r="AI45" s="31" t="s">
        <v>1188</v>
      </c>
      <c r="AJ45" s="590"/>
      <c r="AK45" s="583">
        <v>2.8042521994134892E-6</v>
      </c>
      <c r="AL45" s="29">
        <v>1</v>
      </c>
      <c r="AM45" s="1">
        <v>1.5646750276965706</v>
      </c>
      <c r="AN45" s="139" t="s">
        <v>1188</v>
      </c>
      <c r="AO45" s="583">
        <v>7.4780058651026373E-7</v>
      </c>
      <c r="AP45" s="29">
        <v>1</v>
      </c>
      <c r="AQ45" s="1">
        <v>1.5646750276965706</v>
      </c>
      <c r="AR45" s="31" t="s">
        <v>1188</v>
      </c>
      <c r="AS45" s="241">
        <v>0</v>
      </c>
      <c r="AT45" s="29">
        <v>1</v>
      </c>
      <c r="AU45" s="1">
        <v>1.5646750276965706</v>
      </c>
      <c r="AV45" s="139" t="s">
        <v>1188</v>
      </c>
    </row>
    <row r="46" spans="1:48" s="176" customFormat="1" ht="24">
      <c r="A46" s="242"/>
      <c r="B46" s="168"/>
      <c r="C46" s="169"/>
      <c r="D46" s="50" t="s">
        <v>402</v>
      </c>
      <c r="E46" s="10" t="s">
        <v>527</v>
      </c>
      <c r="F46" s="144" t="s">
        <v>335</v>
      </c>
      <c r="G46" s="125" t="s">
        <v>402</v>
      </c>
      <c r="H46" s="164" t="s">
        <v>211</v>
      </c>
      <c r="I46" s="123" t="s">
        <v>212</v>
      </c>
      <c r="J46" s="124" t="s">
        <v>402</v>
      </c>
      <c r="K46" s="125" t="s">
        <v>395</v>
      </c>
      <c r="L46" s="171">
        <v>3.3789836876832846E-2</v>
      </c>
      <c r="M46" s="29">
        <v>1</v>
      </c>
      <c r="N46" s="1">
        <v>1.5646750276965706</v>
      </c>
      <c r="O46" s="139" t="s">
        <v>1188</v>
      </c>
      <c r="P46" s="171">
        <v>9.0106231671554255E-3</v>
      </c>
      <c r="Q46" s="29">
        <v>1</v>
      </c>
      <c r="R46" s="1">
        <v>1.5646750276965706</v>
      </c>
      <c r="S46" s="139" t="s">
        <v>1188</v>
      </c>
      <c r="T46" s="171">
        <v>3.3789836876832846E-2</v>
      </c>
      <c r="U46" s="29">
        <v>1</v>
      </c>
      <c r="V46" s="1">
        <v>1.5646750276965706</v>
      </c>
      <c r="W46" s="139" t="s">
        <v>1188</v>
      </c>
      <c r="X46" s="171">
        <v>9.0106231671554255E-3</v>
      </c>
      <c r="Y46" s="29">
        <v>1</v>
      </c>
      <c r="Z46" s="1">
        <v>1.5646750276965706</v>
      </c>
      <c r="AA46" s="31" t="s">
        <v>1188</v>
      </c>
      <c r="AB46" s="171">
        <v>3.3789836876832846E-2</v>
      </c>
      <c r="AC46" s="29">
        <v>1</v>
      </c>
      <c r="AD46" s="1">
        <v>1.5646750276965706</v>
      </c>
      <c r="AE46" s="139" t="s">
        <v>1188</v>
      </c>
      <c r="AF46" s="171">
        <v>9.0106231671554255E-3</v>
      </c>
      <c r="AG46" s="29">
        <v>1</v>
      </c>
      <c r="AH46" s="1">
        <v>1.5646750276965706</v>
      </c>
      <c r="AI46" s="31" t="s">
        <v>1188</v>
      </c>
      <c r="AJ46" s="590"/>
      <c r="AK46" s="583">
        <v>3.3789836876832846E-2</v>
      </c>
      <c r="AL46" s="29">
        <v>1</v>
      </c>
      <c r="AM46" s="1">
        <v>1.5646750276965706</v>
      </c>
      <c r="AN46" s="139" t="s">
        <v>1188</v>
      </c>
      <c r="AO46" s="583">
        <v>9.0106231671554255E-3</v>
      </c>
      <c r="AP46" s="29">
        <v>1</v>
      </c>
      <c r="AQ46" s="1">
        <v>1.5646750276965706</v>
      </c>
      <c r="AR46" s="31" t="s">
        <v>1188</v>
      </c>
      <c r="AS46" s="241">
        <v>0</v>
      </c>
      <c r="AT46" s="29">
        <v>1</v>
      </c>
      <c r="AU46" s="1">
        <v>1.5646750276965706</v>
      </c>
      <c r="AV46" s="139" t="s">
        <v>1188</v>
      </c>
    </row>
    <row r="47" spans="1:48" s="176" customFormat="1" ht="24">
      <c r="A47" s="242"/>
      <c r="B47" s="168"/>
      <c r="C47" s="169"/>
      <c r="D47" s="50" t="s">
        <v>402</v>
      </c>
      <c r="E47" s="10" t="s">
        <v>527</v>
      </c>
      <c r="F47" s="144" t="s">
        <v>349</v>
      </c>
      <c r="G47" s="125" t="s">
        <v>402</v>
      </c>
      <c r="H47" s="164" t="s">
        <v>211</v>
      </c>
      <c r="I47" s="123" t="s">
        <v>212</v>
      </c>
      <c r="J47" s="124" t="s">
        <v>402</v>
      </c>
      <c r="K47" s="125" t="s">
        <v>395</v>
      </c>
      <c r="L47" s="171">
        <v>1.9629765395894428E-6</v>
      </c>
      <c r="M47" s="29">
        <v>1</v>
      </c>
      <c r="N47" s="1">
        <v>5.0560603833099531</v>
      </c>
      <c r="O47" s="139" t="s">
        <v>1188</v>
      </c>
      <c r="P47" s="171">
        <v>5.2346041055718474E-7</v>
      </c>
      <c r="Q47" s="29">
        <v>1</v>
      </c>
      <c r="R47" s="1">
        <v>5.0560603833099531</v>
      </c>
      <c r="S47" s="139" t="s">
        <v>1188</v>
      </c>
      <c r="T47" s="171">
        <v>1.9629765395894428E-6</v>
      </c>
      <c r="U47" s="29">
        <v>1</v>
      </c>
      <c r="V47" s="1">
        <v>5.0560603833099531</v>
      </c>
      <c r="W47" s="139" t="s">
        <v>1188</v>
      </c>
      <c r="X47" s="171">
        <v>5.2346041055718474E-7</v>
      </c>
      <c r="Y47" s="29">
        <v>1</v>
      </c>
      <c r="Z47" s="1">
        <v>5.0560603833099531</v>
      </c>
      <c r="AA47" s="31" t="s">
        <v>1188</v>
      </c>
      <c r="AB47" s="171">
        <v>1.9629765395894428E-6</v>
      </c>
      <c r="AC47" s="29">
        <v>1</v>
      </c>
      <c r="AD47" s="1">
        <v>5.0560603833099531</v>
      </c>
      <c r="AE47" s="139" t="s">
        <v>1188</v>
      </c>
      <c r="AF47" s="171">
        <v>5.2346041055718474E-7</v>
      </c>
      <c r="AG47" s="29">
        <v>1</v>
      </c>
      <c r="AH47" s="1">
        <v>5.0560603833099531</v>
      </c>
      <c r="AI47" s="31" t="s">
        <v>1188</v>
      </c>
      <c r="AJ47" s="590"/>
      <c r="AK47" s="583">
        <v>1.9629765395894428E-6</v>
      </c>
      <c r="AL47" s="29">
        <v>1</v>
      </c>
      <c r="AM47" s="1">
        <v>5.0560603833099531</v>
      </c>
      <c r="AN47" s="139" t="s">
        <v>1188</v>
      </c>
      <c r="AO47" s="583">
        <v>5.2346041055718474E-7</v>
      </c>
      <c r="AP47" s="29">
        <v>1</v>
      </c>
      <c r="AQ47" s="1">
        <v>5.0560603833099531</v>
      </c>
      <c r="AR47" s="31" t="s">
        <v>1188</v>
      </c>
      <c r="AS47" s="241">
        <v>0</v>
      </c>
      <c r="AT47" s="29">
        <v>1</v>
      </c>
      <c r="AU47" s="1">
        <v>5.0560603833099531</v>
      </c>
      <c r="AV47" s="139" t="s">
        <v>1188</v>
      </c>
    </row>
    <row r="48" spans="1:48" s="176" customFormat="1" ht="24">
      <c r="A48" s="242"/>
      <c r="B48" s="168"/>
      <c r="C48" s="169"/>
      <c r="D48" s="50" t="s">
        <v>402</v>
      </c>
      <c r="E48" s="10" t="s">
        <v>527</v>
      </c>
      <c r="F48" s="144" t="s">
        <v>350</v>
      </c>
      <c r="G48" s="125" t="s">
        <v>402</v>
      </c>
      <c r="H48" s="164" t="s">
        <v>211</v>
      </c>
      <c r="I48" s="123" t="s">
        <v>212</v>
      </c>
      <c r="J48" s="124" t="s">
        <v>402</v>
      </c>
      <c r="K48" s="125" t="s">
        <v>395</v>
      </c>
      <c r="L48" s="171">
        <v>5.6085043988269784E-6</v>
      </c>
      <c r="M48" s="29">
        <v>1</v>
      </c>
      <c r="N48" s="1">
        <v>5.0560603833099531</v>
      </c>
      <c r="O48" s="139" t="s">
        <v>1188</v>
      </c>
      <c r="P48" s="171">
        <v>1.4956011730205275E-6</v>
      </c>
      <c r="Q48" s="29">
        <v>1</v>
      </c>
      <c r="R48" s="1">
        <v>5.0560603833099531</v>
      </c>
      <c r="S48" s="139" t="s">
        <v>1188</v>
      </c>
      <c r="T48" s="171">
        <v>5.6085043988269784E-6</v>
      </c>
      <c r="U48" s="29">
        <v>1</v>
      </c>
      <c r="V48" s="1">
        <v>5.0560603833099531</v>
      </c>
      <c r="W48" s="139" t="s">
        <v>1188</v>
      </c>
      <c r="X48" s="171">
        <v>1.4956011730205275E-6</v>
      </c>
      <c r="Y48" s="29">
        <v>1</v>
      </c>
      <c r="Z48" s="1">
        <v>5.0560603833099531</v>
      </c>
      <c r="AA48" s="31" t="s">
        <v>1188</v>
      </c>
      <c r="AB48" s="171">
        <v>5.6085043988269784E-6</v>
      </c>
      <c r="AC48" s="29">
        <v>1</v>
      </c>
      <c r="AD48" s="1">
        <v>5.0560603833099531</v>
      </c>
      <c r="AE48" s="139" t="s">
        <v>1188</v>
      </c>
      <c r="AF48" s="171">
        <v>1.4956011730205275E-6</v>
      </c>
      <c r="AG48" s="29">
        <v>1</v>
      </c>
      <c r="AH48" s="1">
        <v>5.0560603833099531</v>
      </c>
      <c r="AI48" s="31" t="s">
        <v>1188</v>
      </c>
      <c r="AJ48" s="590"/>
      <c r="AK48" s="583">
        <v>5.6085043988269784E-6</v>
      </c>
      <c r="AL48" s="29">
        <v>1</v>
      </c>
      <c r="AM48" s="1">
        <v>5.0560603833099531</v>
      </c>
      <c r="AN48" s="139" t="s">
        <v>1188</v>
      </c>
      <c r="AO48" s="583">
        <v>1.4956011730205275E-6</v>
      </c>
      <c r="AP48" s="29">
        <v>1</v>
      </c>
      <c r="AQ48" s="1">
        <v>5.0560603833099531</v>
      </c>
      <c r="AR48" s="31" t="s">
        <v>1188</v>
      </c>
      <c r="AS48" s="241">
        <v>0</v>
      </c>
      <c r="AT48" s="29">
        <v>1</v>
      </c>
      <c r="AU48" s="1">
        <v>5.0560603833099531</v>
      </c>
      <c r="AV48" s="139" t="s">
        <v>1188</v>
      </c>
    </row>
    <row r="49" spans="1:48" s="176" customFormat="1" ht="24">
      <c r="A49" s="229">
        <v>2128</v>
      </c>
      <c r="B49" s="231" t="s">
        <v>525</v>
      </c>
      <c r="C49" s="232" t="s">
        <v>525</v>
      </c>
      <c r="D49" s="233" t="s">
        <v>402</v>
      </c>
      <c r="E49" s="234" t="s">
        <v>527</v>
      </c>
      <c r="F49" s="235" t="s">
        <v>684</v>
      </c>
      <c r="G49" s="236" t="s">
        <v>402</v>
      </c>
      <c r="H49" s="237" t="s">
        <v>211</v>
      </c>
      <c r="I49" s="237" t="s">
        <v>212</v>
      </c>
      <c r="J49" s="234" t="s">
        <v>402</v>
      </c>
      <c r="K49" s="236" t="s">
        <v>395</v>
      </c>
      <c r="L49" s="171">
        <v>9.0997983870967733E-4</v>
      </c>
      <c r="M49" s="29">
        <v>1</v>
      </c>
      <c r="N49" s="1">
        <v>5.0560603833099531</v>
      </c>
      <c r="O49" s="139" t="s">
        <v>1188</v>
      </c>
      <c r="P49" s="171">
        <v>2.4266129032258062E-4</v>
      </c>
      <c r="Q49" s="29">
        <v>1</v>
      </c>
      <c r="R49" s="1">
        <v>5.0560603833099531</v>
      </c>
      <c r="S49" s="139" t="s">
        <v>1188</v>
      </c>
      <c r="T49" s="171">
        <v>9.0997983870967733E-4</v>
      </c>
      <c r="U49" s="29">
        <v>1</v>
      </c>
      <c r="V49" s="1">
        <v>5.0560603833099531</v>
      </c>
      <c r="W49" s="139" t="s">
        <v>1188</v>
      </c>
      <c r="X49" s="171">
        <v>2.4266129032258062E-4</v>
      </c>
      <c r="Y49" s="29">
        <v>1</v>
      </c>
      <c r="Z49" s="1">
        <v>5.0560603833099531</v>
      </c>
      <c r="AA49" s="31" t="s">
        <v>1188</v>
      </c>
      <c r="AB49" s="171">
        <v>9.0997983870967733E-4</v>
      </c>
      <c r="AC49" s="29">
        <v>1</v>
      </c>
      <c r="AD49" s="1">
        <v>5.0560603833099531</v>
      </c>
      <c r="AE49" s="139" t="s">
        <v>1188</v>
      </c>
      <c r="AF49" s="171">
        <v>2.4266129032258062E-4</v>
      </c>
      <c r="AG49" s="29">
        <v>1</v>
      </c>
      <c r="AH49" s="1">
        <v>5.0560603833099531</v>
      </c>
      <c r="AI49" s="31" t="s">
        <v>1188</v>
      </c>
      <c r="AJ49" s="590"/>
      <c r="AK49" s="583">
        <v>9.0997983870967733E-4</v>
      </c>
      <c r="AL49" s="29">
        <v>1</v>
      </c>
      <c r="AM49" s="1">
        <v>5.0560603833099531</v>
      </c>
      <c r="AN49" s="139" t="s">
        <v>1188</v>
      </c>
      <c r="AO49" s="583">
        <v>2.4266129032258062E-4</v>
      </c>
      <c r="AP49" s="29">
        <v>1</v>
      </c>
      <c r="AQ49" s="1">
        <v>5.0560603833099531</v>
      </c>
      <c r="AR49" s="31" t="s">
        <v>1188</v>
      </c>
      <c r="AS49" s="241">
        <v>0</v>
      </c>
      <c r="AT49" s="29">
        <v>1</v>
      </c>
      <c r="AU49" s="1">
        <v>5.0560603833099531</v>
      </c>
      <c r="AV49" s="139" t="s">
        <v>1188</v>
      </c>
    </row>
    <row r="50" spans="1:48" s="176" customFormat="1" ht="24">
      <c r="A50" s="242"/>
      <c r="B50" s="168"/>
      <c r="C50" s="169"/>
      <c r="D50" s="50" t="s">
        <v>402</v>
      </c>
      <c r="E50" s="10" t="s">
        <v>527</v>
      </c>
      <c r="F50" s="144" t="s">
        <v>214</v>
      </c>
      <c r="G50" s="125" t="s">
        <v>402</v>
      </c>
      <c r="H50" s="164" t="s">
        <v>211</v>
      </c>
      <c r="I50" s="123" t="s">
        <v>212</v>
      </c>
      <c r="J50" s="124" t="s">
        <v>402</v>
      </c>
      <c r="K50" s="125" t="s">
        <v>395</v>
      </c>
      <c r="L50" s="171">
        <v>9.0997983870967733E-4</v>
      </c>
      <c r="M50" s="29">
        <v>1</v>
      </c>
      <c r="N50" s="1">
        <v>1.5646750276965706</v>
      </c>
      <c r="O50" s="139" t="s">
        <v>1188</v>
      </c>
      <c r="P50" s="171">
        <v>2.4266129032258062E-4</v>
      </c>
      <c r="Q50" s="29">
        <v>1</v>
      </c>
      <c r="R50" s="1">
        <v>1.5646750276965706</v>
      </c>
      <c r="S50" s="139" t="s">
        <v>1188</v>
      </c>
      <c r="T50" s="171">
        <v>9.0997983870967733E-4</v>
      </c>
      <c r="U50" s="29">
        <v>1</v>
      </c>
      <c r="V50" s="1">
        <v>1.5646750276965706</v>
      </c>
      <c r="W50" s="139" t="s">
        <v>1188</v>
      </c>
      <c r="X50" s="171">
        <v>2.4266129032258062E-4</v>
      </c>
      <c r="Y50" s="29">
        <v>1</v>
      </c>
      <c r="Z50" s="1">
        <v>1.5646750276965706</v>
      </c>
      <c r="AA50" s="31" t="s">
        <v>1188</v>
      </c>
      <c r="AB50" s="171">
        <v>9.0997983870967733E-4</v>
      </c>
      <c r="AC50" s="29">
        <v>1</v>
      </c>
      <c r="AD50" s="1">
        <v>1.5646750276965706</v>
      </c>
      <c r="AE50" s="139" t="s">
        <v>1188</v>
      </c>
      <c r="AF50" s="171">
        <v>2.4266129032258062E-4</v>
      </c>
      <c r="AG50" s="29">
        <v>1</v>
      </c>
      <c r="AH50" s="1">
        <v>1.5646750276965706</v>
      </c>
      <c r="AI50" s="31" t="s">
        <v>1188</v>
      </c>
      <c r="AJ50" s="590"/>
      <c r="AK50" s="583">
        <v>9.0997983870967733E-4</v>
      </c>
      <c r="AL50" s="29">
        <v>1</v>
      </c>
      <c r="AM50" s="1">
        <v>1.5646750276965706</v>
      </c>
      <c r="AN50" s="139" t="s">
        <v>1188</v>
      </c>
      <c r="AO50" s="583">
        <v>2.4266129032258062E-4</v>
      </c>
      <c r="AP50" s="29">
        <v>1</v>
      </c>
      <c r="AQ50" s="1">
        <v>1.5646750276965706</v>
      </c>
      <c r="AR50" s="31" t="s">
        <v>1188</v>
      </c>
      <c r="AS50" s="241">
        <v>0</v>
      </c>
      <c r="AT50" s="29">
        <v>1</v>
      </c>
      <c r="AU50" s="1">
        <v>1.5646750276965706</v>
      </c>
      <c r="AV50" s="139" t="s">
        <v>1188</v>
      </c>
    </row>
    <row r="51" spans="1:48" s="176" customFormat="1">
      <c r="A51" s="143"/>
      <c r="B51" s="243"/>
      <c r="C51" s="244"/>
      <c r="D51" s="245"/>
      <c r="E51" s="245"/>
      <c r="F51" s="245"/>
      <c r="G51" s="245"/>
      <c r="H51" s="245"/>
      <c r="I51" s="245"/>
      <c r="J51" s="245"/>
      <c r="K51" s="246"/>
      <c r="M51" s="247"/>
      <c r="N51" s="247"/>
      <c r="O51" s="247"/>
      <c r="Q51" s="247"/>
      <c r="R51" s="247"/>
      <c r="S51" s="247"/>
      <c r="U51" s="247"/>
      <c r="V51" s="247"/>
      <c r="W51" s="247"/>
      <c r="Y51" s="247"/>
      <c r="Z51" s="247"/>
      <c r="AA51" s="668"/>
      <c r="AC51" s="247"/>
      <c r="AD51" s="247"/>
      <c r="AE51" s="247"/>
      <c r="AG51" s="247"/>
      <c r="AH51" s="247"/>
      <c r="AI51" s="668"/>
      <c r="AJ51" s="602"/>
      <c r="AK51" s="247"/>
      <c r="AL51" s="247"/>
      <c r="AM51" s="247"/>
      <c r="AN51" s="247"/>
      <c r="AO51" s="247"/>
      <c r="AP51" s="247"/>
      <c r="AQ51" s="247"/>
      <c r="AR51" s="668"/>
      <c r="AS51" s="247"/>
      <c r="AT51" s="247"/>
      <c r="AU51" s="247"/>
      <c r="AV51" s="247"/>
    </row>
    <row r="52" spans="1:48">
      <c r="B52" s="168" t="s">
        <v>351</v>
      </c>
      <c r="C52" s="169" t="s">
        <v>525</v>
      </c>
      <c r="D52" s="50" t="s">
        <v>402</v>
      </c>
      <c r="E52" s="10" t="s">
        <v>527</v>
      </c>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row>
    <row r="53" spans="1:48">
      <c r="B53" s="168" t="s">
        <v>352</v>
      </c>
      <c r="C53" s="169"/>
      <c r="D53" s="50"/>
      <c r="E53" s="10"/>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row>
  </sheetData>
  <phoneticPr fontId="0" type="noConversion"/>
  <dataValidations count="1">
    <dataValidation allowBlank="1" showInputMessage="1" showErrorMessage="1" prompt="always 1" sqref="L7:L15 P7:P15 T7:T15 X7:X15 AB7:AB15 AF7:AF15"/>
  </dataValidations>
  <pageMargins left="0.78740157499999996" right="0.78740157499999996" top="0.984251969" bottom="0.984251969" header="0.4921259845" footer="0.4921259845"/>
  <pageSetup paperSize="9" scale="52" orientation="landscape" r:id="rId1"/>
  <headerFooter alignWithMargins="0"/>
  <legacy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29"/>
  <sheetViews>
    <sheetView zoomScale="75" workbookViewId="0">
      <pane xSplit="3" ySplit="6" topLeftCell="D7" activePane="bottomRight" state="frozen"/>
      <selection activeCell="C40" sqref="C40"/>
      <selection pane="topRight" activeCell="C40" sqref="C40"/>
      <selection pane="bottomLeft" activeCell="C40" sqref="C40"/>
      <selection pane="bottomRight" activeCell="C40" sqref="C40"/>
    </sheetView>
  </sheetViews>
  <sheetFormatPr defaultColWidth="11.42578125" defaultRowHeight="12" outlineLevelCol="1"/>
  <cols>
    <col min="1" max="1" width="8.140625" style="780" customWidth="1"/>
    <col min="2" max="2" width="16" style="784" customWidth="1"/>
    <col min="3" max="3" width="3.7109375" style="783" hidden="1" customWidth="1" outlineLevel="1"/>
    <col min="4" max="4" width="4.140625" style="780" hidden="1" customWidth="1" outlineLevel="1"/>
    <col min="5" max="5" width="4" style="780" hidden="1" customWidth="1" outlineLevel="1"/>
    <col min="6" max="6" width="48.140625" style="780" customWidth="1" collapsed="1"/>
    <col min="7" max="7" width="6" style="780" customWidth="1"/>
    <col min="8" max="8" width="8.28515625" style="780" hidden="1" customWidth="1" outlineLevel="1"/>
    <col min="9" max="9" width="19.5703125" style="780" hidden="1" customWidth="1" outlineLevel="1"/>
    <col min="10" max="10" width="2.7109375" style="780" customWidth="1" collapsed="1"/>
    <col min="11" max="11" width="5.140625" style="780" customWidth="1"/>
    <col min="12" max="12" width="14" style="780" customWidth="1"/>
    <col min="13" max="13" width="3.5703125" style="318" hidden="1" customWidth="1" outlineLevel="1"/>
    <col min="14" max="14" width="6.5703125" style="318" hidden="1" customWidth="1" outlineLevel="1"/>
    <col min="15" max="15" width="36.85546875" style="318" hidden="1" customWidth="1" outlineLevel="1"/>
    <col min="16" max="16" width="14" style="780" customWidth="1" collapsed="1"/>
    <col min="17" max="17" width="3.5703125" style="318" customWidth="1" outlineLevel="1"/>
    <col min="18" max="18" width="6.5703125" style="318" customWidth="1" outlineLevel="1"/>
    <col min="19" max="19" width="50.28515625" style="318" customWidth="1" outlineLevel="1"/>
    <col min="20" max="20" width="14.140625" style="782" customWidth="1"/>
    <col min="21" max="21" width="28.85546875" style="782" customWidth="1"/>
    <col min="22" max="22" width="6.85546875" style="782" customWidth="1"/>
    <col min="23" max="23" width="12.5703125" style="782" customWidth="1"/>
    <col min="24" max="27" width="16.85546875" style="782" customWidth="1"/>
    <col min="28" max="28" width="20" style="782" bestFit="1" customWidth="1"/>
    <col min="29" max="16384" width="11.42578125" style="780"/>
  </cols>
  <sheetData>
    <row r="1" spans="1:28">
      <c r="A1" s="831"/>
      <c r="B1" s="848"/>
      <c r="C1" s="829"/>
      <c r="D1" s="831"/>
      <c r="E1" s="831"/>
      <c r="F1" s="847" t="s">
        <v>510</v>
      </c>
      <c r="G1" s="831"/>
      <c r="H1" s="831"/>
      <c r="I1" s="831"/>
      <c r="J1" s="831"/>
      <c r="K1" s="831"/>
      <c r="L1" s="846" t="s">
        <v>1776</v>
      </c>
      <c r="M1" s="184"/>
      <c r="N1" s="184"/>
      <c r="O1" s="184"/>
      <c r="P1" s="846" t="s">
        <v>1774</v>
      </c>
      <c r="Q1" s="184"/>
      <c r="R1" s="184"/>
      <c r="S1" s="184"/>
      <c r="T1" s="785"/>
      <c r="U1" s="785"/>
      <c r="V1" s="785"/>
      <c r="W1" s="785"/>
      <c r="X1" s="785"/>
      <c r="Y1" s="785"/>
      <c r="Z1" s="785"/>
      <c r="AA1" s="785"/>
      <c r="AB1" s="785"/>
    </row>
    <row r="2" spans="1:28">
      <c r="A2" s="831"/>
      <c r="B2" s="844"/>
      <c r="C2" s="829" t="s">
        <v>511</v>
      </c>
      <c r="D2" s="844">
        <v>3503</v>
      </c>
      <c r="E2" s="844">
        <v>3504</v>
      </c>
      <c r="F2" s="844">
        <v>3702</v>
      </c>
      <c r="G2" s="844">
        <v>3703</v>
      </c>
      <c r="H2" s="844">
        <v>3506</v>
      </c>
      <c r="I2" s="844">
        <v>3507</v>
      </c>
      <c r="J2" s="844">
        <v>3508</v>
      </c>
      <c r="K2" s="844">
        <v>3706</v>
      </c>
      <c r="L2" s="844">
        <v>3707</v>
      </c>
      <c r="M2" s="843">
        <v>3708</v>
      </c>
      <c r="N2" s="843">
        <v>3709</v>
      </c>
      <c r="O2" s="845">
        <v>3792</v>
      </c>
      <c r="P2" s="844">
        <v>3707</v>
      </c>
      <c r="Q2" s="843">
        <v>3708</v>
      </c>
      <c r="R2" s="843">
        <v>3709</v>
      </c>
      <c r="S2" s="842">
        <v>3792</v>
      </c>
      <c r="T2" s="836"/>
      <c r="V2" s="785"/>
      <c r="W2" s="785"/>
      <c r="X2" s="785"/>
      <c r="Y2" s="785"/>
      <c r="Z2" s="785"/>
      <c r="AA2" s="785"/>
      <c r="AB2" s="836"/>
    </row>
    <row r="3" spans="1:28" ht="108">
      <c r="A3" s="831" t="s">
        <v>398</v>
      </c>
      <c r="B3" s="830"/>
      <c r="C3" s="829">
        <v>401</v>
      </c>
      <c r="D3" s="841" t="s">
        <v>514</v>
      </c>
      <c r="E3" s="841" t="s">
        <v>515</v>
      </c>
      <c r="F3" s="827" t="s">
        <v>516</v>
      </c>
      <c r="G3" s="840" t="s">
        <v>517</v>
      </c>
      <c r="H3" s="840" t="s">
        <v>518</v>
      </c>
      <c r="I3" s="840" t="s">
        <v>519</v>
      </c>
      <c r="J3" s="840" t="s">
        <v>520</v>
      </c>
      <c r="K3" s="840" t="s">
        <v>394</v>
      </c>
      <c r="L3" s="826" t="s">
        <v>1775</v>
      </c>
      <c r="M3" s="838" t="s">
        <v>265</v>
      </c>
      <c r="N3" s="838" t="s">
        <v>266</v>
      </c>
      <c r="O3" s="839" t="s">
        <v>548</v>
      </c>
      <c r="P3" s="826" t="s">
        <v>1773</v>
      </c>
      <c r="Q3" s="838" t="s">
        <v>265</v>
      </c>
      <c r="R3" s="838" t="s">
        <v>266</v>
      </c>
      <c r="S3" s="837" t="s">
        <v>548</v>
      </c>
      <c r="T3" s="823" t="s">
        <v>1728</v>
      </c>
      <c r="U3" s="836" t="s">
        <v>264</v>
      </c>
      <c r="V3" s="794" t="s">
        <v>1732</v>
      </c>
      <c r="W3" s="1049" t="s">
        <v>1778</v>
      </c>
      <c r="X3" s="1049"/>
      <c r="Y3" s="834" t="s">
        <v>1777</v>
      </c>
      <c r="Z3" s="834" t="s">
        <v>1730</v>
      </c>
      <c r="AA3" s="834" t="s">
        <v>1733</v>
      </c>
      <c r="AB3" s="836" t="s">
        <v>1728</v>
      </c>
    </row>
    <row r="4" spans="1:28" ht="12.75" customHeight="1">
      <c r="A4" s="831"/>
      <c r="B4" s="830"/>
      <c r="C4" s="829">
        <v>662</v>
      </c>
      <c r="D4" s="828"/>
      <c r="E4" s="828"/>
      <c r="F4" s="827" t="s">
        <v>517</v>
      </c>
      <c r="G4" s="827"/>
      <c r="H4" s="827"/>
      <c r="I4" s="827"/>
      <c r="J4" s="827"/>
      <c r="K4" s="827"/>
      <c r="L4" s="826" t="s">
        <v>1105</v>
      </c>
      <c r="M4" s="825"/>
      <c r="N4" s="825"/>
      <c r="O4" s="824"/>
      <c r="P4" s="826" t="s">
        <v>1105</v>
      </c>
      <c r="Q4" s="825"/>
      <c r="R4" s="825"/>
      <c r="S4" s="824"/>
      <c r="T4" s="823" t="s">
        <v>393</v>
      </c>
      <c r="U4" s="835"/>
      <c r="V4" s="785"/>
      <c r="W4" s="834" t="s">
        <v>1727</v>
      </c>
      <c r="X4" s="833" t="s">
        <v>1726</v>
      </c>
      <c r="Y4" s="833"/>
      <c r="Z4" s="833"/>
      <c r="AA4" s="833"/>
      <c r="AB4" s="835"/>
    </row>
    <row r="5" spans="1:28">
      <c r="A5" s="831"/>
      <c r="B5" s="830"/>
      <c r="C5" s="829">
        <v>493</v>
      </c>
      <c r="D5" s="828"/>
      <c r="E5" s="828"/>
      <c r="F5" s="827" t="s">
        <v>520</v>
      </c>
      <c r="G5" s="827"/>
      <c r="H5" s="827"/>
      <c r="I5" s="827"/>
      <c r="J5" s="827"/>
      <c r="K5" s="827"/>
      <c r="L5" s="826">
        <v>0</v>
      </c>
      <c r="M5" s="825"/>
      <c r="N5" s="825"/>
      <c r="O5" s="824"/>
      <c r="P5" s="826">
        <v>0</v>
      </c>
      <c r="Q5" s="825"/>
      <c r="R5" s="825"/>
      <c r="S5" s="824"/>
      <c r="T5" s="823">
        <v>2009</v>
      </c>
      <c r="U5" s="785"/>
      <c r="V5" s="785"/>
      <c r="W5" s="785"/>
      <c r="X5" s="785"/>
      <c r="Y5" s="785"/>
      <c r="Z5" s="785"/>
      <c r="AA5" s="785"/>
      <c r="AB5" s="785"/>
    </row>
    <row r="6" spans="1:28" ht="12.75" customHeight="1">
      <c r="A6" s="831"/>
      <c r="B6" s="830"/>
      <c r="C6" s="829">
        <v>403</v>
      </c>
      <c r="D6" s="828"/>
      <c r="E6" s="828"/>
      <c r="F6" s="827" t="s">
        <v>394</v>
      </c>
      <c r="G6" s="827"/>
      <c r="H6" s="827"/>
      <c r="I6" s="827"/>
      <c r="J6" s="827"/>
      <c r="K6" s="827"/>
      <c r="L6" s="826" t="s">
        <v>395</v>
      </c>
      <c r="M6" s="825"/>
      <c r="N6" s="825"/>
      <c r="O6" s="824"/>
      <c r="P6" s="826" t="s">
        <v>395</v>
      </c>
      <c r="Q6" s="825"/>
      <c r="R6" s="825"/>
      <c r="S6" s="824"/>
      <c r="T6" s="823" t="s">
        <v>395</v>
      </c>
      <c r="U6" s="785"/>
      <c r="V6" s="785"/>
      <c r="W6" s="785"/>
      <c r="X6" s="785"/>
      <c r="Y6" s="785"/>
      <c r="Z6" s="785"/>
      <c r="AA6" s="785"/>
      <c r="AB6" s="785"/>
    </row>
    <row r="7" spans="1:28" ht="24">
      <c r="A7" s="808" t="s">
        <v>1776</v>
      </c>
      <c r="B7" s="807" t="s">
        <v>523</v>
      </c>
      <c r="C7" s="806"/>
      <c r="D7" s="821" t="s">
        <v>402</v>
      </c>
      <c r="E7" s="820">
        <v>0</v>
      </c>
      <c r="F7" s="819" t="s">
        <v>1775</v>
      </c>
      <c r="G7" s="816" t="s">
        <v>1105</v>
      </c>
      <c r="H7" s="818" t="s">
        <v>402</v>
      </c>
      <c r="I7" s="818" t="s">
        <v>402</v>
      </c>
      <c r="J7" s="817">
        <v>0</v>
      </c>
      <c r="K7" s="816" t="s">
        <v>395</v>
      </c>
      <c r="L7" s="815">
        <v>1</v>
      </c>
      <c r="M7" s="814"/>
      <c r="N7" s="813"/>
      <c r="O7" s="800"/>
      <c r="P7" s="815">
        <v>0</v>
      </c>
      <c r="Q7" s="814"/>
      <c r="R7" s="813"/>
      <c r="S7" s="800"/>
      <c r="T7" s="812"/>
      <c r="U7" s="811"/>
      <c r="V7" s="785"/>
      <c r="W7" s="785"/>
      <c r="X7" s="785"/>
      <c r="Y7" s="785"/>
      <c r="Z7" s="785"/>
      <c r="AA7" s="785"/>
      <c r="AB7" s="811"/>
    </row>
    <row r="8" spans="1:28" ht="24">
      <c r="A8" s="808" t="s">
        <v>1774</v>
      </c>
      <c r="B8" s="807"/>
      <c r="C8" s="806"/>
      <c r="D8" s="821" t="s">
        <v>402</v>
      </c>
      <c r="E8" s="820">
        <v>0</v>
      </c>
      <c r="F8" s="819" t="s">
        <v>1773</v>
      </c>
      <c r="G8" s="816" t="s">
        <v>1105</v>
      </c>
      <c r="H8" s="818" t="s">
        <v>402</v>
      </c>
      <c r="I8" s="818" t="s">
        <v>402</v>
      </c>
      <c r="J8" s="817">
        <v>0</v>
      </c>
      <c r="K8" s="816" t="s">
        <v>395</v>
      </c>
      <c r="L8" s="815">
        <v>0</v>
      </c>
      <c r="M8" s="814"/>
      <c r="N8" s="813"/>
      <c r="O8" s="800"/>
      <c r="P8" s="815">
        <v>1</v>
      </c>
      <c r="Q8" s="814"/>
      <c r="R8" s="813"/>
      <c r="S8" s="800"/>
      <c r="T8" s="812"/>
      <c r="U8" s="811"/>
      <c r="V8" s="785"/>
      <c r="W8" s="785"/>
      <c r="X8" s="785"/>
      <c r="Y8" s="785"/>
      <c r="Z8" s="785"/>
      <c r="AA8" s="785"/>
      <c r="AB8" s="811"/>
    </row>
    <row r="9" spans="1:28" ht="21.75" customHeight="1">
      <c r="A9" s="808" t="s">
        <v>1725</v>
      </c>
      <c r="B9" s="807" t="s">
        <v>524</v>
      </c>
      <c r="C9" s="806" t="s">
        <v>525</v>
      </c>
      <c r="D9" s="809">
        <v>5</v>
      </c>
      <c r="E9" s="804" t="s">
        <v>402</v>
      </c>
      <c r="F9" s="509" t="s">
        <v>1724</v>
      </c>
      <c r="G9" s="801" t="s">
        <v>1105</v>
      </c>
      <c r="H9" s="803" t="s">
        <v>402</v>
      </c>
      <c r="I9" s="803" t="s">
        <v>402</v>
      </c>
      <c r="J9" s="802">
        <v>0</v>
      </c>
      <c r="K9" s="801" t="s">
        <v>395</v>
      </c>
      <c r="L9" s="799">
        <v>1.1200000000000001</v>
      </c>
      <c r="M9" s="798">
        <v>1</v>
      </c>
      <c r="N9" s="797">
        <v>1.3000688016831126</v>
      </c>
      <c r="O9" s="800" t="s">
        <v>1772</v>
      </c>
      <c r="P9" s="799">
        <v>0</v>
      </c>
      <c r="Q9" s="798">
        <v>1</v>
      </c>
      <c r="R9" s="797">
        <v>1.3000688016831126</v>
      </c>
      <c r="S9" s="517" t="s">
        <v>1772</v>
      </c>
      <c r="T9" s="796"/>
      <c r="U9" s="795" t="s">
        <v>1771</v>
      </c>
      <c r="V9" s="794" t="s">
        <v>395</v>
      </c>
      <c r="W9" s="794">
        <v>1.5</v>
      </c>
      <c r="X9" s="794"/>
      <c r="Y9" s="868">
        <v>1.3</v>
      </c>
      <c r="Z9" s="794"/>
      <c r="AA9" s="868">
        <v>1.1200000000000001</v>
      </c>
      <c r="AB9" s="795" t="s">
        <v>1733</v>
      </c>
    </row>
    <row r="10" spans="1:28" ht="21.75" customHeight="1">
      <c r="A10" s="808" t="s">
        <v>1723</v>
      </c>
      <c r="B10" s="807" t="s">
        <v>525</v>
      </c>
      <c r="C10" s="806" t="s">
        <v>525</v>
      </c>
      <c r="D10" s="809">
        <v>5</v>
      </c>
      <c r="E10" s="804" t="s">
        <v>402</v>
      </c>
      <c r="F10" s="509" t="s">
        <v>1722</v>
      </c>
      <c r="G10" s="801" t="s">
        <v>1105</v>
      </c>
      <c r="H10" s="803" t="s">
        <v>402</v>
      </c>
      <c r="I10" s="803" t="s">
        <v>402</v>
      </c>
      <c r="J10" s="802">
        <v>0</v>
      </c>
      <c r="K10" s="801" t="s">
        <v>395</v>
      </c>
      <c r="L10" s="799">
        <v>0</v>
      </c>
      <c r="M10" s="798">
        <v>1</v>
      </c>
      <c r="N10" s="797">
        <v>1.3000688016831126</v>
      </c>
      <c r="O10" s="800" t="s">
        <v>1772</v>
      </c>
      <c r="P10" s="799">
        <v>1.1200000000000001</v>
      </c>
      <c r="Q10" s="798">
        <v>1</v>
      </c>
      <c r="R10" s="797">
        <v>1.3000688016831126</v>
      </c>
      <c r="S10" s="517" t="s">
        <v>1772</v>
      </c>
      <c r="T10" s="796"/>
      <c r="U10" s="795" t="s">
        <v>1771</v>
      </c>
      <c r="V10" s="794" t="s">
        <v>395</v>
      </c>
      <c r="W10" s="794"/>
      <c r="X10" s="794">
        <v>1.26</v>
      </c>
      <c r="Y10" s="794"/>
      <c r="Z10" s="794"/>
      <c r="AB10" s="795" t="s">
        <v>1733</v>
      </c>
    </row>
    <row r="11" spans="1:28" ht="36">
      <c r="A11" s="808">
        <v>1217</v>
      </c>
      <c r="B11" s="807" t="s">
        <v>525</v>
      </c>
      <c r="C11" s="806"/>
      <c r="D11" s="809">
        <v>5</v>
      </c>
      <c r="E11" s="804" t="s">
        <v>402</v>
      </c>
      <c r="F11" s="509" t="s">
        <v>1109</v>
      </c>
      <c r="G11" s="801" t="s">
        <v>521</v>
      </c>
      <c r="H11" s="803" t="s">
        <v>402</v>
      </c>
      <c r="I11" s="803" t="s">
        <v>402</v>
      </c>
      <c r="J11" s="802">
        <v>0</v>
      </c>
      <c r="K11" s="801" t="s">
        <v>395</v>
      </c>
      <c r="L11" s="799">
        <v>5.3600000000000002E-2</v>
      </c>
      <c r="M11" s="798">
        <v>1</v>
      </c>
      <c r="N11" s="797">
        <v>1.3000688016831126</v>
      </c>
      <c r="O11" s="800" t="s">
        <v>1770</v>
      </c>
      <c r="P11" s="799">
        <v>4.4999999999999998E-2</v>
      </c>
      <c r="Q11" s="798">
        <v>1</v>
      </c>
      <c r="R11" s="797">
        <v>1.3000688016831126</v>
      </c>
      <c r="S11" s="517" t="s">
        <v>1770</v>
      </c>
      <c r="T11" s="796"/>
      <c r="U11" s="795" t="s">
        <v>1769</v>
      </c>
      <c r="V11" s="794" t="s">
        <v>395</v>
      </c>
      <c r="W11" s="794">
        <v>0.13100000000000001</v>
      </c>
      <c r="X11" s="794">
        <v>4.4999999999999998E-2</v>
      </c>
      <c r="Y11" s="794"/>
      <c r="Z11" s="794"/>
      <c r="AA11" s="794">
        <v>5.3600000000000002E-2</v>
      </c>
      <c r="AB11" s="795" t="s">
        <v>1753</v>
      </c>
    </row>
    <row r="12" spans="1:28" ht="24">
      <c r="A12" s="808">
        <v>1195</v>
      </c>
      <c r="B12" s="807" t="s">
        <v>525</v>
      </c>
      <c r="C12" s="806"/>
      <c r="D12" s="809">
        <v>5</v>
      </c>
      <c r="E12" s="804" t="s">
        <v>402</v>
      </c>
      <c r="F12" s="509" t="s">
        <v>1768</v>
      </c>
      <c r="G12" s="801" t="s">
        <v>521</v>
      </c>
      <c r="H12" s="803" t="s">
        <v>402</v>
      </c>
      <c r="I12" s="803" t="s">
        <v>402</v>
      </c>
      <c r="J12" s="802">
        <v>0</v>
      </c>
      <c r="K12" s="801" t="s">
        <v>395</v>
      </c>
      <c r="L12" s="799">
        <v>0.2</v>
      </c>
      <c r="M12" s="798">
        <v>1</v>
      </c>
      <c r="N12" s="797">
        <v>1.3000688016831126</v>
      </c>
      <c r="O12" s="800" t="s">
        <v>1767</v>
      </c>
      <c r="P12" s="799">
        <v>0.2</v>
      </c>
      <c r="Q12" s="798">
        <v>1</v>
      </c>
      <c r="R12" s="797">
        <v>1.3000688016831126</v>
      </c>
      <c r="S12" s="517" t="s">
        <v>1767</v>
      </c>
      <c r="T12" s="796"/>
      <c r="U12" s="795" t="s">
        <v>1766</v>
      </c>
      <c r="V12" s="794" t="s">
        <v>395</v>
      </c>
      <c r="W12" s="794">
        <v>2.2400000000000002</v>
      </c>
      <c r="X12" s="794">
        <v>1</v>
      </c>
      <c r="Y12" s="794"/>
      <c r="Z12" s="794"/>
      <c r="AA12" s="794">
        <v>0.2</v>
      </c>
      <c r="AB12" s="795" t="s">
        <v>1733</v>
      </c>
    </row>
    <row r="13" spans="1:28" ht="36">
      <c r="A13" s="808">
        <v>1280</v>
      </c>
      <c r="B13" s="807" t="s">
        <v>525</v>
      </c>
      <c r="C13" s="806"/>
      <c r="D13" s="809">
        <v>5</v>
      </c>
      <c r="E13" s="804" t="s">
        <v>402</v>
      </c>
      <c r="F13" s="509" t="s">
        <v>1173</v>
      </c>
      <c r="G13" s="801" t="s">
        <v>521</v>
      </c>
      <c r="H13" s="803" t="s">
        <v>402</v>
      </c>
      <c r="I13" s="803" t="s">
        <v>402</v>
      </c>
      <c r="J13" s="802">
        <v>0</v>
      </c>
      <c r="K13" s="801" t="s">
        <v>395</v>
      </c>
      <c r="L13" s="799">
        <v>0.87</v>
      </c>
      <c r="M13" s="798">
        <v>1</v>
      </c>
      <c r="N13" s="797">
        <v>1.3000688016831126</v>
      </c>
      <c r="O13" s="800" t="s">
        <v>1765</v>
      </c>
      <c r="P13" s="799">
        <v>0.87</v>
      </c>
      <c r="Q13" s="798">
        <v>1</v>
      </c>
      <c r="R13" s="797">
        <v>1.3000688016831126</v>
      </c>
      <c r="S13" s="517" t="s">
        <v>1765</v>
      </c>
      <c r="T13" s="796"/>
      <c r="U13" s="795" t="s">
        <v>1764</v>
      </c>
      <c r="V13" s="794" t="s">
        <v>395</v>
      </c>
      <c r="W13" s="794">
        <v>44</v>
      </c>
      <c r="X13" s="794">
        <v>59</v>
      </c>
      <c r="Y13" s="794"/>
      <c r="Z13" s="794"/>
      <c r="AA13" s="794">
        <v>0.87</v>
      </c>
      <c r="AB13" s="795" t="s">
        <v>1733</v>
      </c>
    </row>
    <row r="14" spans="1:28" s="849" customFormat="1" ht="24">
      <c r="A14" s="866">
        <v>3109</v>
      </c>
      <c r="B14" s="865" t="s">
        <v>525</v>
      </c>
      <c r="C14" s="864"/>
      <c r="D14" s="867">
        <v>5</v>
      </c>
      <c r="E14" s="862" t="s">
        <v>402</v>
      </c>
      <c r="F14" s="861" t="s">
        <v>1763</v>
      </c>
      <c r="G14" s="858" t="s">
        <v>393</v>
      </c>
      <c r="H14" s="860" t="s">
        <v>402</v>
      </c>
      <c r="I14" s="860" t="s">
        <v>402</v>
      </c>
      <c r="J14" s="859">
        <v>0</v>
      </c>
      <c r="K14" s="858" t="s">
        <v>395</v>
      </c>
      <c r="L14" s="856">
        <v>0.57999999999999996</v>
      </c>
      <c r="M14" s="855">
        <v>1</v>
      </c>
      <c r="N14" s="854">
        <v>1.3000688016831126</v>
      </c>
      <c r="O14" s="857" t="s">
        <v>1762</v>
      </c>
      <c r="P14" s="856">
        <v>0.57999999999999996</v>
      </c>
      <c r="Q14" s="855">
        <v>1</v>
      </c>
      <c r="R14" s="854">
        <v>1.3000688016831126</v>
      </c>
      <c r="S14" s="853" t="s">
        <v>1762</v>
      </c>
      <c r="T14" s="852"/>
      <c r="U14" s="850" t="s">
        <v>1761</v>
      </c>
      <c r="V14" s="851" t="s">
        <v>395</v>
      </c>
      <c r="W14" s="851"/>
      <c r="X14" s="851"/>
      <c r="Y14" s="851"/>
      <c r="Z14" s="851"/>
      <c r="AA14" s="851">
        <v>0.57999999999999996</v>
      </c>
      <c r="AB14" s="850" t="s">
        <v>1733</v>
      </c>
    </row>
    <row r="15" spans="1:28">
      <c r="A15" s="808" t="s">
        <v>1711</v>
      </c>
      <c r="B15" s="807" t="s">
        <v>707</v>
      </c>
      <c r="C15" s="806"/>
      <c r="D15" s="809">
        <v>4</v>
      </c>
      <c r="E15" s="804" t="s">
        <v>402</v>
      </c>
      <c r="F15" s="509" t="s">
        <v>1710</v>
      </c>
      <c r="G15" s="801" t="s">
        <v>402</v>
      </c>
      <c r="H15" s="803" t="s">
        <v>273</v>
      </c>
      <c r="I15" s="803" t="s">
        <v>1117</v>
      </c>
      <c r="J15" s="802" t="s">
        <v>402</v>
      </c>
      <c r="K15" s="801" t="s">
        <v>409</v>
      </c>
      <c r="L15" s="799">
        <v>0.45419999999999999</v>
      </c>
      <c r="M15" s="798">
        <v>1</v>
      </c>
      <c r="N15" s="797">
        <v>1.3000688016831126</v>
      </c>
      <c r="O15" s="800" t="s">
        <v>1760</v>
      </c>
      <c r="P15" s="799">
        <v>0.21580000000000002</v>
      </c>
      <c r="Q15" s="798">
        <v>1</v>
      </c>
      <c r="R15" s="797">
        <v>1.3000688016831126</v>
      </c>
      <c r="S15" s="517" t="s">
        <v>1760</v>
      </c>
      <c r="T15" s="796"/>
      <c r="U15" s="795" t="s">
        <v>1759</v>
      </c>
      <c r="V15" s="794" t="s">
        <v>395</v>
      </c>
      <c r="W15" s="794">
        <v>454.2</v>
      </c>
      <c r="X15" s="794">
        <v>215.8</v>
      </c>
      <c r="Y15" s="794"/>
      <c r="Z15" s="794"/>
      <c r="AA15" s="794"/>
      <c r="AB15" s="795" t="s">
        <v>1691</v>
      </c>
    </row>
    <row r="16" spans="1:28">
      <c r="A16" s="808" t="s">
        <v>1711</v>
      </c>
      <c r="B16" s="807" t="s">
        <v>525</v>
      </c>
      <c r="C16" s="806"/>
      <c r="D16" s="809">
        <v>4</v>
      </c>
      <c r="E16" s="804" t="s">
        <v>402</v>
      </c>
      <c r="F16" s="509" t="s">
        <v>1710</v>
      </c>
      <c r="G16" s="801" t="s">
        <v>402</v>
      </c>
      <c r="H16" s="803" t="s">
        <v>273</v>
      </c>
      <c r="I16" s="803" t="s">
        <v>1117</v>
      </c>
      <c r="J16" s="802" t="s">
        <v>402</v>
      </c>
      <c r="K16" s="801" t="s">
        <v>409</v>
      </c>
      <c r="L16" s="799">
        <v>1.7000000000000001E-2</v>
      </c>
      <c r="M16" s="798">
        <v>1</v>
      </c>
      <c r="N16" s="797">
        <v>1.3000688016831126</v>
      </c>
      <c r="O16" s="800" t="s">
        <v>1758</v>
      </c>
      <c r="P16" s="799">
        <v>3.8000000000000002E-4</v>
      </c>
      <c r="Q16" s="798">
        <v>1</v>
      </c>
      <c r="R16" s="797">
        <v>1.3000688016831126</v>
      </c>
      <c r="S16" s="517" t="s">
        <v>1758</v>
      </c>
      <c r="T16" s="796"/>
      <c r="U16" s="795" t="s">
        <v>1757</v>
      </c>
      <c r="V16" s="794" t="s">
        <v>395</v>
      </c>
      <c r="W16" s="794">
        <v>17</v>
      </c>
      <c r="X16" s="794">
        <v>0.38</v>
      </c>
      <c r="Y16" s="794"/>
      <c r="Z16" s="794"/>
      <c r="AA16" s="794"/>
      <c r="AB16" s="795" t="s">
        <v>1691</v>
      </c>
    </row>
    <row r="17" spans="1:28" ht="36">
      <c r="A17" s="808">
        <v>4299</v>
      </c>
      <c r="B17" s="807" t="s">
        <v>524</v>
      </c>
      <c r="C17" s="806"/>
      <c r="D17" s="809">
        <v>5</v>
      </c>
      <c r="E17" s="804" t="s">
        <v>402</v>
      </c>
      <c r="F17" s="509" t="s">
        <v>1756</v>
      </c>
      <c r="G17" s="801" t="s">
        <v>521</v>
      </c>
      <c r="H17" s="803" t="s">
        <v>402</v>
      </c>
      <c r="I17" s="803" t="s">
        <v>402</v>
      </c>
      <c r="J17" s="802">
        <v>0</v>
      </c>
      <c r="K17" s="801" t="s">
        <v>395</v>
      </c>
      <c r="L17" s="799">
        <v>68.148148148148138</v>
      </c>
      <c r="M17" s="798">
        <v>1</v>
      </c>
      <c r="N17" s="797">
        <v>1.3000688016831126</v>
      </c>
      <c r="O17" s="800" t="s">
        <v>1755</v>
      </c>
      <c r="P17" s="799">
        <v>55</v>
      </c>
      <c r="Q17" s="798">
        <v>1</v>
      </c>
      <c r="R17" s="797">
        <v>1.3000688016831126</v>
      </c>
      <c r="S17" s="517" t="s">
        <v>1755</v>
      </c>
      <c r="T17" s="796"/>
      <c r="U17" s="795" t="s">
        <v>1754</v>
      </c>
      <c r="V17" s="794" t="s">
        <v>395</v>
      </c>
      <c r="W17" s="794">
        <v>150</v>
      </c>
      <c r="X17" s="794">
        <v>55</v>
      </c>
      <c r="Y17" s="794"/>
      <c r="Z17" s="794"/>
      <c r="AA17" s="794">
        <v>68.148148148148138</v>
      </c>
      <c r="AB17" s="795" t="s">
        <v>1753</v>
      </c>
    </row>
    <row r="18" spans="1:28" ht="48">
      <c r="A18" s="808">
        <v>32004</v>
      </c>
      <c r="B18" s="807" t="s">
        <v>525</v>
      </c>
      <c r="C18" s="806"/>
      <c r="D18" s="809">
        <v>5</v>
      </c>
      <c r="E18" s="804" t="s">
        <v>402</v>
      </c>
      <c r="F18" s="509" t="s">
        <v>1133</v>
      </c>
      <c r="G18" s="801" t="s">
        <v>1105</v>
      </c>
      <c r="H18" s="803" t="s">
        <v>402</v>
      </c>
      <c r="I18" s="803" t="s">
        <v>402</v>
      </c>
      <c r="J18" s="802">
        <v>0</v>
      </c>
      <c r="K18" s="801" t="s">
        <v>678</v>
      </c>
      <c r="L18" s="799">
        <v>125</v>
      </c>
      <c r="M18" s="798">
        <v>1</v>
      </c>
      <c r="N18" s="797">
        <v>1.3000688016831126</v>
      </c>
      <c r="O18" s="800" t="s">
        <v>1752</v>
      </c>
      <c r="P18" s="799">
        <v>100</v>
      </c>
      <c r="Q18" s="798">
        <v>1</v>
      </c>
      <c r="R18" s="797">
        <v>1.3000688016831126</v>
      </c>
      <c r="S18" s="517" t="s">
        <v>1752</v>
      </c>
      <c r="T18" s="796"/>
      <c r="U18" s="795" t="s">
        <v>1707</v>
      </c>
      <c r="V18" s="794" t="s">
        <v>678</v>
      </c>
      <c r="W18" s="794">
        <v>190</v>
      </c>
      <c r="X18" s="794">
        <v>125</v>
      </c>
      <c r="Y18" s="794">
        <v>100</v>
      </c>
      <c r="Z18" s="794">
        <v>120</v>
      </c>
      <c r="AA18" s="794">
        <v>125</v>
      </c>
      <c r="AB18" s="795" t="s">
        <v>1751</v>
      </c>
    </row>
    <row r="19" spans="1:28" ht="24">
      <c r="A19" s="808">
        <v>545</v>
      </c>
      <c r="B19" s="807" t="s">
        <v>1705</v>
      </c>
      <c r="C19" s="806"/>
      <c r="D19" s="805" t="s">
        <v>402</v>
      </c>
      <c r="E19" s="804">
        <v>4</v>
      </c>
      <c r="F19" s="509" t="s">
        <v>988</v>
      </c>
      <c r="G19" s="801" t="s">
        <v>402</v>
      </c>
      <c r="H19" s="803" t="s">
        <v>325</v>
      </c>
      <c r="I19" s="803" t="s">
        <v>686</v>
      </c>
      <c r="J19" s="802" t="s">
        <v>402</v>
      </c>
      <c r="K19" s="801" t="s">
        <v>395</v>
      </c>
      <c r="L19" s="799">
        <v>0.09</v>
      </c>
      <c r="M19" s="798">
        <v>1</v>
      </c>
      <c r="N19" s="797">
        <v>1.6168893782141394</v>
      </c>
      <c r="O19" s="800" t="s">
        <v>1750</v>
      </c>
      <c r="P19" s="799">
        <v>0.12</v>
      </c>
      <c r="Q19" s="798">
        <v>1</v>
      </c>
      <c r="R19" s="797">
        <v>1.6168893782141394</v>
      </c>
      <c r="S19" s="517" t="s">
        <v>1750</v>
      </c>
      <c r="T19" s="796"/>
      <c r="U19" s="795" t="s">
        <v>1749</v>
      </c>
      <c r="V19" s="794" t="s">
        <v>395</v>
      </c>
      <c r="W19" s="794">
        <v>0.09</v>
      </c>
      <c r="X19" s="794">
        <v>0.12</v>
      </c>
      <c r="Y19" s="794"/>
      <c r="Z19" s="794"/>
      <c r="AA19" s="794"/>
      <c r="AB19" s="795" t="s">
        <v>1691</v>
      </c>
    </row>
    <row r="20" spans="1:28">
      <c r="A20" s="808">
        <v>3306</v>
      </c>
      <c r="B20" s="807" t="s">
        <v>525</v>
      </c>
      <c r="C20" s="806"/>
      <c r="D20" s="805" t="s">
        <v>402</v>
      </c>
      <c r="E20" s="804">
        <v>4</v>
      </c>
      <c r="F20" s="509" t="s">
        <v>1748</v>
      </c>
      <c r="G20" s="801" t="s">
        <v>402</v>
      </c>
      <c r="H20" s="803" t="s">
        <v>325</v>
      </c>
      <c r="I20" s="803" t="s">
        <v>686</v>
      </c>
      <c r="J20" s="802" t="s">
        <v>402</v>
      </c>
      <c r="K20" s="801" t="s">
        <v>395</v>
      </c>
      <c r="L20" s="799">
        <v>0.8</v>
      </c>
      <c r="M20" s="798">
        <v>1</v>
      </c>
      <c r="N20" s="797">
        <v>1.6168893782141394</v>
      </c>
      <c r="O20" s="800" t="s">
        <v>1747</v>
      </c>
      <c r="P20" s="799">
        <v>0</v>
      </c>
      <c r="Q20" s="798">
        <v>1</v>
      </c>
      <c r="R20" s="797">
        <v>1.6168893782141394</v>
      </c>
      <c r="S20" s="517" t="s">
        <v>1747</v>
      </c>
      <c r="T20" s="796"/>
      <c r="U20" s="795" t="s">
        <v>1746</v>
      </c>
      <c r="V20" s="794" t="s">
        <v>395</v>
      </c>
      <c r="W20" s="794">
        <v>0.8</v>
      </c>
      <c r="X20" s="794">
        <v>0</v>
      </c>
      <c r="Y20" s="794"/>
      <c r="Z20" s="794"/>
      <c r="AA20" s="794"/>
      <c r="AB20" s="795" t="s">
        <v>1691</v>
      </c>
    </row>
    <row r="21" spans="1:28">
      <c r="A21" s="808">
        <v>1043</v>
      </c>
      <c r="B21" s="807" t="s">
        <v>525</v>
      </c>
      <c r="C21" s="806"/>
      <c r="D21" s="805" t="s">
        <v>402</v>
      </c>
      <c r="E21" s="804">
        <v>4</v>
      </c>
      <c r="F21" s="509" t="s">
        <v>1002</v>
      </c>
      <c r="G21" s="801" t="s">
        <v>402</v>
      </c>
      <c r="H21" s="803" t="s">
        <v>325</v>
      </c>
      <c r="I21" s="803" t="s">
        <v>686</v>
      </c>
      <c r="J21" s="802" t="s">
        <v>402</v>
      </c>
      <c r="K21" s="801" t="s">
        <v>395</v>
      </c>
      <c r="L21" s="799">
        <v>0.15</v>
      </c>
      <c r="M21" s="798">
        <v>1</v>
      </c>
      <c r="N21" s="797">
        <v>5.103675409230048</v>
      </c>
      <c r="O21" s="800" t="s">
        <v>1698</v>
      </c>
      <c r="P21" s="799">
        <v>0.42</v>
      </c>
      <c r="Q21" s="798">
        <v>1</v>
      </c>
      <c r="R21" s="797">
        <v>5.103675409230048</v>
      </c>
      <c r="S21" s="517" t="s">
        <v>1698</v>
      </c>
      <c r="T21" s="796"/>
      <c r="U21" s="795" t="s">
        <v>1697</v>
      </c>
      <c r="V21" s="794" t="s">
        <v>395</v>
      </c>
      <c r="W21" s="794">
        <v>0.15</v>
      </c>
      <c r="X21" s="794">
        <v>0.42</v>
      </c>
      <c r="Y21" s="794"/>
      <c r="Z21" s="794"/>
      <c r="AA21" s="794"/>
      <c r="AB21" s="795" t="s">
        <v>1691</v>
      </c>
    </row>
    <row r="22" spans="1:28">
      <c r="A22" s="808">
        <v>1043</v>
      </c>
      <c r="B22" s="807" t="s">
        <v>525</v>
      </c>
      <c r="C22" s="806"/>
      <c r="D22" s="805" t="s">
        <v>402</v>
      </c>
      <c r="E22" s="804">
        <v>4</v>
      </c>
      <c r="F22" s="509" t="s">
        <v>1002</v>
      </c>
      <c r="G22" s="801" t="s">
        <v>402</v>
      </c>
      <c r="H22" s="803" t="s">
        <v>325</v>
      </c>
      <c r="I22" s="803" t="s">
        <v>686</v>
      </c>
      <c r="J22" s="802" t="s">
        <v>402</v>
      </c>
      <c r="K22" s="801" t="s">
        <v>395</v>
      </c>
      <c r="L22" s="799">
        <v>0.08</v>
      </c>
      <c r="M22" s="798">
        <v>1</v>
      </c>
      <c r="N22" s="797">
        <v>5.103675409230048</v>
      </c>
      <c r="O22" s="800" t="s">
        <v>1745</v>
      </c>
      <c r="P22" s="799">
        <v>0.05</v>
      </c>
      <c r="Q22" s="798">
        <v>1</v>
      </c>
      <c r="R22" s="797">
        <v>5.103675409230048</v>
      </c>
      <c r="S22" s="517" t="s">
        <v>1745</v>
      </c>
      <c r="T22" s="796"/>
      <c r="U22" s="795" t="s">
        <v>1744</v>
      </c>
      <c r="V22" s="794" t="s">
        <v>395</v>
      </c>
      <c r="W22" s="794">
        <v>0.08</v>
      </c>
      <c r="X22" s="794">
        <v>0.05</v>
      </c>
      <c r="Y22" s="794"/>
      <c r="Z22" s="794"/>
      <c r="AA22" s="794"/>
      <c r="AB22" s="795" t="s">
        <v>1691</v>
      </c>
    </row>
    <row r="23" spans="1:28" ht="24">
      <c r="A23" s="808">
        <v>2085</v>
      </c>
      <c r="B23" s="807" t="s">
        <v>1743</v>
      </c>
      <c r="C23" s="806"/>
      <c r="D23" s="805" t="s">
        <v>402</v>
      </c>
      <c r="E23" s="804">
        <v>4</v>
      </c>
      <c r="F23" s="509" t="s">
        <v>213</v>
      </c>
      <c r="G23" s="801" t="s">
        <v>402</v>
      </c>
      <c r="H23" s="803" t="s">
        <v>211</v>
      </c>
      <c r="I23" s="803" t="s">
        <v>686</v>
      </c>
      <c r="J23" s="802" t="s">
        <v>402</v>
      </c>
      <c r="K23" s="801" t="s">
        <v>395</v>
      </c>
      <c r="L23" s="799">
        <v>2.0400000000000001E-3</v>
      </c>
      <c r="M23" s="798">
        <v>1</v>
      </c>
      <c r="N23" s="797">
        <v>1.6168893782141394</v>
      </c>
      <c r="O23" s="800" t="s">
        <v>1742</v>
      </c>
      <c r="P23" s="799">
        <v>2.0400000000000001E-3</v>
      </c>
      <c r="Q23" s="798">
        <v>1</v>
      </c>
      <c r="R23" s="797">
        <v>1.6168893782141394</v>
      </c>
      <c r="S23" s="517" t="s">
        <v>1742</v>
      </c>
      <c r="T23" s="796"/>
      <c r="U23" s="795" t="s">
        <v>1741</v>
      </c>
      <c r="V23" s="794" t="s">
        <v>395</v>
      </c>
      <c r="W23" s="794">
        <v>4.6100000000000003</v>
      </c>
      <c r="X23" s="794">
        <v>4.6100000000000003</v>
      </c>
      <c r="Y23" s="794"/>
      <c r="Z23" s="794"/>
      <c r="AA23" s="794">
        <v>2.0400000000000001E-3</v>
      </c>
      <c r="AB23" s="795" t="s">
        <v>1733</v>
      </c>
    </row>
    <row r="24" spans="1:28" ht="24">
      <c r="A24" s="808">
        <v>1995</v>
      </c>
      <c r="B24" s="807" t="s">
        <v>525</v>
      </c>
      <c r="C24" s="806"/>
      <c r="D24" s="805" t="s">
        <v>402</v>
      </c>
      <c r="E24" s="804">
        <v>4</v>
      </c>
      <c r="F24" s="509" t="s">
        <v>5</v>
      </c>
      <c r="G24" s="801" t="s">
        <v>402</v>
      </c>
      <c r="H24" s="803" t="s">
        <v>211</v>
      </c>
      <c r="I24" s="803" t="s">
        <v>686</v>
      </c>
      <c r="J24" s="802" t="s">
        <v>402</v>
      </c>
      <c r="K24" s="801" t="s">
        <v>395</v>
      </c>
      <c r="L24" s="799">
        <v>7.6999999999999999E-2</v>
      </c>
      <c r="M24" s="798">
        <v>1</v>
      </c>
      <c r="N24" s="797">
        <v>3.0909055800049732</v>
      </c>
      <c r="O24" s="800" t="s">
        <v>1740</v>
      </c>
      <c r="P24" s="799">
        <v>7.6999999999999999E-2</v>
      </c>
      <c r="Q24" s="798">
        <v>1</v>
      </c>
      <c r="R24" s="797">
        <v>3.0909055800049732</v>
      </c>
      <c r="S24" s="517" t="s">
        <v>1740</v>
      </c>
      <c r="T24" s="796"/>
      <c r="U24" s="795" t="s">
        <v>5</v>
      </c>
      <c r="V24" s="794" t="s">
        <v>1692</v>
      </c>
      <c r="W24" s="794">
        <v>2.4407299999999998</v>
      </c>
      <c r="X24" s="794">
        <v>1.448</v>
      </c>
      <c r="Y24" s="794"/>
      <c r="Z24" s="794"/>
      <c r="AA24" s="794">
        <v>7.6999999999999999E-2</v>
      </c>
      <c r="AB24" s="795" t="s">
        <v>1733</v>
      </c>
    </row>
    <row r="25" spans="1:28">
      <c r="A25" s="808">
        <v>2193</v>
      </c>
      <c r="B25" s="807" t="s">
        <v>525</v>
      </c>
      <c r="C25" s="806"/>
      <c r="D25" s="805" t="s">
        <v>402</v>
      </c>
      <c r="E25" s="804">
        <v>4</v>
      </c>
      <c r="F25" s="509" t="s">
        <v>6</v>
      </c>
      <c r="G25" s="801" t="s">
        <v>402</v>
      </c>
      <c r="H25" s="803" t="s">
        <v>211</v>
      </c>
      <c r="I25" s="803" t="s">
        <v>686</v>
      </c>
      <c r="J25" s="802" t="s">
        <v>402</v>
      </c>
      <c r="K25" s="801" t="s">
        <v>395</v>
      </c>
      <c r="L25" s="799">
        <v>5.0000000000000002E-5</v>
      </c>
      <c r="M25" s="798">
        <v>1</v>
      </c>
      <c r="N25" s="797">
        <v>1.6168893782141394</v>
      </c>
      <c r="O25" s="800" t="s">
        <v>1739</v>
      </c>
      <c r="P25" s="799">
        <v>2.9999999999999997E-5</v>
      </c>
      <c r="Q25" s="798">
        <v>1</v>
      </c>
      <c r="R25" s="797">
        <v>1.6168893782141394</v>
      </c>
      <c r="S25" s="517" t="s">
        <v>1739</v>
      </c>
      <c r="T25" s="796"/>
      <c r="U25" s="795" t="s">
        <v>6</v>
      </c>
      <c r="V25" s="794" t="s">
        <v>1692</v>
      </c>
      <c r="W25" s="794">
        <v>5.0000000000000002E-5</v>
      </c>
      <c r="X25" s="794">
        <v>2.9999999999999997E-5</v>
      </c>
      <c r="Y25" s="794"/>
      <c r="Z25" s="794"/>
      <c r="AA25" s="794"/>
      <c r="AB25" s="795" t="s">
        <v>1691</v>
      </c>
    </row>
    <row r="26" spans="1:28" ht="12.75" customHeight="1">
      <c r="A26" s="808">
        <v>2958</v>
      </c>
      <c r="B26" s="807" t="s">
        <v>525</v>
      </c>
      <c r="C26" s="806"/>
      <c r="D26" s="805" t="s">
        <v>402</v>
      </c>
      <c r="E26" s="804">
        <v>4</v>
      </c>
      <c r="F26" s="509" t="s">
        <v>1738</v>
      </c>
      <c r="G26" s="801" t="s">
        <v>402</v>
      </c>
      <c r="H26" s="803" t="s">
        <v>211</v>
      </c>
      <c r="I26" s="803" t="s">
        <v>686</v>
      </c>
      <c r="J26" s="802" t="s">
        <v>402</v>
      </c>
      <c r="K26" s="801" t="s">
        <v>395</v>
      </c>
      <c r="L26" s="799">
        <v>1.4400000000000001E-3</v>
      </c>
      <c r="M26" s="798">
        <v>1</v>
      </c>
      <c r="N26" s="797">
        <v>1.6168893782141394</v>
      </c>
      <c r="O26" s="800" t="s">
        <v>1737</v>
      </c>
      <c r="P26" s="799">
        <v>1.4400000000000001E-3</v>
      </c>
      <c r="Q26" s="798">
        <v>1</v>
      </c>
      <c r="R26" s="797">
        <v>1.6168893782141394</v>
      </c>
      <c r="S26" s="517" t="s">
        <v>1737</v>
      </c>
      <c r="T26" s="796"/>
      <c r="U26" s="795" t="s">
        <v>1736</v>
      </c>
      <c r="V26" s="794" t="s">
        <v>1692</v>
      </c>
      <c r="W26" s="794">
        <v>5.1799999999999997E-3</v>
      </c>
      <c r="X26" s="794">
        <v>5.1799999999999997E-3</v>
      </c>
      <c r="Y26" s="794"/>
      <c r="Z26" s="794"/>
      <c r="AA26" s="794">
        <v>1.4400000000000001E-3</v>
      </c>
      <c r="AB26" s="795" t="s">
        <v>1733</v>
      </c>
    </row>
    <row r="27" spans="1:28" s="849" customFormat="1" ht="36">
      <c r="A27" s="866">
        <v>1752</v>
      </c>
      <c r="B27" s="865"/>
      <c r="C27" s="864"/>
      <c r="D27" s="863" t="s">
        <v>402</v>
      </c>
      <c r="E27" s="862">
        <v>4</v>
      </c>
      <c r="F27" s="861" t="s">
        <v>4</v>
      </c>
      <c r="G27" s="858" t="s">
        <v>402</v>
      </c>
      <c r="H27" s="860" t="s">
        <v>211</v>
      </c>
      <c r="I27" s="860" t="s">
        <v>686</v>
      </c>
      <c r="J27" s="859" t="s">
        <v>402</v>
      </c>
      <c r="K27" s="858" t="s">
        <v>395</v>
      </c>
      <c r="L27" s="856">
        <v>3.4714285714285713E-5</v>
      </c>
      <c r="M27" s="855">
        <v>1</v>
      </c>
      <c r="N27" s="854">
        <v>1.6168893782141394</v>
      </c>
      <c r="O27" s="857" t="s">
        <v>1735</v>
      </c>
      <c r="P27" s="856">
        <v>3.4714285714285713E-5</v>
      </c>
      <c r="Q27" s="855">
        <v>1</v>
      </c>
      <c r="R27" s="854">
        <v>1.6168893782141394</v>
      </c>
      <c r="S27" s="853" t="s">
        <v>1735</v>
      </c>
      <c r="T27" s="852"/>
      <c r="U27" s="850" t="s">
        <v>1734</v>
      </c>
      <c r="V27" s="851"/>
      <c r="W27" s="851"/>
      <c r="X27" s="851"/>
      <c r="Y27" s="851"/>
      <c r="Z27" s="851"/>
      <c r="AA27" s="851">
        <v>3.4714285714285713E-5</v>
      </c>
      <c r="AB27" s="850" t="s">
        <v>1733</v>
      </c>
    </row>
    <row r="28" spans="1:28" s="787" customFormat="1">
      <c r="B28" s="792"/>
      <c r="C28" s="791"/>
      <c r="M28" s="790"/>
      <c r="N28" s="790"/>
      <c r="O28" s="790"/>
      <c r="Q28" s="790"/>
      <c r="R28" s="790"/>
      <c r="S28" s="790"/>
      <c r="T28" s="789"/>
      <c r="U28" s="789"/>
      <c r="V28" s="785"/>
      <c r="W28" s="785"/>
      <c r="X28" s="785"/>
      <c r="Y28" s="785"/>
      <c r="Z28" s="785"/>
      <c r="AA28" s="785"/>
      <c r="AB28" s="789"/>
    </row>
    <row r="29" spans="1:28">
      <c r="L29" s="786"/>
      <c r="P29" s="786"/>
      <c r="V29" s="785"/>
      <c r="W29" s="785"/>
      <c r="X29" s="785"/>
      <c r="Y29" s="785"/>
      <c r="Z29" s="785"/>
      <c r="AA29" s="785"/>
    </row>
  </sheetData>
  <mergeCells count="1">
    <mergeCell ref="W3:X3"/>
  </mergeCells>
  <conditionalFormatting sqref="L1 P1">
    <cfRule type="cellIs" dxfId="41" priority="4" stopIfTrue="1" operator="equal">
      <formula>$F9</formula>
    </cfRule>
  </conditionalFormatting>
  <conditionalFormatting sqref="B9 B11:B13 B15:B26">
    <cfRule type="cellIs" dxfId="40" priority="5" stopIfTrue="1" operator="notEqual">
      <formula>""</formula>
    </cfRule>
  </conditionalFormatting>
  <conditionalFormatting sqref="B10">
    <cfRule type="cellIs" dxfId="39" priority="3" stopIfTrue="1" operator="notEqual">
      <formula>""</formula>
    </cfRule>
  </conditionalFormatting>
  <conditionalFormatting sqref="B14">
    <cfRule type="cellIs" dxfId="38" priority="2" stopIfTrue="1" operator="notEqual">
      <formula>""</formula>
    </cfRule>
  </conditionalFormatting>
  <conditionalFormatting sqref="B27">
    <cfRule type="cellIs" dxfId="37" priority="1" stopIfTrue="1" operator="notEqual">
      <formula>""</formula>
    </cfRule>
  </conditionalFormatting>
  <dataValidations count="20">
    <dataValidation allowBlank="1" showInputMessage="1" showErrorMessage="1" promptTitle="GeneralComment" prompt="Do not change, if you use Pedigree Matrix. The comment is generated from the remarks field (enter remarks there) and the Pedigree numbers._x000a__x000a_If you calculated the SD from the data (i.e. without Pedigree Matrix), set a direct reference to the remarks. _x000a__x000a_" sqref="S1:S27 O1:O27"/>
    <dataValidation allowBlank="1" showInputMessage="1" showErrorMessage="1" promptTitle="StandardDeviation" prompt="Do only change when you calculated the Standard Deviation (SD) of the data (square SD for lognormal Distribution, 2*SD for normal Distribution - see column M). _x000a__x000a_Otherwise leave the formula to have it calculated from the Pedigree-Matrix (column Q  to V)." sqref="R2:R27 N2:N27"/>
    <dataValidation allowBlank="1" showInputMessage="1" showErrorMessage="1" promptTitle="Uncertainty Type" prompt="Defines the kind of uncertainty distribution applied on one particular exchange. _x000a__x000a_0 = undefined_x000a_1 = LOGNORMAL (default)_x000a_2 = normal_x000a_3 = triang_x000a_4 = uniform_x000a_" sqref="Q2:Q27 M2:M27"/>
    <dataValidation allowBlank="1" showInputMessage="1" showErrorMessage="1" promptTitle="Output Group" prompt="Indicates the kind of output flow. The options 0, 2, and 4 are actively used in the ecoinvent quality network. The codes are: 0=ReferenceProduct_x000a_2=Allocated by product_x000a_4=ToNature_x000a_- = The flow is an Input-Flow_x000a__x000a_" sqref="E7:E27"/>
    <dataValidation allowBlank="1" showInputMessage="1" showErrorMessage="1" prompt="Mean amount of elementary flow or intermediate product flow. Enter your values (or the respective equation) here." sqref="L9:L27 P9:P27"/>
    <dataValidation allowBlank="1" showInputMessage="1" showErrorMessage="1" prompt="Do not enter anything into these fields. _x000a__x000a_Entering the Index-Number in column A will update these fields accordingly (maybe you need to press &quot;F9&quot; to have Excel recalculate the fields). Be sure to have the names-list open._x000a_" sqref="F7:K27"/>
    <dataValidation allowBlank="1" showInputMessage="1" showErrorMessage="1" prompt="always 1" sqref="L7:L8 P7:P8"/>
    <dataValidation allowBlank="1" showInputMessage="1" showErrorMessage="1" promptTitle="Subcategory" prompt="Describes the subCategory one particular exchange belongs to (in English language). Category and subCategory are required for elementary flows because they have a discriminative function." sqref="I2:I3"/>
    <dataValidation allowBlank="1" showInputMessage="1" showErrorMessage="1" promptTitle="Category" prompt="Describes the category one particular exchange belongs to (in English language). Category and subCategory are required for elementary flows because they have a discriminative function." sqref="H2:H3"/>
    <dataValidation allowBlank="1" showInputMessage="1" showErrorMessage="1" promptTitle="Index-Number" prompt="Indicates the reference number in the ecoinvent names list. Insert the index number from the names-list in this field and the rest is completed accordingly._x000a__x000a_If Input-/Outputgroup =4 then see sheet &quot;NamesElementary&quot;_x000a_If I/O-Group=5 then see sheet &quot;Names&quot;" sqref="A2:A3 A16 A9:A14"/>
    <dataValidation allowBlank="1" showInputMessage="1" showErrorMessage="1" promptTitle="Output Group" prompt="Indicates the kind of output flow. The options 0, 2, and 4 are actively used in the ecoinvent quality network. The codes are: 0=ReferenceProduct_x000a_2=Allocated by product_x000a_4=ToNature_x000a_- = The flow is an Input-Flow_x000a_" sqref="E2:E3"/>
    <dataValidation allowBlank="1" showInputMessage="1" showErrorMessage="1" promptTitle="Input Group" prompt="Indicates the kind of input flow. Within the ecoinvent quality network, only 4 and 5 are actively used (any material, fuel, electricity, heat or service is classified as an input from technosphere)._x000a__x000a_4=FromNature_x000a_5=FromTechnosphere_x000a_- = an Output-Flow" sqref="D2:D3 D9:D27"/>
    <dataValidation allowBlank="1" showInputMessage="1" showErrorMessage="1" promptTitle="Location" prompt="List of 2 letter ISO country codes extended by codes for regions, continents, market areas, and organisations and companies._x000a__x000a_See names list (sheet &quot;country&quot;) for the complete list." sqref="G2:G3 F4"/>
    <dataValidation allowBlank="1" showInputMessage="1" showErrorMessage="1" promptTitle="Name" prompt="Name of the exchange (elementary flow or intermediate product flow) in English language. " sqref="F2:F3"/>
    <dataValidation allowBlank="1" showInputMessage="1" showErrorMessage="1" promptTitle="Infrastructure" prompt="Describes whether the intermediate product flow from or to the unit process is an infrastructure process or not._x000a__x000a_Not applicable to elementary flows." sqref="F5 J2:J3"/>
    <dataValidation allowBlank="1" showInputMessage="1" showErrorMessage="1" promptTitle="Unit" prompt="Unit of the exchange (elementary flow or intermediate product flow)." sqref="F6 K2:K3"/>
    <dataValidation allowBlank="1" showInputMessage="1" showErrorMessage="1" prompt="This cell is automatically updated from the names List according to the index number in L1. It needs to be identical to the output product." sqref="L3:L6 P3:P6"/>
    <dataValidation allowBlank="1" showInputMessage="1" showErrorMessage="1" promptTitle="Empty Line" prompt="An empty line signalises the end of an Ecospold-Dataset. Processes below the first empty line are excluded when exporting to XML. You can use the space below e.g. for additional calculations or comments" sqref="A28:S28 U28 AB28:IJ28"/>
    <dataValidation allowBlank="1" showInputMessage="1" showErrorMessage="1" promptTitle="Remarks" prompt="A general comment (data source, calculation procedure, ...) can be made about each individual exchange. The remarks are added to the GeneralComment-field." sqref="AB2:AB3 U3 AB9:AB27 U9:U27"/>
    <dataValidation allowBlank="1" showInputMessage="1" showErrorMessage="1" promptTitle="Input Group" prompt="Indicates the kind of input flow. Within the ecoinvent quality network, only 4 and 5 are actively used (any material, fuel, electricity, heat or service is classified as an input from technosphere)._x000a__x000a_4=FromNature_x000a_5=FromTechnosphere" sqref="D7:D8"/>
  </dataValidations>
  <printOptions horizontalCentered="1" verticalCentered="1"/>
  <pageMargins left="0.78740157480314965" right="0.78740157480314965" top="0.98425196850393704" bottom="0.98425196850393704" header="0.51181102362204722" footer="0.51181102362204722"/>
  <pageSetup paperSize="9" scale="34" orientation="landscape" r:id="rId1"/>
  <headerFooter alignWithMargins="0">
    <oddHeader>&amp;A</oddHeader>
    <oddFooter>&amp;L&amp;D&amp;C&amp;F&amp;RSeite &amp;P</oddFooter>
  </headerFooter>
  <legacyDrawing r:id="rId2"/>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35"/>
  <sheetViews>
    <sheetView zoomScale="75" workbookViewId="0">
      <pane xSplit="3" ySplit="6" topLeftCell="D7" activePane="bottomRight" state="frozen"/>
      <selection activeCell="C40" sqref="C40"/>
      <selection pane="topRight" activeCell="C40" sqref="C40"/>
      <selection pane="bottomLeft" activeCell="C40" sqref="C40"/>
      <selection pane="bottomRight" activeCell="C40" sqref="C40"/>
    </sheetView>
  </sheetViews>
  <sheetFormatPr defaultColWidth="11.42578125" defaultRowHeight="12" outlineLevelCol="1"/>
  <cols>
    <col min="1" max="1" width="7.5703125" style="780" customWidth="1"/>
    <col min="2" max="2" width="16" style="784" customWidth="1"/>
    <col min="3" max="3" width="3.7109375" style="783" hidden="1" customWidth="1" outlineLevel="1"/>
    <col min="4" max="4" width="4.140625" style="780" hidden="1" customWidth="1" outlineLevel="1"/>
    <col min="5" max="5" width="4" style="780" hidden="1" customWidth="1" outlineLevel="1"/>
    <col min="6" max="6" width="48.140625" style="780" customWidth="1" collapsed="1"/>
    <col min="7" max="7" width="6" style="780" customWidth="1"/>
    <col min="8" max="8" width="8.28515625" style="780" hidden="1" customWidth="1" outlineLevel="1"/>
    <col min="9" max="9" width="19.5703125" style="780" hidden="1" customWidth="1" outlineLevel="1"/>
    <col min="10" max="10" width="2.7109375" style="780" customWidth="1" collapsed="1"/>
    <col min="11" max="11" width="5.140625" style="780" customWidth="1"/>
    <col min="12" max="12" width="14" style="780" customWidth="1"/>
    <col min="13" max="13" width="3.5703125" style="318" hidden="1" customWidth="1" outlineLevel="1"/>
    <col min="14" max="14" width="6.5703125" style="318" hidden="1" customWidth="1" outlineLevel="1"/>
    <col min="15" max="15" width="36.85546875" style="318" hidden="1" customWidth="1" outlineLevel="1"/>
    <col min="16" max="16" width="14" style="780" customWidth="1" collapsed="1"/>
    <col min="17" max="17" width="3.5703125" style="318" hidden="1" customWidth="1" outlineLevel="1"/>
    <col min="18" max="18" width="6.5703125" style="318" hidden="1" customWidth="1" outlineLevel="1"/>
    <col min="19" max="19" width="50.28515625" style="318" hidden="1" customWidth="1" outlineLevel="1"/>
    <col min="20" max="20" width="14.140625" style="782" customWidth="1" collapsed="1"/>
    <col min="21" max="21" width="14.140625" style="782" customWidth="1"/>
    <col min="22" max="22" width="28.85546875" style="782" customWidth="1"/>
    <col min="23" max="23" width="6.85546875" style="782" customWidth="1"/>
    <col min="24" max="24" width="12.5703125" style="782" customWidth="1"/>
    <col min="25" max="29" width="16.85546875" style="782" customWidth="1"/>
    <col min="30" max="30" width="20" style="782" bestFit="1" customWidth="1"/>
    <col min="31" max="16384" width="11.42578125" style="780"/>
  </cols>
  <sheetData>
    <row r="1" spans="1:30">
      <c r="A1" s="831"/>
      <c r="B1" s="848"/>
      <c r="C1" s="829"/>
      <c r="D1" s="831"/>
      <c r="E1" s="831"/>
      <c r="F1" s="847" t="s">
        <v>510</v>
      </c>
      <c r="G1" s="831"/>
      <c r="H1" s="831"/>
      <c r="I1" s="831"/>
      <c r="J1" s="831"/>
      <c r="K1" s="831"/>
      <c r="L1" s="846" t="s">
        <v>1828</v>
      </c>
      <c r="M1" s="184"/>
      <c r="N1" s="184"/>
      <c r="O1" s="184"/>
      <c r="P1" s="846" t="s">
        <v>1826</v>
      </c>
      <c r="Q1" s="184"/>
      <c r="R1" s="184"/>
      <c r="S1" s="184"/>
      <c r="T1" s="785"/>
      <c r="U1" s="785"/>
      <c r="V1" s="785"/>
      <c r="W1" s="785"/>
      <c r="X1" s="785"/>
      <c r="Y1" s="785"/>
      <c r="Z1" s="785"/>
      <c r="AA1" s="785"/>
      <c r="AB1" s="785"/>
      <c r="AC1" s="785"/>
      <c r="AD1" s="785"/>
    </row>
    <row r="2" spans="1:30">
      <c r="A2" s="831"/>
      <c r="B2" s="844"/>
      <c r="C2" s="829" t="s">
        <v>511</v>
      </c>
      <c r="D2" s="844">
        <v>3503</v>
      </c>
      <c r="E2" s="844">
        <v>3504</v>
      </c>
      <c r="F2" s="844">
        <v>3702</v>
      </c>
      <c r="G2" s="844">
        <v>3703</v>
      </c>
      <c r="H2" s="844">
        <v>3506</v>
      </c>
      <c r="I2" s="844">
        <v>3507</v>
      </c>
      <c r="J2" s="844">
        <v>3508</v>
      </c>
      <c r="K2" s="844">
        <v>3706</v>
      </c>
      <c r="L2" s="844">
        <v>3707</v>
      </c>
      <c r="M2" s="843">
        <v>3708</v>
      </c>
      <c r="N2" s="843">
        <v>3709</v>
      </c>
      <c r="O2" s="845">
        <v>3792</v>
      </c>
      <c r="P2" s="844">
        <v>3707</v>
      </c>
      <c r="Q2" s="843">
        <v>3708</v>
      </c>
      <c r="R2" s="843">
        <v>3709</v>
      </c>
      <c r="S2" s="842">
        <v>3792</v>
      </c>
      <c r="T2" s="836"/>
      <c r="U2" s="836"/>
      <c r="W2" s="785"/>
      <c r="X2" s="785"/>
      <c r="Y2" s="785"/>
      <c r="Z2" s="785"/>
      <c r="AA2" s="785"/>
      <c r="AB2" s="785"/>
      <c r="AC2" s="785"/>
      <c r="AD2" s="836"/>
    </row>
    <row r="3" spans="1:30" ht="132">
      <c r="A3" s="831" t="s">
        <v>398</v>
      </c>
      <c r="B3" s="830"/>
      <c r="C3" s="829">
        <v>401</v>
      </c>
      <c r="D3" s="841" t="s">
        <v>514</v>
      </c>
      <c r="E3" s="841" t="s">
        <v>515</v>
      </c>
      <c r="F3" s="827" t="s">
        <v>516</v>
      </c>
      <c r="G3" s="840" t="s">
        <v>517</v>
      </c>
      <c r="H3" s="840" t="s">
        <v>518</v>
      </c>
      <c r="I3" s="840" t="s">
        <v>519</v>
      </c>
      <c r="J3" s="840" t="s">
        <v>520</v>
      </c>
      <c r="K3" s="840" t="s">
        <v>394</v>
      </c>
      <c r="L3" s="826" t="s">
        <v>1827</v>
      </c>
      <c r="M3" s="838" t="s">
        <v>265</v>
      </c>
      <c r="N3" s="838" t="s">
        <v>266</v>
      </c>
      <c r="O3" s="839" t="s">
        <v>548</v>
      </c>
      <c r="P3" s="826" t="s">
        <v>1825</v>
      </c>
      <c r="Q3" s="838" t="s">
        <v>265</v>
      </c>
      <c r="R3" s="838" t="s">
        <v>266</v>
      </c>
      <c r="S3" s="837" t="s">
        <v>548</v>
      </c>
      <c r="T3" s="823" t="s">
        <v>1728</v>
      </c>
      <c r="U3" s="823"/>
      <c r="V3" s="836" t="s">
        <v>264</v>
      </c>
      <c r="W3" s="794" t="s">
        <v>1732</v>
      </c>
      <c r="X3" s="1049" t="s">
        <v>1731</v>
      </c>
      <c r="Y3" s="1049"/>
      <c r="Z3" s="834" t="s">
        <v>1831</v>
      </c>
      <c r="AA3" s="834" t="s">
        <v>1830</v>
      </c>
      <c r="AB3" s="834" t="s">
        <v>1829</v>
      </c>
      <c r="AC3" s="834" t="s">
        <v>1733</v>
      </c>
      <c r="AD3" s="836" t="s">
        <v>1728</v>
      </c>
    </row>
    <row r="4" spans="1:30" ht="12.75" customHeight="1">
      <c r="A4" s="831"/>
      <c r="B4" s="830"/>
      <c r="C4" s="829">
        <v>662</v>
      </c>
      <c r="D4" s="828"/>
      <c r="E4" s="828"/>
      <c r="F4" s="827" t="s">
        <v>517</v>
      </c>
      <c r="G4" s="827"/>
      <c r="H4" s="827"/>
      <c r="I4" s="827"/>
      <c r="J4" s="827"/>
      <c r="K4" s="827"/>
      <c r="L4" s="826" t="s">
        <v>1105</v>
      </c>
      <c r="M4" s="825"/>
      <c r="N4" s="825"/>
      <c r="O4" s="824"/>
      <c r="P4" s="826" t="s">
        <v>1105</v>
      </c>
      <c r="Q4" s="825"/>
      <c r="R4" s="825"/>
      <c r="S4" s="824"/>
      <c r="T4" s="823" t="s">
        <v>393</v>
      </c>
      <c r="U4" s="823"/>
      <c r="V4" s="835"/>
      <c r="W4" s="785"/>
      <c r="X4" s="834" t="s">
        <v>1727</v>
      </c>
      <c r="Y4" s="833" t="s">
        <v>1726</v>
      </c>
      <c r="Z4" s="833"/>
      <c r="AA4" s="833"/>
      <c r="AB4" s="833"/>
      <c r="AC4" s="833"/>
      <c r="AD4" s="835"/>
    </row>
    <row r="5" spans="1:30">
      <c r="A5" s="831"/>
      <c r="B5" s="830"/>
      <c r="C5" s="829">
        <v>493</v>
      </c>
      <c r="D5" s="828"/>
      <c r="E5" s="828"/>
      <c r="F5" s="827" t="s">
        <v>520</v>
      </c>
      <c r="G5" s="827"/>
      <c r="H5" s="827"/>
      <c r="I5" s="827"/>
      <c r="J5" s="827"/>
      <c r="K5" s="827"/>
      <c r="L5" s="826">
        <v>0</v>
      </c>
      <c r="M5" s="825"/>
      <c r="N5" s="825"/>
      <c r="O5" s="824"/>
      <c r="P5" s="826">
        <v>0</v>
      </c>
      <c r="Q5" s="825"/>
      <c r="R5" s="825"/>
      <c r="S5" s="824"/>
      <c r="T5" s="823">
        <v>2009</v>
      </c>
      <c r="U5" s="823"/>
      <c r="V5" s="785"/>
      <c r="W5" s="785"/>
      <c r="X5" s="785"/>
      <c r="Y5" s="785"/>
      <c r="Z5" s="785"/>
      <c r="AA5" s="785"/>
      <c r="AB5" s="785"/>
      <c r="AC5" s="785"/>
      <c r="AD5" s="785"/>
    </row>
    <row r="6" spans="1:30" ht="12.75" customHeight="1">
      <c r="A6" s="831"/>
      <c r="B6" s="830"/>
      <c r="C6" s="829">
        <v>403</v>
      </c>
      <c r="D6" s="828"/>
      <c r="E6" s="828"/>
      <c r="F6" s="827" t="s">
        <v>394</v>
      </c>
      <c r="G6" s="827"/>
      <c r="H6" s="827"/>
      <c r="I6" s="827"/>
      <c r="J6" s="827"/>
      <c r="K6" s="827"/>
      <c r="L6" s="826" t="s">
        <v>522</v>
      </c>
      <c r="M6" s="825"/>
      <c r="N6" s="825"/>
      <c r="O6" s="824"/>
      <c r="P6" s="826" t="s">
        <v>522</v>
      </c>
      <c r="Q6" s="825"/>
      <c r="R6" s="825"/>
      <c r="S6" s="824"/>
      <c r="T6" s="823" t="s">
        <v>395</v>
      </c>
      <c r="U6" s="823"/>
      <c r="V6" s="785"/>
      <c r="W6" s="785"/>
      <c r="X6" s="785"/>
      <c r="Y6" s="785"/>
      <c r="Z6" s="785"/>
      <c r="AA6" s="785"/>
      <c r="AB6" s="785"/>
      <c r="AC6" s="785"/>
      <c r="AD6" s="785"/>
    </row>
    <row r="7" spans="1:30" ht="24">
      <c r="A7" s="808" t="s">
        <v>1828</v>
      </c>
      <c r="B7" s="807" t="s">
        <v>523</v>
      </c>
      <c r="C7" s="806"/>
      <c r="D7" s="821" t="s">
        <v>402</v>
      </c>
      <c r="E7" s="820">
        <v>0</v>
      </c>
      <c r="F7" s="819" t="s">
        <v>1827</v>
      </c>
      <c r="G7" s="816" t="s">
        <v>1105</v>
      </c>
      <c r="H7" s="818" t="s">
        <v>402</v>
      </c>
      <c r="I7" s="818" t="s">
        <v>402</v>
      </c>
      <c r="J7" s="817">
        <v>0</v>
      </c>
      <c r="K7" s="816" t="s">
        <v>522</v>
      </c>
      <c r="L7" s="815">
        <v>1</v>
      </c>
      <c r="M7" s="814"/>
      <c r="N7" s="813"/>
      <c r="O7" s="800"/>
      <c r="P7" s="815">
        <v>0</v>
      </c>
      <c r="Q7" s="814"/>
      <c r="R7" s="813"/>
      <c r="S7" s="800"/>
      <c r="T7" s="812"/>
      <c r="U7" s="812"/>
      <c r="V7" s="811"/>
      <c r="W7" s="785"/>
      <c r="X7" s="785"/>
      <c r="Y7" s="785"/>
      <c r="Z7" s="785"/>
      <c r="AA7" s="785"/>
      <c r="AB7" s="785"/>
      <c r="AC7" s="785"/>
      <c r="AD7" s="811"/>
    </row>
    <row r="8" spans="1:30" ht="24">
      <c r="A8" s="808" t="s">
        <v>1826</v>
      </c>
      <c r="B8" s="807"/>
      <c r="C8" s="806"/>
      <c r="D8" s="821" t="s">
        <v>402</v>
      </c>
      <c r="E8" s="820">
        <v>0</v>
      </c>
      <c r="F8" s="819" t="s">
        <v>1825</v>
      </c>
      <c r="G8" s="816" t="s">
        <v>1105</v>
      </c>
      <c r="H8" s="818" t="s">
        <v>402</v>
      </c>
      <c r="I8" s="818" t="s">
        <v>402</v>
      </c>
      <c r="J8" s="817">
        <v>0</v>
      </c>
      <c r="K8" s="816" t="s">
        <v>522</v>
      </c>
      <c r="L8" s="815">
        <v>0</v>
      </c>
      <c r="M8" s="814"/>
      <c r="N8" s="813"/>
      <c r="O8" s="800"/>
      <c r="P8" s="815">
        <v>1</v>
      </c>
      <c r="Q8" s="814"/>
      <c r="R8" s="813"/>
      <c r="S8" s="800"/>
      <c r="T8" s="812"/>
      <c r="U8" s="812"/>
      <c r="V8" s="811"/>
      <c r="W8" s="785"/>
      <c r="X8" s="785"/>
      <c r="Y8" s="785"/>
      <c r="Z8" s="785"/>
      <c r="AA8" s="785"/>
      <c r="AB8" s="785"/>
      <c r="AC8" s="785"/>
      <c r="AD8" s="811"/>
    </row>
    <row r="9" spans="1:30" ht="21.75" customHeight="1">
      <c r="A9" s="808" t="s">
        <v>1776</v>
      </c>
      <c r="B9" s="807" t="s">
        <v>524</v>
      </c>
      <c r="C9" s="806" t="s">
        <v>525</v>
      </c>
      <c r="D9" s="809">
        <v>5</v>
      </c>
      <c r="E9" s="804" t="s">
        <v>402</v>
      </c>
      <c r="F9" s="509" t="s">
        <v>1775</v>
      </c>
      <c r="G9" s="801" t="s">
        <v>1105</v>
      </c>
      <c r="H9" s="803" t="s">
        <v>402</v>
      </c>
      <c r="I9" s="803" t="s">
        <v>402</v>
      </c>
      <c r="J9" s="802">
        <v>0</v>
      </c>
      <c r="K9" s="801" t="s">
        <v>395</v>
      </c>
      <c r="L9" s="799">
        <v>2.044224E-2</v>
      </c>
      <c r="M9" s="798">
        <v>1</v>
      </c>
      <c r="N9" s="797">
        <v>1.3000688016831126</v>
      </c>
      <c r="O9" s="800" t="s">
        <v>1824</v>
      </c>
      <c r="P9" s="799">
        <v>0</v>
      </c>
      <c r="Q9" s="798">
        <v>1</v>
      </c>
      <c r="R9" s="797">
        <v>1.3000688016831126</v>
      </c>
      <c r="S9" s="517" t="s">
        <v>1824</v>
      </c>
      <c r="T9" s="796"/>
      <c r="U9" s="796"/>
      <c r="V9" s="795" t="s">
        <v>1822</v>
      </c>
      <c r="W9" s="869" t="s">
        <v>395</v>
      </c>
      <c r="X9" s="794">
        <v>4.0829999999999998E-2</v>
      </c>
      <c r="Y9" s="794"/>
      <c r="Z9" s="794">
        <v>2.0666666666666667E-2</v>
      </c>
      <c r="AA9" s="794"/>
      <c r="AB9" s="794"/>
      <c r="AC9" s="794">
        <v>2.044224E-2</v>
      </c>
      <c r="AD9" s="795" t="s">
        <v>1733</v>
      </c>
    </row>
    <row r="10" spans="1:30" ht="21.75" customHeight="1">
      <c r="A10" s="808" t="s">
        <v>1774</v>
      </c>
      <c r="B10" s="807" t="s">
        <v>525</v>
      </c>
      <c r="C10" s="806" t="s">
        <v>525</v>
      </c>
      <c r="D10" s="809">
        <v>5</v>
      </c>
      <c r="E10" s="804" t="s">
        <v>402</v>
      </c>
      <c r="F10" s="509" t="s">
        <v>1773</v>
      </c>
      <c r="G10" s="801" t="s">
        <v>1105</v>
      </c>
      <c r="H10" s="803" t="s">
        <v>402</v>
      </c>
      <c r="I10" s="803" t="s">
        <v>402</v>
      </c>
      <c r="J10" s="802">
        <v>0</v>
      </c>
      <c r="K10" s="801" t="s">
        <v>395</v>
      </c>
      <c r="L10" s="799">
        <v>0</v>
      </c>
      <c r="M10" s="798">
        <v>1</v>
      </c>
      <c r="N10" s="797">
        <v>1.3000688016831126</v>
      </c>
      <c r="O10" s="800" t="s">
        <v>1823</v>
      </c>
      <c r="P10" s="799">
        <v>1.89E-2</v>
      </c>
      <c r="Q10" s="798">
        <v>1</v>
      </c>
      <c r="R10" s="797">
        <v>1.3000688016831126</v>
      </c>
      <c r="S10" s="517" t="s">
        <v>1823</v>
      </c>
      <c r="T10" s="796"/>
      <c r="U10" s="796"/>
      <c r="V10" s="795" t="s">
        <v>1822</v>
      </c>
      <c r="W10" s="794" t="s">
        <v>395</v>
      </c>
      <c r="Y10" s="794">
        <v>1.89E-2</v>
      </c>
      <c r="Z10" s="794"/>
      <c r="AA10" s="794"/>
      <c r="AB10" s="794">
        <v>2.1739130434782608E-2</v>
      </c>
      <c r="AC10" s="794"/>
      <c r="AD10" s="795" t="s">
        <v>1691</v>
      </c>
    </row>
    <row r="11" spans="1:30" ht="11.25" customHeight="1">
      <c r="A11" s="808">
        <v>775</v>
      </c>
      <c r="B11" s="807" t="s">
        <v>525</v>
      </c>
      <c r="C11" s="806"/>
      <c r="D11" s="809">
        <v>5</v>
      </c>
      <c r="E11" s="804" t="s">
        <v>402</v>
      </c>
      <c r="F11" s="509" t="s">
        <v>1110</v>
      </c>
      <c r="G11" s="801" t="s">
        <v>521</v>
      </c>
      <c r="H11" s="803" t="s">
        <v>402</v>
      </c>
      <c r="I11" s="803" t="s">
        <v>402</v>
      </c>
      <c r="J11" s="802">
        <v>0</v>
      </c>
      <c r="K11" s="801" t="s">
        <v>395</v>
      </c>
      <c r="L11" s="799">
        <v>7.78752E-3</v>
      </c>
      <c r="M11" s="798">
        <v>1</v>
      </c>
      <c r="N11" s="797">
        <v>1.3000688016831126</v>
      </c>
      <c r="O11" s="800" t="s">
        <v>1821</v>
      </c>
      <c r="P11" s="799">
        <v>7.78752E-3</v>
      </c>
      <c r="Q11" s="798">
        <v>1</v>
      </c>
      <c r="R11" s="797">
        <v>1.3000688016831126</v>
      </c>
      <c r="S11" s="517" t="s">
        <v>1821</v>
      </c>
      <c r="T11" s="796"/>
      <c r="U11" s="796"/>
      <c r="V11" s="795" t="s">
        <v>1820</v>
      </c>
      <c r="W11" s="794" t="s">
        <v>1692</v>
      </c>
      <c r="X11" s="794">
        <v>12.91</v>
      </c>
      <c r="Y11" s="794">
        <v>9.9499999999999993</v>
      </c>
      <c r="Z11" s="794"/>
      <c r="AA11" s="794"/>
      <c r="AB11" s="794"/>
      <c r="AC11" s="794">
        <v>7.78752E-3</v>
      </c>
      <c r="AD11" s="795" t="s">
        <v>1733</v>
      </c>
    </row>
    <row r="12" spans="1:30">
      <c r="A12" s="808">
        <v>5902</v>
      </c>
      <c r="B12" s="807" t="s">
        <v>525</v>
      </c>
      <c r="C12" s="806"/>
      <c r="D12" s="809">
        <v>5</v>
      </c>
      <c r="E12" s="804" t="s">
        <v>402</v>
      </c>
      <c r="F12" s="509" t="s">
        <v>1244</v>
      </c>
      <c r="G12" s="801" t="s">
        <v>521</v>
      </c>
      <c r="H12" s="803" t="s">
        <v>402</v>
      </c>
      <c r="I12" s="803" t="s">
        <v>402</v>
      </c>
      <c r="J12" s="802">
        <v>0</v>
      </c>
      <c r="K12" s="801" t="s">
        <v>395</v>
      </c>
      <c r="L12" s="799">
        <v>5.1200000000000002E-2</v>
      </c>
      <c r="M12" s="798">
        <v>1</v>
      </c>
      <c r="N12" s="797">
        <v>1.3000688016831126</v>
      </c>
      <c r="O12" s="800" t="s">
        <v>1819</v>
      </c>
      <c r="P12" s="799">
        <v>7.145E-2</v>
      </c>
      <c r="Q12" s="798">
        <v>1</v>
      </c>
      <c r="R12" s="797">
        <v>1.3000688016831126</v>
      </c>
      <c r="S12" s="517" t="s">
        <v>1819</v>
      </c>
      <c r="T12" s="796"/>
      <c r="U12" s="796"/>
      <c r="V12" s="795" t="s">
        <v>1786</v>
      </c>
      <c r="W12" s="794" t="s">
        <v>1692</v>
      </c>
      <c r="X12" s="794">
        <v>51.2</v>
      </c>
      <c r="Y12" s="794">
        <v>71.45</v>
      </c>
      <c r="Z12" s="794"/>
      <c r="AA12" s="794"/>
      <c r="AB12" s="794"/>
      <c r="AC12" s="794"/>
      <c r="AD12" s="795" t="s">
        <v>1691</v>
      </c>
    </row>
    <row r="13" spans="1:30" ht="24">
      <c r="A13" s="808">
        <v>4850</v>
      </c>
      <c r="B13" s="807" t="s">
        <v>525</v>
      </c>
      <c r="C13" s="806"/>
      <c r="D13" s="809">
        <v>5</v>
      </c>
      <c r="E13" s="804" t="s">
        <v>402</v>
      </c>
      <c r="F13" s="509" t="s">
        <v>1241</v>
      </c>
      <c r="G13" s="801" t="s">
        <v>521</v>
      </c>
      <c r="H13" s="803" t="s">
        <v>402</v>
      </c>
      <c r="I13" s="803" t="s">
        <v>402</v>
      </c>
      <c r="J13" s="802">
        <v>0</v>
      </c>
      <c r="K13" s="801" t="s">
        <v>395</v>
      </c>
      <c r="L13" s="799">
        <v>6.084E-3</v>
      </c>
      <c r="M13" s="798">
        <v>1</v>
      </c>
      <c r="N13" s="797">
        <v>1.3000688016831126</v>
      </c>
      <c r="O13" s="800" t="s">
        <v>1818</v>
      </c>
      <c r="P13" s="799">
        <v>6.084E-3</v>
      </c>
      <c r="Q13" s="798">
        <v>1</v>
      </c>
      <c r="R13" s="797">
        <v>1.3000688016831126</v>
      </c>
      <c r="S13" s="517" t="s">
        <v>1818</v>
      </c>
      <c r="T13" s="796"/>
      <c r="U13" s="796"/>
      <c r="V13" s="795" t="s">
        <v>1783</v>
      </c>
      <c r="W13" s="794" t="s">
        <v>1692</v>
      </c>
      <c r="X13" s="794">
        <v>64</v>
      </c>
      <c r="Y13" s="794">
        <v>86.7</v>
      </c>
      <c r="Z13" s="794"/>
      <c r="AA13" s="794"/>
      <c r="AB13" s="794"/>
      <c r="AC13" s="794">
        <v>6.084E-3</v>
      </c>
      <c r="AD13" s="795" t="s">
        <v>1733</v>
      </c>
    </row>
    <row r="14" spans="1:30" ht="24">
      <c r="A14" s="808">
        <v>825</v>
      </c>
      <c r="B14" s="807" t="s">
        <v>525</v>
      </c>
      <c r="C14" s="806"/>
      <c r="D14" s="809">
        <v>5</v>
      </c>
      <c r="E14" s="804" t="s">
        <v>402</v>
      </c>
      <c r="F14" s="509" t="s">
        <v>1213</v>
      </c>
      <c r="G14" s="801" t="s">
        <v>51</v>
      </c>
      <c r="H14" s="803" t="s">
        <v>402</v>
      </c>
      <c r="I14" s="803" t="s">
        <v>402</v>
      </c>
      <c r="J14" s="802">
        <v>0</v>
      </c>
      <c r="K14" s="801" t="s">
        <v>395</v>
      </c>
      <c r="L14" s="799">
        <v>2.3995296000000002E-4</v>
      </c>
      <c r="M14" s="798">
        <v>1</v>
      </c>
      <c r="N14" s="797">
        <v>1.3000688016831126</v>
      </c>
      <c r="O14" s="800" t="s">
        <v>1817</v>
      </c>
      <c r="P14" s="799">
        <v>2.3995296000000002E-4</v>
      </c>
      <c r="Q14" s="798">
        <v>1</v>
      </c>
      <c r="R14" s="797">
        <v>1.3000688016831126</v>
      </c>
      <c r="S14" s="517" t="s">
        <v>1817</v>
      </c>
      <c r="T14" s="796"/>
      <c r="U14" s="796"/>
      <c r="V14" s="795" t="s">
        <v>1608</v>
      </c>
      <c r="W14" s="794" t="s">
        <v>1692</v>
      </c>
      <c r="X14" s="794">
        <v>0.4</v>
      </c>
      <c r="Y14" s="794">
        <v>0.45</v>
      </c>
      <c r="Z14" s="794"/>
      <c r="AA14" s="794"/>
      <c r="AB14" s="794"/>
      <c r="AC14" s="794">
        <v>2.3995296000000002E-4</v>
      </c>
      <c r="AD14" s="795" t="s">
        <v>1733</v>
      </c>
    </row>
    <row r="15" spans="1:30" ht="24">
      <c r="A15" s="808">
        <v>1216</v>
      </c>
      <c r="B15" s="807" t="s">
        <v>525</v>
      </c>
      <c r="C15" s="806"/>
      <c r="D15" s="809">
        <v>5</v>
      </c>
      <c r="E15" s="804" t="s">
        <v>402</v>
      </c>
      <c r="F15" s="509" t="s">
        <v>1168</v>
      </c>
      <c r="G15" s="801" t="s">
        <v>521</v>
      </c>
      <c r="H15" s="803" t="s">
        <v>402</v>
      </c>
      <c r="I15" s="803" t="s">
        <v>402</v>
      </c>
      <c r="J15" s="802">
        <v>0</v>
      </c>
      <c r="K15" s="801" t="s">
        <v>395</v>
      </c>
      <c r="L15" s="799">
        <v>1.6499808E-4</v>
      </c>
      <c r="M15" s="798">
        <v>1</v>
      </c>
      <c r="N15" s="797">
        <v>1.3000688016831126</v>
      </c>
      <c r="O15" s="800" t="s">
        <v>1816</v>
      </c>
      <c r="P15" s="799">
        <v>1.6499808E-4</v>
      </c>
      <c r="Q15" s="798">
        <v>1</v>
      </c>
      <c r="R15" s="797">
        <v>1.3000688016831126</v>
      </c>
      <c r="S15" s="517" t="s">
        <v>1816</v>
      </c>
      <c r="T15" s="796"/>
      <c r="U15" s="796"/>
      <c r="V15" s="795" t="s">
        <v>1815</v>
      </c>
      <c r="W15" s="794" t="s">
        <v>1692</v>
      </c>
      <c r="X15" s="794">
        <v>0.4</v>
      </c>
      <c r="Y15" s="794">
        <v>0.18</v>
      </c>
      <c r="Z15" s="794"/>
      <c r="AA15" s="794"/>
      <c r="AB15" s="794"/>
      <c r="AC15" s="794">
        <v>1.6499808E-4</v>
      </c>
      <c r="AD15" s="795" t="s">
        <v>1733</v>
      </c>
    </row>
    <row r="16" spans="1:30" ht="36">
      <c r="A16" s="808">
        <v>1280</v>
      </c>
      <c r="B16" s="807" t="s">
        <v>525</v>
      </c>
      <c r="C16" s="806"/>
      <c r="D16" s="809">
        <v>5</v>
      </c>
      <c r="E16" s="804" t="s">
        <v>402</v>
      </c>
      <c r="F16" s="509" t="s">
        <v>1173</v>
      </c>
      <c r="G16" s="801" t="s">
        <v>521</v>
      </c>
      <c r="H16" s="803" t="s">
        <v>402</v>
      </c>
      <c r="I16" s="803" t="s">
        <v>402</v>
      </c>
      <c r="J16" s="802">
        <v>0</v>
      </c>
      <c r="K16" s="801" t="s">
        <v>395</v>
      </c>
      <c r="L16" s="799">
        <v>5.0132160000000005E-5</v>
      </c>
      <c r="M16" s="798">
        <v>1</v>
      </c>
      <c r="N16" s="797">
        <v>1.3000688016831126</v>
      </c>
      <c r="O16" s="800" t="s">
        <v>1765</v>
      </c>
      <c r="P16" s="799">
        <v>5.0132160000000005E-5</v>
      </c>
      <c r="Q16" s="798">
        <v>1</v>
      </c>
      <c r="R16" s="797">
        <v>1.3000688016831126</v>
      </c>
      <c r="S16" s="517" t="s">
        <v>1765</v>
      </c>
      <c r="T16" s="796"/>
      <c r="U16" s="796"/>
      <c r="V16" s="795" t="s">
        <v>1764</v>
      </c>
      <c r="W16" s="794" t="s">
        <v>1692</v>
      </c>
      <c r="X16" s="794">
        <v>0.04</v>
      </c>
      <c r="Y16" s="794">
        <v>0.43</v>
      </c>
      <c r="Z16" s="794"/>
      <c r="AA16" s="794"/>
      <c r="AB16" s="794"/>
      <c r="AC16" s="794">
        <v>5.0132160000000005E-5</v>
      </c>
      <c r="AD16" s="795" t="s">
        <v>1733</v>
      </c>
    </row>
    <row r="17" spans="1:30">
      <c r="A17" s="808">
        <v>1289</v>
      </c>
      <c r="B17" s="807" t="s">
        <v>525</v>
      </c>
      <c r="C17" s="806"/>
      <c r="D17" s="809">
        <v>5</v>
      </c>
      <c r="E17" s="804" t="s">
        <v>402</v>
      </c>
      <c r="F17" s="509" t="s">
        <v>1285</v>
      </c>
      <c r="G17" s="801" t="s">
        <v>521</v>
      </c>
      <c r="H17" s="803" t="s">
        <v>402</v>
      </c>
      <c r="I17" s="803" t="s">
        <v>402</v>
      </c>
      <c r="J17" s="802">
        <v>0</v>
      </c>
      <c r="K17" s="801" t="s">
        <v>395</v>
      </c>
      <c r="L17" s="799">
        <v>0</v>
      </c>
      <c r="M17" s="798">
        <v>1</v>
      </c>
      <c r="N17" s="797">
        <v>1.3000688016831126</v>
      </c>
      <c r="O17" s="800" t="s">
        <v>1814</v>
      </c>
      <c r="P17" s="799">
        <v>5.9999999999999995E-5</v>
      </c>
      <c r="Q17" s="798">
        <v>1</v>
      </c>
      <c r="R17" s="797">
        <v>1.3000688016831126</v>
      </c>
      <c r="S17" s="517" t="s">
        <v>1814</v>
      </c>
      <c r="T17" s="796"/>
      <c r="U17" s="796"/>
      <c r="V17" s="795" t="s">
        <v>1813</v>
      </c>
      <c r="W17" s="794" t="s">
        <v>1692</v>
      </c>
      <c r="X17" s="794">
        <v>0</v>
      </c>
      <c r="Y17" s="794">
        <v>0.06</v>
      </c>
      <c r="Z17" s="794"/>
      <c r="AA17" s="794"/>
      <c r="AB17" s="794"/>
      <c r="AC17" s="794"/>
      <c r="AD17" s="795" t="s">
        <v>1691</v>
      </c>
    </row>
    <row r="18" spans="1:30">
      <c r="A18" s="808">
        <v>1777</v>
      </c>
      <c r="B18" s="807" t="s">
        <v>525</v>
      </c>
      <c r="C18" s="806"/>
      <c r="D18" s="809">
        <v>5</v>
      </c>
      <c r="E18" s="804" t="s">
        <v>402</v>
      </c>
      <c r="F18" s="509" t="s">
        <v>1108</v>
      </c>
      <c r="G18" s="801" t="s">
        <v>521</v>
      </c>
      <c r="H18" s="803" t="s">
        <v>402</v>
      </c>
      <c r="I18" s="803" t="s">
        <v>402</v>
      </c>
      <c r="J18" s="802">
        <v>0</v>
      </c>
      <c r="K18" s="801" t="s">
        <v>395</v>
      </c>
      <c r="L18" s="799">
        <v>3.62E-3</v>
      </c>
      <c r="M18" s="798">
        <v>1</v>
      </c>
      <c r="N18" s="797">
        <v>1.3000688016831126</v>
      </c>
      <c r="O18" s="800" t="s">
        <v>1812</v>
      </c>
      <c r="P18" s="799">
        <v>6.4000000000000005E-4</v>
      </c>
      <c r="Q18" s="798">
        <v>1</v>
      </c>
      <c r="R18" s="797">
        <v>1.3000688016831126</v>
      </c>
      <c r="S18" s="517" t="s">
        <v>1812</v>
      </c>
      <c r="T18" s="796"/>
      <c r="U18" s="796"/>
      <c r="V18" s="795" t="s">
        <v>1811</v>
      </c>
      <c r="W18" s="794" t="s">
        <v>1692</v>
      </c>
      <c r="X18" s="794">
        <v>3.62</v>
      </c>
      <c r="Y18" s="794">
        <v>0.64</v>
      </c>
      <c r="Z18" s="794"/>
      <c r="AA18" s="794"/>
      <c r="AB18" s="794"/>
      <c r="AC18" s="794"/>
      <c r="AD18" s="795" t="s">
        <v>1691</v>
      </c>
    </row>
    <row r="19" spans="1:30">
      <c r="A19" s="808">
        <v>1929</v>
      </c>
      <c r="B19" s="807" t="s">
        <v>525</v>
      </c>
      <c r="C19" s="806"/>
      <c r="D19" s="809">
        <v>5</v>
      </c>
      <c r="E19" s="804" t="s">
        <v>402</v>
      </c>
      <c r="F19" s="509" t="s">
        <v>1810</v>
      </c>
      <c r="G19" s="801" t="s">
        <v>521</v>
      </c>
      <c r="H19" s="803" t="s">
        <v>402</v>
      </c>
      <c r="I19" s="803" t="s">
        <v>402</v>
      </c>
      <c r="J19" s="802">
        <v>0</v>
      </c>
      <c r="K19" s="801" t="s">
        <v>395</v>
      </c>
      <c r="L19" s="799">
        <v>2.2000000000000001E-4</v>
      </c>
      <c r="M19" s="798">
        <v>1</v>
      </c>
      <c r="N19" s="797">
        <v>1.3000688016831126</v>
      </c>
      <c r="O19" s="800" t="s">
        <v>1809</v>
      </c>
      <c r="P19" s="799">
        <v>6.8000000000000005E-4</v>
      </c>
      <c r="Q19" s="798">
        <v>1</v>
      </c>
      <c r="R19" s="797">
        <v>1.3000688016831126</v>
      </c>
      <c r="S19" s="517" t="s">
        <v>1809</v>
      </c>
      <c r="T19" s="796"/>
      <c r="U19" s="796"/>
      <c r="V19" s="795" t="s">
        <v>9</v>
      </c>
      <c r="W19" s="794" t="s">
        <v>1692</v>
      </c>
      <c r="X19" s="794">
        <v>0.22</v>
      </c>
      <c r="Y19" s="794">
        <v>0.68</v>
      </c>
      <c r="Z19" s="794"/>
      <c r="AA19" s="794"/>
      <c r="AB19" s="794"/>
      <c r="AC19" s="794"/>
      <c r="AD19" s="795" t="s">
        <v>1691</v>
      </c>
    </row>
    <row r="20" spans="1:30">
      <c r="A20" s="808">
        <v>6319</v>
      </c>
      <c r="B20" s="807" t="s">
        <v>525</v>
      </c>
      <c r="C20" s="806"/>
      <c r="D20" s="805">
        <v>5</v>
      </c>
      <c r="E20" s="804" t="s">
        <v>402</v>
      </c>
      <c r="F20" s="509" t="s">
        <v>1287</v>
      </c>
      <c r="G20" s="801" t="s">
        <v>521</v>
      </c>
      <c r="H20" s="803" t="s">
        <v>402</v>
      </c>
      <c r="I20" s="803" t="s">
        <v>402</v>
      </c>
      <c r="J20" s="802">
        <v>0</v>
      </c>
      <c r="K20" s="801" t="s">
        <v>395</v>
      </c>
      <c r="L20" s="799">
        <v>2.0000000000000002E-5</v>
      </c>
      <c r="M20" s="798">
        <v>1</v>
      </c>
      <c r="N20" s="797">
        <v>1.3000688016831126</v>
      </c>
      <c r="O20" s="800" t="s">
        <v>1808</v>
      </c>
      <c r="P20" s="799">
        <v>2.0000000000000002E-5</v>
      </c>
      <c r="Q20" s="798">
        <v>1</v>
      </c>
      <c r="R20" s="797">
        <v>1.3000688016831126</v>
      </c>
      <c r="S20" s="517" t="s">
        <v>1808</v>
      </c>
      <c r="T20" s="796"/>
      <c r="U20" s="796"/>
      <c r="V20" s="795" t="s">
        <v>1807</v>
      </c>
      <c r="W20" s="794" t="s">
        <v>1692</v>
      </c>
      <c r="X20" s="794">
        <v>0.02</v>
      </c>
      <c r="Y20" s="794">
        <v>0.02</v>
      </c>
      <c r="Z20" s="794"/>
      <c r="AA20" s="794"/>
      <c r="AB20" s="794"/>
      <c r="AC20" s="794"/>
      <c r="AD20" s="795" t="s">
        <v>1691</v>
      </c>
    </row>
    <row r="21" spans="1:30" s="849" customFormat="1" ht="36">
      <c r="A21" s="866">
        <v>1129</v>
      </c>
      <c r="B21" s="865" t="s">
        <v>525</v>
      </c>
      <c r="C21" s="864"/>
      <c r="D21" s="863">
        <v>5</v>
      </c>
      <c r="E21" s="862" t="s">
        <v>402</v>
      </c>
      <c r="F21" s="861" t="s">
        <v>1806</v>
      </c>
      <c r="G21" s="858" t="s">
        <v>521</v>
      </c>
      <c r="H21" s="860" t="s">
        <v>402</v>
      </c>
      <c r="I21" s="860" t="s">
        <v>402</v>
      </c>
      <c r="J21" s="859">
        <v>0</v>
      </c>
      <c r="K21" s="858" t="s">
        <v>395</v>
      </c>
      <c r="L21" s="856">
        <v>1.58184E-2</v>
      </c>
      <c r="M21" s="855">
        <v>1</v>
      </c>
      <c r="N21" s="854">
        <v>1.3000688016831126</v>
      </c>
      <c r="O21" s="857" t="s">
        <v>1805</v>
      </c>
      <c r="P21" s="856">
        <v>1.58184E-2</v>
      </c>
      <c r="Q21" s="855">
        <v>1</v>
      </c>
      <c r="R21" s="854">
        <v>1.3000688016831126</v>
      </c>
      <c r="S21" s="853" t="s">
        <v>1805</v>
      </c>
      <c r="T21" s="852"/>
      <c r="U21" s="852"/>
      <c r="V21" s="850" t="s">
        <v>1804</v>
      </c>
      <c r="W21" s="851"/>
      <c r="X21" s="851"/>
      <c r="Y21" s="851"/>
      <c r="Z21" s="851"/>
      <c r="AA21" s="851"/>
      <c r="AB21" s="851"/>
      <c r="AC21" s="851">
        <v>1.58184E-2</v>
      </c>
      <c r="AD21" s="850" t="s">
        <v>1733</v>
      </c>
    </row>
    <row r="22" spans="1:30" s="849" customFormat="1" ht="36">
      <c r="A22" s="866">
        <v>1154</v>
      </c>
      <c r="B22" s="865"/>
      <c r="C22" s="864"/>
      <c r="D22" s="863">
        <v>5</v>
      </c>
      <c r="E22" s="862" t="s">
        <v>402</v>
      </c>
      <c r="F22" s="861" t="s">
        <v>58</v>
      </c>
      <c r="G22" s="858" t="s">
        <v>521</v>
      </c>
      <c r="H22" s="860" t="s">
        <v>402</v>
      </c>
      <c r="I22" s="860" t="s">
        <v>402</v>
      </c>
      <c r="J22" s="859">
        <v>0</v>
      </c>
      <c r="K22" s="858" t="s">
        <v>395</v>
      </c>
      <c r="L22" s="856">
        <v>1.58184E-2</v>
      </c>
      <c r="M22" s="855">
        <v>1</v>
      </c>
      <c r="N22" s="854">
        <v>1.3000688016831126</v>
      </c>
      <c r="O22" s="857" t="s">
        <v>1805</v>
      </c>
      <c r="P22" s="856">
        <v>1.58184E-2</v>
      </c>
      <c r="Q22" s="855">
        <v>1</v>
      </c>
      <c r="R22" s="854">
        <v>1.3000688016831126</v>
      </c>
      <c r="S22" s="853" t="s">
        <v>1805</v>
      </c>
      <c r="T22" s="852"/>
      <c r="U22" s="852"/>
      <c r="V22" s="850" t="s">
        <v>1804</v>
      </c>
      <c r="W22" s="851"/>
      <c r="X22" s="851"/>
      <c r="Y22" s="851"/>
      <c r="Z22" s="851"/>
      <c r="AA22" s="851"/>
      <c r="AB22" s="851"/>
      <c r="AC22" s="851">
        <v>1.58184E-2</v>
      </c>
      <c r="AD22" s="850" t="s">
        <v>1733</v>
      </c>
    </row>
    <row r="23" spans="1:30" s="849" customFormat="1" ht="36">
      <c r="A23" s="866">
        <v>2734</v>
      </c>
      <c r="B23" s="865" t="s">
        <v>525</v>
      </c>
      <c r="C23" s="864"/>
      <c r="D23" s="863">
        <v>5</v>
      </c>
      <c r="E23" s="862" t="s">
        <v>402</v>
      </c>
      <c r="F23" s="861" t="s">
        <v>1803</v>
      </c>
      <c r="G23" s="858" t="s">
        <v>521</v>
      </c>
      <c r="H23" s="860" t="s">
        <v>402</v>
      </c>
      <c r="I23" s="860" t="s">
        <v>402</v>
      </c>
      <c r="J23" s="859">
        <v>0</v>
      </c>
      <c r="K23" s="858" t="s">
        <v>395</v>
      </c>
      <c r="L23" s="856">
        <v>4.5995039999999999E-5</v>
      </c>
      <c r="M23" s="855">
        <v>1</v>
      </c>
      <c r="N23" s="854">
        <v>1.3000688016831126</v>
      </c>
      <c r="O23" s="857" t="s">
        <v>1802</v>
      </c>
      <c r="P23" s="856">
        <v>4.5995039999999999E-5</v>
      </c>
      <c r="Q23" s="855">
        <v>1</v>
      </c>
      <c r="R23" s="854">
        <v>1.3000688016831126</v>
      </c>
      <c r="S23" s="853" t="s">
        <v>1802</v>
      </c>
      <c r="T23" s="852"/>
      <c r="U23" s="852"/>
      <c r="V23" s="850" t="s">
        <v>1801</v>
      </c>
      <c r="W23" s="851"/>
      <c r="X23" s="851"/>
      <c r="Y23" s="851"/>
      <c r="Z23" s="851"/>
      <c r="AA23" s="851"/>
      <c r="AB23" s="851"/>
      <c r="AC23" s="851">
        <v>4.5995039999999999E-5</v>
      </c>
      <c r="AD23" s="850" t="s">
        <v>1733</v>
      </c>
    </row>
    <row r="24" spans="1:30" s="849" customFormat="1" ht="36">
      <c r="A24" s="866">
        <v>33079</v>
      </c>
      <c r="B24" s="865" t="s">
        <v>525</v>
      </c>
      <c r="C24" s="864"/>
      <c r="D24" s="863">
        <v>5</v>
      </c>
      <c r="E24" s="862" t="s">
        <v>402</v>
      </c>
      <c r="F24" s="861" t="s">
        <v>1246</v>
      </c>
      <c r="G24" s="858" t="s">
        <v>521</v>
      </c>
      <c r="H24" s="860" t="s">
        <v>402</v>
      </c>
      <c r="I24" s="860" t="s">
        <v>402</v>
      </c>
      <c r="J24" s="859">
        <v>0</v>
      </c>
      <c r="K24" s="858" t="s">
        <v>395</v>
      </c>
      <c r="L24" s="856">
        <v>6.4003680000000002E-4</v>
      </c>
      <c r="M24" s="855">
        <v>1</v>
      </c>
      <c r="N24" s="854">
        <v>1.3000688016831126</v>
      </c>
      <c r="O24" s="857" t="s">
        <v>1800</v>
      </c>
      <c r="P24" s="856">
        <v>6.4003680000000002E-4</v>
      </c>
      <c r="Q24" s="855">
        <v>1</v>
      </c>
      <c r="R24" s="854">
        <v>1.3000688016831126</v>
      </c>
      <c r="S24" s="853" t="s">
        <v>1800</v>
      </c>
      <c r="T24" s="852"/>
      <c r="U24" s="852"/>
      <c r="V24" s="850" t="s">
        <v>1799</v>
      </c>
      <c r="W24" s="851"/>
      <c r="X24" s="851"/>
      <c r="Y24" s="851"/>
      <c r="Z24" s="851"/>
      <c r="AA24" s="851"/>
      <c r="AB24" s="851"/>
      <c r="AC24" s="851">
        <v>6.4003680000000002E-4</v>
      </c>
      <c r="AD24" s="850" t="s">
        <v>1733</v>
      </c>
    </row>
    <row r="25" spans="1:30" s="849" customFormat="1" ht="36">
      <c r="A25" s="866">
        <v>1239</v>
      </c>
      <c r="B25" s="865" t="s">
        <v>525</v>
      </c>
      <c r="C25" s="864"/>
      <c r="D25" s="863">
        <v>5</v>
      </c>
      <c r="E25" s="862" t="s">
        <v>402</v>
      </c>
      <c r="F25" s="861" t="s">
        <v>1215</v>
      </c>
      <c r="G25" s="858" t="s">
        <v>521</v>
      </c>
      <c r="H25" s="860" t="s">
        <v>402</v>
      </c>
      <c r="I25" s="860" t="s">
        <v>402</v>
      </c>
      <c r="J25" s="859">
        <v>0</v>
      </c>
      <c r="K25" s="858" t="s">
        <v>395</v>
      </c>
      <c r="L25" s="856">
        <v>7.7996880000000008E-4</v>
      </c>
      <c r="M25" s="855">
        <v>1</v>
      </c>
      <c r="N25" s="854">
        <v>1.3000688016831126</v>
      </c>
      <c r="O25" s="857" t="s">
        <v>1798</v>
      </c>
      <c r="P25" s="856">
        <v>7.7996880000000008E-4</v>
      </c>
      <c r="Q25" s="855">
        <v>1</v>
      </c>
      <c r="R25" s="854">
        <v>1.3000688016831126</v>
      </c>
      <c r="S25" s="853" t="s">
        <v>1798</v>
      </c>
      <c r="T25" s="852"/>
      <c r="U25" s="852"/>
      <c r="V25" s="850" t="s">
        <v>1797</v>
      </c>
      <c r="W25" s="851"/>
      <c r="X25" s="851"/>
      <c r="Y25" s="851"/>
      <c r="Z25" s="851"/>
      <c r="AA25" s="851"/>
      <c r="AB25" s="851"/>
      <c r="AC25" s="851">
        <v>7.7996880000000008E-4</v>
      </c>
      <c r="AD25" s="850" t="s">
        <v>1733</v>
      </c>
    </row>
    <row r="26" spans="1:30" s="849" customFormat="1" ht="36">
      <c r="A26" s="866">
        <v>2757</v>
      </c>
      <c r="B26" s="865" t="s">
        <v>525</v>
      </c>
      <c r="C26" s="864"/>
      <c r="D26" s="863">
        <v>5</v>
      </c>
      <c r="E26" s="862" t="s">
        <v>402</v>
      </c>
      <c r="F26" s="861" t="s">
        <v>1216</v>
      </c>
      <c r="G26" s="858" t="s">
        <v>521</v>
      </c>
      <c r="H26" s="860" t="s">
        <v>402</v>
      </c>
      <c r="I26" s="860" t="s">
        <v>402</v>
      </c>
      <c r="J26" s="859">
        <v>0</v>
      </c>
      <c r="K26" s="858" t="s">
        <v>395</v>
      </c>
      <c r="L26" s="856">
        <v>5.3904240000000002E-4</v>
      </c>
      <c r="M26" s="855">
        <v>1</v>
      </c>
      <c r="N26" s="854">
        <v>1.3000688016831126</v>
      </c>
      <c r="O26" s="857" t="s">
        <v>1796</v>
      </c>
      <c r="P26" s="856">
        <v>5.3904240000000002E-4</v>
      </c>
      <c r="Q26" s="855">
        <v>1</v>
      </c>
      <c r="R26" s="854">
        <v>1.3000688016831126</v>
      </c>
      <c r="S26" s="853" t="s">
        <v>1796</v>
      </c>
      <c r="T26" s="852"/>
      <c r="U26" s="852"/>
      <c r="V26" s="850" t="s">
        <v>1795</v>
      </c>
      <c r="W26" s="851"/>
      <c r="X26" s="851"/>
      <c r="Y26" s="851"/>
      <c r="Z26" s="851"/>
      <c r="AA26" s="851"/>
      <c r="AB26" s="851"/>
      <c r="AC26" s="851">
        <v>5.3904240000000002E-4</v>
      </c>
      <c r="AD26" s="850" t="s">
        <v>1733</v>
      </c>
    </row>
    <row r="27" spans="1:30" s="849" customFormat="1" ht="24">
      <c r="A27" s="866">
        <v>2929</v>
      </c>
      <c r="B27" s="865" t="s">
        <v>525</v>
      </c>
      <c r="C27" s="864"/>
      <c r="D27" s="863">
        <v>5</v>
      </c>
      <c r="E27" s="862" t="s">
        <v>402</v>
      </c>
      <c r="F27" s="861" t="s">
        <v>1086</v>
      </c>
      <c r="G27" s="858" t="s">
        <v>521</v>
      </c>
      <c r="H27" s="860" t="s">
        <v>402</v>
      </c>
      <c r="I27" s="860" t="s">
        <v>402</v>
      </c>
      <c r="J27" s="859">
        <v>0</v>
      </c>
      <c r="K27" s="858" t="s">
        <v>395</v>
      </c>
      <c r="L27" s="856">
        <v>9.6905952000000007E-4</v>
      </c>
      <c r="M27" s="855">
        <v>1</v>
      </c>
      <c r="N27" s="854">
        <v>1.3000688016831126</v>
      </c>
      <c r="O27" s="857" t="s">
        <v>1794</v>
      </c>
      <c r="P27" s="856">
        <v>9.6905952000000007E-4</v>
      </c>
      <c r="Q27" s="855">
        <v>1</v>
      </c>
      <c r="R27" s="854">
        <v>1.3000688016831126</v>
      </c>
      <c r="S27" s="853" t="s">
        <v>1794</v>
      </c>
      <c r="T27" s="796">
        <v>117.52136752136752</v>
      </c>
      <c r="U27" s="796">
        <v>54.240631163708088</v>
      </c>
      <c r="V27" s="850" t="s">
        <v>1793</v>
      </c>
      <c r="W27" s="851"/>
      <c r="X27" s="851"/>
      <c r="Y27" s="851"/>
      <c r="Z27" s="851"/>
      <c r="AA27" s="851"/>
      <c r="AB27" s="851"/>
      <c r="AC27" s="851">
        <v>9.6905952000000007E-4</v>
      </c>
      <c r="AD27" s="850" t="s">
        <v>1733</v>
      </c>
    </row>
    <row r="28" spans="1:30" s="849" customFormat="1" ht="36">
      <c r="A28" s="866">
        <v>1103</v>
      </c>
      <c r="B28" s="865" t="s">
        <v>525</v>
      </c>
      <c r="C28" s="864"/>
      <c r="D28" s="863">
        <v>5</v>
      </c>
      <c r="E28" s="862" t="s">
        <v>402</v>
      </c>
      <c r="F28" s="861" t="s">
        <v>1083</v>
      </c>
      <c r="G28" s="858" t="s">
        <v>268</v>
      </c>
      <c r="H28" s="860" t="s">
        <v>402</v>
      </c>
      <c r="I28" s="860" t="s">
        <v>402</v>
      </c>
      <c r="J28" s="859">
        <v>0</v>
      </c>
      <c r="K28" s="858" t="s">
        <v>395</v>
      </c>
      <c r="L28" s="856">
        <v>3.89376E-3</v>
      </c>
      <c r="M28" s="855">
        <v>1</v>
      </c>
      <c r="N28" s="854">
        <v>1.3000688016831126</v>
      </c>
      <c r="O28" s="857" t="s">
        <v>1792</v>
      </c>
      <c r="P28" s="856">
        <v>3.89376E-3</v>
      </c>
      <c r="Q28" s="855">
        <v>1</v>
      </c>
      <c r="R28" s="854">
        <v>1.3000688016831126</v>
      </c>
      <c r="S28" s="853" t="s">
        <v>1792</v>
      </c>
      <c r="T28" s="852"/>
      <c r="U28" s="852"/>
      <c r="V28" s="850" t="s">
        <v>1791</v>
      </c>
      <c r="W28" s="851"/>
      <c r="X28" s="851"/>
      <c r="Y28" s="851"/>
      <c r="Z28" s="851"/>
      <c r="AA28" s="851"/>
      <c r="AB28" s="851"/>
      <c r="AC28" s="851">
        <v>3.89376E-3</v>
      </c>
      <c r="AD28" s="850" t="s">
        <v>1733</v>
      </c>
    </row>
    <row r="29" spans="1:30" ht="48">
      <c r="A29" s="808">
        <v>32004</v>
      </c>
      <c r="B29" s="807" t="s">
        <v>525</v>
      </c>
      <c r="C29" s="806"/>
      <c r="D29" s="805">
        <v>5</v>
      </c>
      <c r="E29" s="804" t="s">
        <v>402</v>
      </c>
      <c r="F29" s="509" t="s">
        <v>1133</v>
      </c>
      <c r="G29" s="801" t="s">
        <v>1105</v>
      </c>
      <c r="H29" s="803" t="s">
        <v>402</v>
      </c>
      <c r="I29" s="803" t="s">
        <v>402</v>
      </c>
      <c r="J29" s="802">
        <v>0</v>
      </c>
      <c r="K29" s="801" t="s">
        <v>678</v>
      </c>
      <c r="L29" s="799">
        <v>0.68591015999999994</v>
      </c>
      <c r="M29" s="798">
        <v>1</v>
      </c>
      <c r="N29" s="797">
        <v>1.3000688016831126</v>
      </c>
      <c r="O29" s="800" t="s">
        <v>1790</v>
      </c>
      <c r="P29" s="799">
        <v>0.372</v>
      </c>
      <c r="Q29" s="798">
        <v>1</v>
      </c>
      <c r="R29" s="797">
        <v>1.3000688016831126</v>
      </c>
      <c r="S29" s="517" t="s">
        <v>1790</v>
      </c>
      <c r="T29" s="796">
        <v>28.184999999999999</v>
      </c>
      <c r="U29" s="796">
        <v>15.285996055226825</v>
      </c>
      <c r="V29" s="795" t="s">
        <v>1707</v>
      </c>
      <c r="W29" s="794" t="s">
        <v>678</v>
      </c>
      <c r="X29" s="794">
        <v>2.86</v>
      </c>
      <c r="Y29" s="794">
        <v>1.32</v>
      </c>
      <c r="Z29" s="794">
        <v>1.24</v>
      </c>
      <c r="AA29" s="794">
        <v>0.372</v>
      </c>
      <c r="AB29" s="794">
        <v>0.63043478260869568</v>
      </c>
      <c r="AC29" s="794">
        <v>0.68591015999999994</v>
      </c>
      <c r="AD29" s="795" t="s">
        <v>1789</v>
      </c>
    </row>
    <row r="30" spans="1:30" ht="60">
      <c r="A30" s="808">
        <v>3093</v>
      </c>
      <c r="B30" s="807" t="s">
        <v>1743</v>
      </c>
      <c r="C30" s="806"/>
      <c r="D30" s="804" t="s">
        <v>402</v>
      </c>
      <c r="E30" s="804">
        <v>4</v>
      </c>
      <c r="F30" s="509" t="s">
        <v>1788</v>
      </c>
      <c r="G30" s="801" t="s">
        <v>402</v>
      </c>
      <c r="H30" s="803" t="s">
        <v>211</v>
      </c>
      <c r="I30" s="803" t="s">
        <v>686</v>
      </c>
      <c r="J30" s="802" t="s">
        <v>402</v>
      </c>
      <c r="K30" s="801" t="s">
        <v>395</v>
      </c>
      <c r="L30" s="799">
        <v>2.6526240000000003E-2</v>
      </c>
      <c r="M30" s="798">
        <v>1</v>
      </c>
      <c r="N30" s="797">
        <v>3.0909055800049732</v>
      </c>
      <c r="O30" s="800" t="s">
        <v>1787</v>
      </c>
      <c r="P30" s="799">
        <v>2.1440000000000001E-2</v>
      </c>
      <c r="Q30" s="798">
        <v>1</v>
      </c>
      <c r="R30" s="797">
        <v>3.0909055800049732</v>
      </c>
      <c r="S30" s="517" t="s">
        <v>1787</v>
      </c>
      <c r="T30" s="796"/>
      <c r="U30" s="796"/>
      <c r="V30" s="795" t="s">
        <v>1786</v>
      </c>
      <c r="W30" s="794" t="s">
        <v>1692</v>
      </c>
      <c r="X30" s="794">
        <v>15.36</v>
      </c>
      <c r="Y30" s="794">
        <v>21.44</v>
      </c>
      <c r="Z30" s="794"/>
      <c r="AA30" s="794"/>
      <c r="AB30" s="794"/>
      <c r="AC30" s="794">
        <v>2.6526240000000003E-2</v>
      </c>
      <c r="AD30" s="795" t="s">
        <v>1785</v>
      </c>
    </row>
    <row r="31" spans="1:30" ht="24">
      <c r="A31" s="808">
        <v>1043</v>
      </c>
      <c r="B31" s="807" t="s">
        <v>1705</v>
      </c>
      <c r="C31" s="806"/>
      <c r="D31" s="804" t="s">
        <v>402</v>
      </c>
      <c r="E31" s="804">
        <v>4</v>
      </c>
      <c r="F31" s="509" t="s">
        <v>1002</v>
      </c>
      <c r="G31" s="801" t="s">
        <v>402</v>
      </c>
      <c r="H31" s="803" t="s">
        <v>325</v>
      </c>
      <c r="I31" s="803" t="s">
        <v>686</v>
      </c>
      <c r="J31" s="802" t="s">
        <v>402</v>
      </c>
      <c r="K31" s="801" t="s">
        <v>395</v>
      </c>
      <c r="L31" s="799">
        <v>3.2000000000000001E-2</v>
      </c>
      <c r="M31" s="798">
        <v>1</v>
      </c>
      <c r="N31" s="797">
        <v>5.103675409230048</v>
      </c>
      <c r="O31" s="800" t="s">
        <v>1784</v>
      </c>
      <c r="P31" s="799">
        <v>4.335E-2</v>
      </c>
      <c r="Q31" s="798">
        <v>1</v>
      </c>
      <c r="R31" s="797">
        <v>5.103675409230048</v>
      </c>
      <c r="S31" s="517" t="s">
        <v>1784</v>
      </c>
      <c r="T31" s="796"/>
      <c r="U31" s="796"/>
      <c r="V31" s="795" t="s">
        <v>1783</v>
      </c>
      <c r="W31" s="794" t="s">
        <v>1692</v>
      </c>
      <c r="X31" s="794">
        <v>32</v>
      </c>
      <c r="Y31" s="794">
        <v>43.35</v>
      </c>
      <c r="Z31" s="794"/>
      <c r="AA31" s="794"/>
      <c r="AB31" s="794"/>
      <c r="AC31" s="794"/>
      <c r="AD31" s="795" t="s">
        <v>1691</v>
      </c>
    </row>
    <row r="32" spans="1:30" ht="24">
      <c r="A32" s="808">
        <v>2193</v>
      </c>
      <c r="B32" s="807" t="s">
        <v>1743</v>
      </c>
      <c r="C32" s="806"/>
      <c r="D32" s="804" t="s">
        <v>402</v>
      </c>
      <c r="E32" s="804">
        <v>4</v>
      </c>
      <c r="F32" s="509" t="s">
        <v>6</v>
      </c>
      <c r="G32" s="801" t="s">
        <v>402</v>
      </c>
      <c r="H32" s="803" t="s">
        <v>211</v>
      </c>
      <c r="I32" s="803" t="s">
        <v>686</v>
      </c>
      <c r="J32" s="802" t="s">
        <v>402</v>
      </c>
      <c r="K32" s="801" t="s">
        <v>395</v>
      </c>
      <c r="L32" s="799">
        <v>6.2056800000000005E-5</v>
      </c>
      <c r="M32" s="798">
        <v>1</v>
      </c>
      <c r="N32" s="797">
        <v>1.6168893782141394</v>
      </c>
      <c r="O32" s="800" t="s">
        <v>1782</v>
      </c>
      <c r="P32" s="799">
        <v>6.2056800000000005E-5</v>
      </c>
      <c r="Q32" s="798">
        <v>1</v>
      </c>
      <c r="R32" s="797">
        <v>1.6168893782141394</v>
      </c>
      <c r="S32" s="517" t="s">
        <v>1782</v>
      </c>
      <c r="T32" s="796"/>
      <c r="U32" s="796"/>
      <c r="V32" s="795" t="s">
        <v>1781</v>
      </c>
      <c r="W32" s="794" t="s">
        <v>1692</v>
      </c>
      <c r="X32" s="794">
        <v>0.8</v>
      </c>
      <c r="Y32" s="794">
        <v>0.9</v>
      </c>
      <c r="Z32" s="794"/>
      <c r="AA32" s="794"/>
      <c r="AB32" s="794"/>
      <c r="AC32" s="794">
        <v>6.2056800000000005E-5</v>
      </c>
      <c r="AD32" s="795" t="s">
        <v>1733</v>
      </c>
    </row>
    <row r="33" spans="1:30" ht="24">
      <c r="A33" s="808">
        <v>2085</v>
      </c>
      <c r="B33" s="807" t="s">
        <v>1743</v>
      </c>
      <c r="C33" s="806"/>
      <c r="D33" s="804" t="s">
        <v>402</v>
      </c>
      <c r="E33" s="804">
        <v>4</v>
      </c>
      <c r="F33" s="509" t="s">
        <v>213</v>
      </c>
      <c r="G33" s="801" t="s">
        <v>402</v>
      </c>
      <c r="H33" s="803" t="s">
        <v>211</v>
      </c>
      <c r="I33" s="803" t="s">
        <v>686</v>
      </c>
      <c r="J33" s="802" t="s">
        <v>402</v>
      </c>
      <c r="K33" s="801" t="s">
        <v>395</v>
      </c>
      <c r="L33" s="799">
        <v>1.1900304E-3</v>
      </c>
      <c r="M33" s="798">
        <v>1</v>
      </c>
      <c r="N33" s="797">
        <v>1.6168893782141394</v>
      </c>
      <c r="O33" s="800" t="s">
        <v>1742</v>
      </c>
      <c r="P33" s="799">
        <v>1.1900304E-3</v>
      </c>
      <c r="Q33" s="798">
        <v>1</v>
      </c>
      <c r="R33" s="797">
        <v>1.6168893782141394</v>
      </c>
      <c r="S33" s="517" t="s">
        <v>1742</v>
      </c>
      <c r="T33" s="796"/>
      <c r="U33" s="796"/>
      <c r="V33" s="795" t="s">
        <v>1741</v>
      </c>
      <c r="W33" s="794" t="s">
        <v>1692</v>
      </c>
      <c r="X33" s="794">
        <v>8.4700000000000006</v>
      </c>
      <c r="Y33" s="794">
        <v>11.82</v>
      </c>
      <c r="Z33" s="794"/>
      <c r="AA33" s="794"/>
      <c r="AB33" s="794"/>
      <c r="AC33" s="794">
        <v>1.1900304E-3</v>
      </c>
      <c r="AD33" s="795" t="s">
        <v>1733</v>
      </c>
    </row>
    <row r="34" spans="1:30" ht="24">
      <c r="A34" s="808">
        <v>1995</v>
      </c>
      <c r="B34" s="807" t="s">
        <v>1743</v>
      </c>
      <c r="C34" s="806"/>
      <c r="D34" s="804" t="s">
        <v>402</v>
      </c>
      <c r="E34" s="804">
        <v>4</v>
      </c>
      <c r="F34" s="509" t="s">
        <v>5</v>
      </c>
      <c r="G34" s="801" t="s">
        <v>402</v>
      </c>
      <c r="H34" s="803" t="s">
        <v>211</v>
      </c>
      <c r="I34" s="803" t="s">
        <v>686</v>
      </c>
      <c r="J34" s="802" t="s">
        <v>402</v>
      </c>
      <c r="K34" s="801" t="s">
        <v>395</v>
      </c>
      <c r="L34" s="799">
        <v>6.2E-4</v>
      </c>
      <c r="M34" s="798">
        <v>1</v>
      </c>
      <c r="N34" s="797">
        <v>3.0909055800049732</v>
      </c>
      <c r="O34" s="800" t="s">
        <v>1780</v>
      </c>
      <c r="P34" s="799">
        <v>2.8000000000000003E-4</v>
      </c>
      <c r="Q34" s="798">
        <v>1</v>
      </c>
      <c r="R34" s="797">
        <v>3.0909055800049732</v>
      </c>
      <c r="S34" s="517" t="s">
        <v>1780</v>
      </c>
      <c r="T34" s="796"/>
      <c r="U34" s="796"/>
      <c r="V34" s="795" t="s">
        <v>1779</v>
      </c>
      <c r="W34" s="794" t="s">
        <v>1692</v>
      </c>
      <c r="X34" s="794">
        <v>0.62</v>
      </c>
      <c r="Y34" s="794">
        <v>0.28000000000000003</v>
      </c>
      <c r="Z34" s="794"/>
      <c r="AA34" s="794"/>
      <c r="AB34" s="794"/>
      <c r="AC34" s="794"/>
      <c r="AD34" s="795" t="s">
        <v>1691</v>
      </c>
    </row>
    <row r="35" spans="1:30" s="787" customFormat="1">
      <c r="B35" s="792"/>
      <c r="C35" s="791"/>
      <c r="M35" s="790"/>
      <c r="N35" s="790"/>
      <c r="O35" s="790"/>
      <c r="Q35" s="790"/>
      <c r="R35" s="790"/>
      <c r="S35" s="790"/>
      <c r="T35" s="789"/>
      <c r="U35" s="789"/>
      <c r="V35" s="789"/>
      <c r="W35" s="785"/>
      <c r="X35" s="785"/>
      <c r="Y35" s="785"/>
      <c r="Z35" s="785"/>
      <c r="AA35" s="785"/>
      <c r="AB35" s="785"/>
      <c r="AC35" s="785"/>
      <c r="AD35" s="789"/>
    </row>
  </sheetData>
  <mergeCells count="1">
    <mergeCell ref="X3:Y3"/>
  </mergeCells>
  <conditionalFormatting sqref="L1 P1">
    <cfRule type="cellIs" dxfId="36" priority="3" stopIfTrue="1" operator="equal">
      <formula>$F9</formula>
    </cfRule>
  </conditionalFormatting>
  <conditionalFormatting sqref="B9:B21 B23:B26 B28:B34">
    <cfRule type="cellIs" dxfId="35" priority="4" stopIfTrue="1" operator="notEqual">
      <formula>""</formula>
    </cfRule>
  </conditionalFormatting>
  <conditionalFormatting sqref="B22">
    <cfRule type="cellIs" dxfId="34" priority="2" stopIfTrue="1" operator="notEqual">
      <formula>""</formula>
    </cfRule>
  </conditionalFormatting>
  <conditionalFormatting sqref="B27">
    <cfRule type="cellIs" dxfId="33" priority="1" stopIfTrue="1" operator="notEqual">
      <formula>""</formula>
    </cfRule>
  </conditionalFormatting>
  <dataValidations count="20">
    <dataValidation allowBlank="1" showInputMessage="1" showErrorMessage="1" prompt="Do not enter anything into these fields. _x000a__x000a_Entering the Index-Number in column A will update these fields accordingly (maybe you need to press &quot;F9&quot; to have Excel recalculate the fields). Be sure to have the names-list open._x000a_" sqref="F7:K34"/>
    <dataValidation allowBlank="1" showInputMessage="1" showErrorMessage="1" prompt="Mean amount of elementary flow or intermediate product flow. Enter your values (or the respective equation) here." sqref="L9:L34 P9:P34"/>
    <dataValidation allowBlank="1" showInputMessage="1" showErrorMessage="1" promptTitle="Uncertainty Type" prompt="Defines the kind of uncertainty distribution applied on one particular exchange. _x000a__x000a_0 = undefined_x000a_1 = LOGNORMAL (default)_x000a_2 = normal_x000a_3 = triang_x000a_4 = uniform_x000a_" sqref="M2:M34 Q2:Q34"/>
    <dataValidation allowBlank="1" showInputMessage="1" showErrorMessage="1" promptTitle="StandardDeviation" prompt="Do only change when you calculated the Standard Deviation (SD) of the data (square SD for lognormal Distribution, 2*SD for normal Distribution - see column M). _x000a__x000a_Otherwise leave the formula to have it calculated from the Pedigree-Matrix (column Q  to V)." sqref="N2:N34 R2:R34"/>
    <dataValidation allowBlank="1" showInputMessage="1" showErrorMessage="1" promptTitle="GeneralComment" prompt="Do not change, if you use Pedigree Matrix. The comment is generated from the remarks field (enter remarks there) and the Pedigree numbers._x000a__x000a_If you calculated the SD from the data (i.e. without Pedigree Matrix), set a direct reference to the remarks. _x000a__x000a_" sqref="S1:S34 O1:O34"/>
    <dataValidation allowBlank="1" showInputMessage="1" showErrorMessage="1" promptTitle="Output Group" prompt="Indicates the kind of output flow. The options 0, 2, and 4 are actively used in the ecoinvent quality network. The codes are: 0=ReferenceProduct_x000a_2=Allocated by product_x000a_4=ToNature_x000a_- = The flow is an Input-Flow_x000a__x000a_" sqref="E7:E29 D30:E34"/>
    <dataValidation allowBlank="1" showInputMessage="1" showErrorMessage="1" promptTitle="Input Group" prompt="Indicates the kind of input flow. Within the ecoinvent quality network, only 4 and 5 are actively used (any material, fuel, electricity, heat or service is classified as an input from technosphere)._x000a__x000a_4=FromNature_x000a_5=FromTechnosphere" sqref="D7:D8"/>
    <dataValidation allowBlank="1" showInputMessage="1" showErrorMessage="1" promptTitle="Remarks" prompt="A general comment (data source, calculation procedure, ...) can be made about each individual exchange. The remarks are added to the GeneralComment-field." sqref="AD2:AD3 V3 V9:V34 AD9:AD34"/>
    <dataValidation allowBlank="1" showInputMessage="1" showErrorMessage="1" promptTitle="Empty Line" prompt="An empty line signalises the end of an Ecospold-Dataset. Processes below the first empty line are excluded when exporting to XML. You can use the space below e.g. for additional calculations or comments" sqref="A35:S35 V35 AD35:IK35"/>
    <dataValidation allowBlank="1" showInputMessage="1" showErrorMessage="1" prompt="This cell is automatically updated from the names List according to the index number in L1. It needs to be identical to the output product." sqref="L3:L6 P3:P6"/>
    <dataValidation allowBlank="1" showInputMessage="1" showErrorMessage="1" promptTitle="Unit" prompt="Unit of the exchange (elementary flow or intermediate product flow)." sqref="F6 K2:K3"/>
    <dataValidation allowBlank="1" showInputMessage="1" showErrorMessage="1" promptTitle="Infrastructure" prompt="Describes whether the intermediate product flow from or to the unit process is an infrastructure process or not._x000a__x000a_Not applicable to elementary flows." sqref="F5 J2:J3"/>
    <dataValidation allowBlank="1" showInputMessage="1" showErrorMessage="1" promptTitle="Name" prompt="Name of the exchange (elementary flow or intermediate product flow) in English language. " sqref="F2:F3"/>
    <dataValidation allowBlank="1" showInputMessage="1" showErrorMessage="1" promptTitle="Location" prompt="List of 2 letter ISO country codes extended by codes for regions, continents, market areas, and organisations and companies._x000a__x000a_See names list (sheet &quot;country&quot;) for the complete list." sqref="G2:G3 F4"/>
    <dataValidation allowBlank="1" showInputMessage="1" showErrorMessage="1" promptTitle="Input Group" prompt="Indicates the kind of input flow. Within the ecoinvent quality network, only 4 and 5 are actively used (any material, fuel, electricity, heat or service is classified as an input from technosphere)._x000a__x000a_4=FromNature_x000a_5=FromTechnosphere_x000a_- = an Output-Flow" sqref="D2:D3 D9:D29"/>
    <dataValidation allowBlank="1" showInputMessage="1" showErrorMessage="1" promptTitle="Output Group" prompt="Indicates the kind of output flow. The options 0, 2, and 4 are actively used in the ecoinvent quality network. The codes are: 0=ReferenceProduct_x000a_2=Allocated by product_x000a_4=ToNature_x000a_- = The flow is an Input-Flow_x000a_" sqref="E2:E3"/>
    <dataValidation allowBlank="1" showInputMessage="1" showErrorMessage="1" promptTitle="Index-Number" prompt="Indicates the reference number in the ecoinvent names list. Insert the index number from the names-list in this field and the rest is completed accordingly._x000a__x000a_If Input-/Outputgroup =4 then see sheet &quot;NamesElementary&quot;_x000a_If I/O-Group=5 then see sheet &quot;Names&quot;" sqref="A2:A3 A9:A34"/>
    <dataValidation allowBlank="1" showInputMessage="1" showErrorMessage="1" promptTitle="Category" prompt="Describes the category one particular exchange belongs to (in English language). Category and subCategory are required for elementary flows because they have a discriminative function." sqref="H2:H3"/>
    <dataValidation allowBlank="1" showInputMessage="1" showErrorMessage="1" promptTitle="Subcategory" prompt="Describes the subCategory one particular exchange belongs to (in English language). Category and subCategory are required for elementary flows because they have a discriminative function." sqref="I2:I3"/>
    <dataValidation allowBlank="1" showInputMessage="1" showErrorMessage="1" prompt="always 1" sqref="L7:L8 P7:P8"/>
  </dataValidations>
  <printOptions horizontalCentered="1" verticalCentered="1"/>
  <pageMargins left="0.78740157480314965" right="0.78740157480314965" top="0.98425196850393704" bottom="0.98425196850393704" header="0.51181102362204722" footer="0.51181102362204722"/>
  <pageSetup paperSize="9" scale="34" orientation="landscape" r:id="rId1"/>
  <headerFooter alignWithMargins="0">
    <oddHeader>&amp;A</oddHeader>
    <oddFooter>&amp;L&amp;D&amp;C&amp;F&amp;RSeite &amp;P</oddFooter>
  </headerFooter>
  <legacy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9"/>
  <sheetViews>
    <sheetView zoomScale="75" workbookViewId="0">
      <pane xSplit="3" ySplit="6" topLeftCell="D7" activePane="bottomRight" state="frozen"/>
      <selection activeCell="C40" sqref="C40"/>
      <selection pane="topRight" activeCell="C40" sqref="C40"/>
      <selection pane="bottomLeft" activeCell="C40" sqref="C40"/>
      <selection pane="bottomRight" activeCell="C40" sqref="C40"/>
    </sheetView>
  </sheetViews>
  <sheetFormatPr defaultColWidth="11.42578125" defaultRowHeight="12" outlineLevelCol="1"/>
  <cols>
    <col min="1" max="1" width="5.85546875" style="780" customWidth="1"/>
    <col min="2" max="2" width="16" style="784" customWidth="1"/>
    <col min="3" max="3" width="3.7109375" style="783" hidden="1" customWidth="1" outlineLevel="1"/>
    <col min="4" max="4" width="4.140625" style="780" hidden="1" customWidth="1" outlineLevel="1"/>
    <col min="5" max="5" width="4" style="780" hidden="1" customWidth="1" outlineLevel="1"/>
    <col min="6" max="6" width="48.140625" style="780" customWidth="1" collapsed="1"/>
    <col min="7" max="7" width="6" style="780" customWidth="1"/>
    <col min="8" max="8" width="8.28515625" style="780" hidden="1" customWidth="1" outlineLevel="1"/>
    <col min="9" max="9" width="19.5703125" style="780" hidden="1" customWidth="1" outlineLevel="1"/>
    <col min="10" max="10" width="2.7109375" style="780" customWidth="1" collapsed="1"/>
    <col min="11" max="11" width="5.140625" style="780" customWidth="1"/>
    <col min="12" max="12" width="14" style="780" customWidth="1"/>
    <col min="13" max="13" width="3.5703125" style="318" hidden="1" customWidth="1" outlineLevel="1"/>
    <col min="14" max="14" width="6.5703125" style="318" hidden="1" customWidth="1" outlineLevel="1"/>
    <col min="15" max="15" width="36.85546875" style="318" hidden="1" customWidth="1" outlineLevel="1"/>
    <col min="16" max="16" width="14" style="780" customWidth="1" collapsed="1"/>
    <col min="17" max="17" width="3.5703125" style="318" customWidth="1" outlineLevel="1"/>
    <col min="18" max="18" width="6.5703125" style="318" customWidth="1" outlineLevel="1"/>
    <col min="19" max="19" width="50.28515625" style="318" customWidth="1" outlineLevel="1"/>
    <col min="20" max="20" width="14.140625" style="782" customWidth="1"/>
    <col min="21" max="21" width="28.85546875" style="782" customWidth="1"/>
    <col min="22" max="22" width="6.85546875" style="782" customWidth="1"/>
    <col min="23" max="23" width="12.5703125" style="782" customWidth="1"/>
    <col min="24" max="26" width="16.85546875" style="782" customWidth="1"/>
    <col min="27" max="27" width="20" style="782" bestFit="1" customWidth="1"/>
    <col min="28" max="16384" width="11.42578125" style="780"/>
  </cols>
  <sheetData>
    <row r="1" spans="1:27">
      <c r="A1" s="831"/>
      <c r="B1" s="848"/>
      <c r="C1" s="829"/>
      <c r="D1" s="831"/>
      <c r="E1" s="831"/>
      <c r="F1" s="847" t="s">
        <v>510</v>
      </c>
      <c r="G1" s="831"/>
      <c r="H1" s="831"/>
      <c r="I1" s="831"/>
      <c r="J1" s="831"/>
      <c r="K1" s="831"/>
      <c r="L1" s="846" t="s">
        <v>1863</v>
      </c>
      <c r="M1" s="184"/>
      <c r="N1" s="184"/>
      <c r="O1" s="184"/>
      <c r="P1" s="846" t="s">
        <v>1861</v>
      </c>
      <c r="Q1" s="184"/>
      <c r="R1" s="184"/>
      <c r="S1" s="184"/>
      <c r="T1" s="785"/>
      <c r="U1" s="785"/>
      <c r="V1" s="785"/>
      <c r="W1" s="785"/>
      <c r="X1" s="785"/>
      <c r="Y1" s="785"/>
      <c r="Z1" s="785"/>
      <c r="AA1" s="785"/>
    </row>
    <row r="2" spans="1:27">
      <c r="A2" s="831"/>
      <c r="B2" s="844"/>
      <c r="C2" s="829" t="s">
        <v>511</v>
      </c>
      <c r="D2" s="844">
        <v>3503</v>
      </c>
      <c r="E2" s="844">
        <v>3504</v>
      </c>
      <c r="F2" s="844">
        <v>3702</v>
      </c>
      <c r="G2" s="844">
        <v>3703</v>
      </c>
      <c r="H2" s="844">
        <v>3506</v>
      </c>
      <c r="I2" s="844">
        <v>3507</v>
      </c>
      <c r="J2" s="844">
        <v>3508</v>
      </c>
      <c r="K2" s="844">
        <v>3706</v>
      </c>
      <c r="L2" s="844">
        <v>3707</v>
      </c>
      <c r="M2" s="843">
        <v>3708</v>
      </c>
      <c r="N2" s="843">
        <v>3709</v>
      </c>
      <c r="O2" s="845">
        <v>3792</v>
      </c>
      <c r="P2" s="844">
        <v>3707</v>
      </c>
      <c r="Q2" s="843">
        <v>3708</v>
      </c>
      <c r="R2" s="843">
        <v>3709</v>
      </c>
      <c r="S2" s="842">
        <v>3792</v>
      </c>
      <c r="T2" s="836"/>
      <c r="V2" s="785"/>
      <c r="W2" s="785"/>
      <c r="X2" s="785"/>
      <c r="Y2" s="785"/>
      <c r="Z2" s="785"/>
      <c r="AA2" s="836"/>
    </row>
    <row r="3" spans="1:27" ht="132">
      <c r="A3" s="831" t="s">
        <v>398</v>
      </c>
      <c r="B3" s="830"/>
      <c r="C3" s="829">
        <v>401</v>
      </c>
      <c r="D3" s="841" t="s">
        <v>514</v>
      </c>
      <c r="E3" s="841" t="s">
        <v>515</v>
      </c>
      <c r="F3" s="827" t="s">
        <v>516</v>
      </c>
      <c r="G3" s="840" t="s">
        <v>517</v>
      </c>
      <c r="H3" s="840" t="s">
        <v>518</v>
      </c>
      <c r="I3" s="840" t="s">
        <v>519</v>
      </c>
      <c r="J3" s="840" t="s">
        <v>520</v>
      </c>
      <c r="K3" s="840" t="s">
        <v>394</v>
      </c>
      <c r="L3" s="826" t="s">
        <v>1862</v>
      </c>
      <c r="M3" s="838" t="s">
        <v>265</v>
      </c>
      <c r="N3" s="838" t="s">
        <v>266</v>
      </c>
      <c r="O3" s="839" t="s">
        <v>548</v>
      </c>
      <c r="P3" s="826" t="s">
        <v>1860</v>
      </c>
      <c r="Q3" s="838" t="s">
        <v>265</v>
      </c>
      <c r="R3" s="838" t="s">
        <v>266</v>
      </c>
      <c r="S3" s="837" t="s">
        <v>548</v>
      </c>
      <c r="T3" s="823" t="s">
        <v>1728</v>
      </c>
      <c r="U3" s="836" t="s">
        <v>264</v>
      </c>
      <c r="V3" s="794" t="s">
        <v>1732</v>
      </c>
      <c r="W3" s="1049" t="s">
        <v>1731</v>
      </c>
      <c r="X3" s="1049"/>
      <c r="Y3" s="834" t="s">
        <v>1864</v>
      </c>
      <c r="Z3" s="834" t="s">
        <v>1829</v>
      </c>
      <c r="AA3" s="836" t="s">
        <v>1728</v>
      </c>
    </row>
    <row r="4" spans="1:27" ht="12.75" customHeight="1">
      <c r="A4" s="831"/>
      <c r="B4" s="830"/>
      <c r="C4" s="829">
        <v>662</v>
      </c>
      <c r="D4" s="828"/>
      <c r="E4" s="828"/>
      <c r="F4" s="827" t="s">
        <v>517</v>
      </c>
      <c r="G4" s="827"/>
      <c r="H4" s="827"/>
      <c r="I4" s="827"/>
      <c r="J4" s="827"/>
      <c r="K4" s="827"/>
      <c r="L4" s="826" t="s">
        <v>1105</v>
      </c>
      <c r="M4" s="825"/>
      <c r="N4" s="825"/>
      <c r="O4" s="824"/>
      <c r="P4" s="826" t="s">
        <v>1105</v>
      </c>
      <c r="Q4" s="825"/>
      <c r="R4" s="825"/>
      <c r="S4" s="824"/>
      <c r="T4" s="823" t="s">
        <v>393</v>
      </c>
      <c r="U4" s="835"/>
      <c r="V4" s="785"/>
      <c r="W4" s="834" t="s">
        <v>1727</v>
      </c>
      <c r="X4" s="833" t="s">
        <v>1726</v>
      </c>
      <c r="Y4" s="833"/>
      <c r="Z4" s="833"/>
      <c r="AA4" s="835"/>
    </row>
    <row r="5" spans="1:27">
      <c r="A5" s="831"/>
      <c r="B5" s="830"/>
      <c r="C5" s="829">
        <v>493</v>
      </c>
      <c r="D5" s="828"/>
      <c r="E5" s="828"/>
      <c r="F5" s="827" t="s">
        <v>520</v>
      </c>
      <c r="G5" s="827"/>
      <c r="H5" s="827"/>
      <c r="I5" s="827"/>
      <c r="J5" s="827"/>
      <c r="K5" s="827"/>
      <c r="L5" s="826">
        <v>0</v>
      </c>
      <c r="M5" s="825"/>
      <c r="N5" s="825"/>
      <c r="O5" s="824"/>
      <c r="P5" s="826">
        <v>0</v>
      </c>
      <c r="Q5" s="825"/>
      <c r="R5" s="825"/>
      <c r="S5" s="824"/>
      <c r="T5" s="823">
        <v>2009</v>
      </c>
      <c r="U5" s="785"/>
      <c r="V5" s="785"/>
      <c r="W5" s="785"/>
      <c r="X5" s="785"/>
      <c r="Y5" s="785"/>
      <c r="Z5" s="785"/>
      <c r="AA5" s="785"/>
    </row>
    <row r="6" spans="1:27" ht="12.75" customHeight="1">
      <c r="A6" s="831"/>
      <c r="B6" s="830"/>
      <c r="C6" s="829">
        <v>403</v>
      </c>
      <c r="D6" s="828"/>
      <c r="E6" s="828"/>
      <c r="F6" s="827" t="s">
        <v>394</v>
      </c>
      <c r="G6" s="827"/>
      <c r="H6" s="827"/>
      <c r="I6" s="827"/>
      <c r="J6" s="827"/>
      <c r="K6" s="827"/>
      <c r="L6" s="826" t="s">
        <v>522</v>
      </c>
      <c r="M6" s="825"/>
      <c r="N6" s="825"/>
      <c r="O6" s="824"/>
      <c r="P6" s="826" t="s">
        <v>522</v>
      </c>
      <c r="Q6" s="825"/>
      <c r="R6" s="825"/>
      <c r="S6" s="824"/>
      <c r="T6" s="823" t="s">
        <v>395</v>
      </c>
      <c r="U6" s="785"/>
      <c r="V6" s="785"/>
      <c r="W6" s="785"/>
      <c r="X6" s="785"/>
      <c r="Y6" s="785"/>
      <c r="Z6" s="785"/>
      <c r="AA6" s="785"/>
    </row>
    <row r="7" spans="1:27">
      <c r="A7" s="808" t="s">
        <v>1863</v>
      </c>
      <c r="B7" s="807" t="s">
        <v>523</v>
      </c>
      <c r="C7" s="806"/>
      <c r="D7" s="821" t="s">
        <v>402</v>
      </c>
      <c r="E7" s="820">
        <v>0</v>
      </c>
      <c r="F7" s="819" t="s">
        <v>1862</v>
      </c>
      <c r="G7" s="816" t="s">
        <v>1105</v>
      </c>
      <c r="H7" s="818" t="s">
        <v>402</v>
      </c>
      <c r="I7" s="818" t="s">
        <v>402</v>
      </c>
      <c r="J7" s="817">
        <v>0</v>
      </c>
      <c r="K7" s="816" t="s">
        <v>522</v>
      </c>
      <c r="L7" s="815">
        <v>1</v>
      </c>
      <c r="M7" s="814"/>
      <c r="N7" s="813"/>
      <c r="O7" s="800"/>
      <c r="P7" s="815">
        <v>0</v>
      </c>
      <c r="Q7" s="814"/>
      <c r="R7" s="813"/>
      <c r="S7" s="800"/>
      <c r="T7" s="812"/>
      <c r="U7" s="811"/>
      <c r="V7" s="785"/>
      <c r="W7" s="785"/>
      <c r="X7" s="785"/>
      <c r="Y7" s="785"/>
      <c r="Z7" s="785"/>
      <c r="AA7" s="811"/>
    </row>
    <row r="8" spans="1:27">
      <c r="A8" s="808" t="s">
        <v>1861</v>
      </c>
      <c r="B8" s="807"/>
      <c r="C8" s="806"/>
      <c r="D8" s="821" t="s">
        <v>402</v>
      </c>
      <c r="E8" s="820">
        <v>0</v>
      </c>
      <c r="F8" s="819" t="s">
        <v>1860</v>
      </c>
      <c r="G8" s="816" t="s">
        <v>1105</v>
      </c>
      <c r="H8" s="818" t="s">
        <v>402</v>
      </c>
      <c r="I8" s="818" t="s">
        <v>402</v>
      </c>
      <c r="J8" s="817">
        <v>0</v>
      </c>
      <c r="K8" s="816" t="s">
        <v>522</v>
      </c>
      <c r="L8" s="815">
        <v>0</v>
      </c>
      <c r="M8" s="814"/>
      <c r="N8" s="813"/>
      <c r="O8" s="800"/>
      <c r="P8" s="815">
        <v>1</v>
      </c>
      <c r="Q8" s="814"/>
      <c r="R8" s="813"/>
      <c r="S8" s="800"/>
      <c r="T8" s="812"/>
      <c r="U8" s="811"/>
      <c r="V8" s="785"/>
      <c r="W8" s="785"/>
      <c r="X8" s="785"/>
      <c r="Y8" s="785"/>
      <c r="Z8" s="785"/>
      <c r="AA8" s="811"/>
    </row>
    <row r="9" spans="1:27" ht="21.75" customHeight="1">
      <c r="A9" s="808" t="s">
        <v>1828</v>
      </c>
      <c r="B9" s="807" t="s">
        <v>524</v>
      </c>
      <c r="C9" s="806" t="s">
        <v>525</v>
      </c>
      <c r="D9" s="809">
        <v>5</v>
      </c>
      <c r="E9" s="804" t="s">
        <v>402</v>
      </c>
      <c r="F9" s="509" t="s">
        <v>1827</v>
      </c>
      <c r="G9" s="801" t="s">
        <v>1105</v>
      </c>
      <c r="H9" s="803" t="s">
        <v>402</v>
      </c>
      <c r="I9" s="803" t="s">
        <v>402</v>
      </c>
      <c r="J9" s="802">
        <v>0</v>
      </c>
      <c r="K9" s="801" t="s">
        <v>522</v>
      </c>
      <c r="L9" s="799">
        <v>1</v>
      </c>
      <c r="M9" s="798">
        <v>1</v>
      </c>
      <c r="N9" s="797">
        <v>1.3000688016831126</v>
      </c>
      <c r="O9" s="800" t="s">
        <v>1859</v>
      </c>
      <c r="P9" s="799">
        <v>0</v>
      </c>
      <c r="Q9" s="798">
        <v>1</v>
      </c>
      <c r="R9" s="797">
        <v>1.3000688016831126</v>
      </c>
      <c r="S9" s="517" t="s">
        <v>1859</v>
      </c>
      <c r="T9" s="796"/>
      <c r="U9" s="795" t="s">
        <v>1858</v>
      </c>
      <c r="V9" s="794" t="s">
        <v>1857</v>
      </c>
      <c r="W9" s="794">
        <v>1</v>
      </c>
      <c r="X9" s="794">
        <v>1</v>
      </c>
      <c r="Y9" s="794"/>
      <c r="Z9" s="794"/>
      <c r="AA9" s="795" t="s">
        <v>1691</v>
      </c>
    </row>
    <row r="10" spans="1:27" ht="21.75" customHeight="1">
      <c r="A10" s="808" t="s">
        <v>1826</v>
      </c>
      <c r="B10" s="807" t="s">
        <v>525</v>
      </c>
      <c r="C10" s="806" t="s">
        <v>525</v>
      </c>
      <c r="D10" s="809">
        <v>5</v>
      </c>
      <c r="E10" s="804" t="s">
        <v>402</v>
      </c>
      <c r="F10" s="509" t="s">
        <v>1825</v>
      </c>
      <c r="G10" s="801" t="s">
        <v>1105</v>
      </c>
      <c r="H10" s="803" t="s">
        <v>402</v>
      </c>
      <c r="I10" s="803" t="s">
        <v>402</v>
      </c>
      <c r="J10" s="802">
        <v>0</v>
      </c>
      <c r="K10" s="801" t="s">
        <v>522</v>
      </c>
      <c r="L10" s="799">
        <v>0</v>
      </c>
      <c r="M10" s="798">
        <v>1</v>
      </c>
      <c r="N10" s="797">
        <v>1.3000688016831126</v>
      </c>
      <c r="O10" s="800" t="s">
        <v>1859</v>
      </c>
      <c r="P10" s="799">
        <v>1</v>
      </c>
      <c r="Q10" s="798">
        <v>1</v>
      </c>
      <c r="R10" s="797">
        <v>1.3000688016831126</v>
      </c>
      <c r="S10" s="517" t="s">
        <v>1859</v>
      </c>
      <c r="T10" s="796"/>
      <c r="U10" s="795" t="s">
        <v>1858</v>
      </c>
      <c r="V10" s="794" t="s">
        <v>1857</v>
      </c>
      <c r="W10" s="794">
        <v>1</v>
      </c>
      <c r="X10" s="794">
        <v>1</v>
      </c>
      <c r="Y10" s="794"/>
      <c r="Z10" s="794"/>
      <c r="AA10" s="795" t="s">
        <v>1691</v>
      </c>
    </row>
    <row r="11" spans="1:27" ht="21.75" customHeight="1">
      <c r="A11" s="808">
        <v>32126</v>
      </c>
      <c r="B11" s="807" t="s">
        <v>525</v>
      </c>
      <c r="C11" s="806" t="s">
        <v>525</v>
      </c>
      <c r="D11" s="809">
        <v>5</v>
      </c>
      <c r="E11" s="804" t="s">
        <v>402</v>
      </c>
      <c r="F11" s="509" t="s">
        <v>1104</v>
      </c>
      <c r="G11" s="801" t="s">
        <v>521</v>
      </c>
      <c r="H11" s="803" t="s">
        <v>402</v>
      </c>
      <c r="I11" s="803" t="s">
        <v>402</v>
      </c>
      <c r="J11" s="802">
        <v>0</v>
      </c>
      <c r="K11" s="801" t="s">
        <v>395</v>
      </c>
      <c r="L11" s="799">
        <v>8.3000000000000001E-4</v>
      </c>
      <c r="M11" s="798">
        <v>1</v>
      </c>
      <c r="N11" s="797">
        <v>1.3000688016831126</v>
      </c>
      <c r="O11" s="800" t="s">
        <v>1856</v>
      </c>
      <c r="P11" s="799">
        <v>5.6000000000000006E-4</v>
      </c>
      <c r="Q11" s="798">
        <v>1</v>
      </c>
      <c r="R11" s="797">
        <v>1.3000688016831126</v>
      </c>
      <c r="S11" s="517" t="s">
        <v>1856</v>
      </c>
      <c r="T11" s="796"/>
      <c r="U11" s="795" t="s">
        <v>1855</v>
      </c>
      <c r="V11" s="794" t="s">
        <v>1692</v>
      </c>
      <c r="W11" s="794">
        <v>0.83</v>
      </c>
      <c r="X11" s="794">
        <v>0.56000000000000005</v>
      </c>
      <c r="Y11" s="794"/>
      <c r="Z11" s="794"/>
      <c r="AA11" s="795" t="s">
        <v>1691</v>
      </c>
    </row>
    <row r="12" spans="1:27">
      <c r="A12" s="808">
        <v>1186</v>
      </c>
      <c r="B12" s="807" t="s">
        <v>525</v>
      </c>
      <c r="C12" s="806"/>
      <c r="D12" s="809">
        <v>5</v>
      </c>
      <c r="E12" s="804" t="s">
        <v>402</v>
      </c>
      <c r="F12" s="509" t="s">
        <v>1276</v>
      </c>
      <c r="G12" s="801" t="s">
        <v>521</v>
      </c>
      <c r="H12" s="803" t="s">
        <v>402</v>
      </c>
      <c r="I12" s="803" t="s">
        <v>402</v>
      </c>
      <c r="J12" s="802">
        <v>0</v>
      </c>
      <c r="K12" s="801" t="s">
        <v>395</v>
      </c>
      <c r="L12" s="799">
        <v>2.31E-3</v>
      </c>
      <c r="M12" s="798">
        <v>1</v>
      </c>
      <c r="N12" s="797">
        <v>1.3000688016831126</v>
      </c>
      <c r="O12" s="800" t="s">
        <v>1854</v>
      </c>
      <c r="P12" s="799">
        <v>1.2199999999999999E-3</v>
      </c>
      <c r="Q12" s="798">
        <v>1</v>
      </c>
      <c r="R12" s="797">
        <v>1.3000688016831126</v>
      </c>
      <c r="S12" s="517" t="s">
        <v>1854</v>
      </c>
      <c r="T12" s="796"/>
      <c r="U12" s="795" t="s">
        <v>1853</v>
      </c>
      <c r="V12" s="794" t="s">
        <v>1692</v>
      </c>
      <c r="W12" s="794">
        <v>2.31</v>
      </c>
      <c r="X12" s="794">
        <v>1.22</v>
      </c>
      <c r="Y12" s="794"/>
      <c r="Z12" s="794"/>
      <c r="AA12" s="795" t="s">
        <v>1691</v>
      </c>
    </row>
    <row r="13" spans="1:27">
      <c r="A13" s="808">
        <v>1216</v>
      </c>
      <c r="B13" s="807" t="s">
        <v>525</v>
      </c>
      <c r="C13" s="806"/>
      <c r="D13" s="809">
        <v>5</v>
      </c>
      <c r="E13" s="804" t="s">
        <v>402</v>
      </c>
      <c r="F13" s="509" t="s">
        <v>1168</v>
      </c>
      <c r="G13" s="801" t="s">
        <v>521</v>
      </c>
      <c r="H13" s="803" t="s">
        <v>402</v>
      </c>
      <c r="I13" s="803" t="s">
        <v>402</v>
      </c>
      <c r="J13" s="802">
        <v>0</v>
      </c>
      <c r="K13" s="801" t="s">
        <v>395</v>
      </c>
      <c r="L13" s="799">
        <v>1.07E-3</v>
      </c>
      <c r="M13" s="798">
        <v>1</v>
      </c>
      <c r="N13" s="797">
        <v>1.3000688016831126</v>
      </c>
      <c r="O13" s="800" t="s">
        <v>1852</v>
      </c>
      <c r="P13" s="799">
        <v>4.0000000000000002E-4</v>
      </c>
      <c r="Q13" s="798">
        <v>1</v>
      </c>
      <c r="R13" s="797">
        <v>1.3000688016831126</v>
      </c>
      <c r="S13" s="517" t="s">
        <v>1852</v>
      </c>
      <c r="T13" s="796"/>
      <c r="U13" s="795" t="s">
        <v>1815</v>
      </c>
      <c r="V13" s="794" t="s">
        <v>1692</v>
      </c>
      <c r="W13" s="794">
        <v>1.07</v>
      </c>
      <c r="X13" s="794">
        <v>0.4</v>
      </c>
      <c r="Y13" s="794"/>
      <c r="Z13" s="794"/>
      <c r="AA13" s="795" t="s">
        <v>1691</v>
      </c>
    </row>
    <row r="14" spans="1:27">
      <c r="A14" s="808">
        <v>6319</v>
      </c>
      <c r="B14" s="807" t="s">
        <v>525</v>
      </c>
      <c r="C14" s="806"/>
      <c r="D14" s="809">
        <v>5</v>
      </c>
      <c r="E14" s="804" t="s">
        <v>402</v>
      </c>
      <c r="F14" s="509" t="s">
        <v>1287</v>
      </c>
      <c r="G14" s="801" t="s">
        <v>521</v>
      </c>
      <c r="H14" s="803" t="s">
        <v>402</v>
      </c>
      <c r="I14" s="803" t="s">
        <v>402</v>
      </c>
      <c r="J14" s="802">
        <v>0</v>
      </c>
      <c r="K14" s="801" t="s">
        <v>395</v>
      </c>
      <c r="L14" s="799">
        <v>0</v>
      </c>
      <c r="M14" s="798">
        <v>1</v>
      </c>
      <c r="N14" s="797">
        <v>1.3000688016831126</v>
      </c>
      <c r="O14" s="800" t="s">
        <v>1808</v>
      </c>
      <c r="P14" s="799">
        <v>7.7999999999999999E-4</v>
      </c>
      <c r="Q14" s="798">
        <v>1</v>
      </c>
      <c r="R14" s="797">
        <v>1.3000688016831126</v>
      </c>
      <c r="S14" s="517" t="s">
        <v>1808</v>
      </c>
      <c r="T14" s="796"/>
      <c r="U14" s="795" t="s">
        <v>1807</v>
      </c>
      <c r="V14" s="794" t="s">
        <v>1692</v>
      </c>
      <c r="W14" s="794">
        <v>0</v>
      </c>
      <c r="X14" s="794">
        <v>0.78</v>
      </c>
      <c r="Y14" s="794"/>
      <c r="Z14" s="794"/>
      <c r="AA14" s="795" t="s">
        <v>1691</v>
      </c>
    </row>
    <row r="15" spans="1:27">
      <c r="A15" s="808">
        <v>1289</v>
      </c>
      <c r="B15" s="807" t="s">
        <v>525</v>
      </c>
      <c r="C15" s="806"/>
      <c r="D15" s="809">
        <v>5</v>
      </c>
      <c r="E15" s="804" t="s">
        <v>402</v>
      </c>
      <c r="F15" s="509" t="s">
        <v>1285</v>
      </c>
      <c r="G15" s="801" t="s">
        <v>521</v>
      </c>
      <c r="H15" s="803" t="s">
        <v>402</v>
      </c>
      <c r="I15" s="803" t="s">
        <v>402</v>
      </c>
      <c r="J15" s="802">
        <v>0</v>
      </c>
      <c r="K15" s="801" t="s">
        <v>395</v>
      </c>
      <c r="L15" s="799">
        <v>0</v>
      </c>
      <c r="M15" s="798">
        <v>1</v>
      </c>
      <c r="N15" s="797">
        <v>1.3000688016831126</v>
      </c>
      <c r="O15" s="800" t="s">
        <v>1851</v>
      </c>
      <c r="P15" s="799">
        <v>5.0000000000000002E-5</v>
      </c>
      <c r="Q15" s="798">
        <v>1</v>
      </c>
      <c r="R15" s="797">
        <v>1.3000688016831126</v>
      </c>
      <c r="S15" s="517" t="s">
        <v>1851</v>
      </c>
      <c r="T15" s="796"/>
      <c r="U15" s="795" t="s">
        <v>1850</v>
      </c>
      <c r="V15" s="794" t="s">
        <v>1692</v>
      </c>
      <c r="W15" s="794">
        <v>0</v>
      </c>
      <c r="X15" s="794">
        <v>0.05</v>
      </c>
      <c r="Y15" s="794"/>
      <c r="Z15" s="794"/>
      <c r="AA15" s="795" t="s">
        <v>1691</v>
      </c>
    </row>
    <row r="16" spans="1:27">
      <c r="A16" s="808">
        <v>33080</v>
      </c>
      <c r="B16" s="807" t="s">
        <v>525</v>
      </c>
      <c r="C16" s="806"/>
      <c r="D16" s="809">
        <v>5</v>
      </c>
      <c r="E16" s="804" t="s">
        <v>402</v>
      </c>
      <c r="F16" s="509" t="s">
        <v>1278</v>
      </c>
      <c r="G16" s="801" t="s">
        <v>521</v>
      </c>
      <c r="H16" s="803" t="s">
        <v>402</v>
      </c>
      <c r="I16" s="803" t="s">
        <v>402</v>
      </c>
      <c r="J16" s="802">
        <v>0</v>
      </c>
      <c r="K16" s="801" t="s">
        <v>395</v>
      </c>
      <c r="L16" s="799">
        <v>2.0000000000000002E-5</v>
      </c>
      <c r="M16" s="798">
        <v>1</v>
      </c>
      <c r="N16" s="797">
        <v>1.3000688016831126</v>
      </c>
      <c r="O16" s="800" t="s">
        <v>1849</v>
      </c>
      <c r="P16" s="799">
        <v>2.0000000000000002E-5</v>
      </c>
      <c r="Q16" s="798">
        <v>1</v>
      </c>
      <c r="R16" s="797">
        <v>1.3000688016831126</v>
      </c>
      <c r="S16" s="517" t="s">
        <v>1849</v>
      </c>
      <c r="T16" s="796"/>
      <c r="U16" s="795" t="s">
        <v>1848</v>
      </c>
      <c r="V16" s="794" t="s">
        <v>1692</v>
      </c>
      <c r="W16" s="794">
        <v>0.02</v>
      </c>
      <c r="X16" s="794">
        <v>0.02</v>
      </c>
      <c r="Y16" s="794"/>
      <c r="Z16" s="794"/>
      <c r="AA16" s="795" t="s">
        <v>1691</v>
      </c>
    </row>
    <row r="17" spans="1:27">
      <c r="A17" s="808">
        <v>825</v>
      </c>
      <c r="B17" s="807" t="s">
        <v>525</v>
      </c>
      <c r="C17" s="806"/>
      <c r="D17" s="809">
        <v>5</v>
      </c>
      <c r="E17" s="804" t="s">
        <v>402</v>
      </c>
      <c r="F17" s="509" t="s">
        <v>1213</v>
      </c>
      <c r="G17" s="801" t="s">
        <v>51</v>
      </c>
      <c r="H17" s="803" t="s">
        <v>402</v>
      </c>
      <c r="I17" s="803" t="s">
        <v>402</v>
      </c>
      <c r="J17" s="802">
        <v>0</v>
      </c>
      <c r="K17" s="801" t="s">
        <v>395</v>
      </c>
      <c r="L17" s="799">
        <v>3.9700000000000004E-3</v>
      </c>
      <c r="M17" s="798">
        <v>1</v>
      </c>
      <c r="N17" s="797">
        <v>1.3000688016831126</v>
      </c>
      <c r="O17" s="800" t="s">
        <v>1847</v>
      </c>
      <c r="P17" s="799">
        <v>3.9199999999999999E-3</v>
      </c>
      <c r="Q17" s="798">
        <v>1</v>
      </c>
      <c r="R17" s="797">
        <v>1.3000688016831126</v>
      </c>
      <c r="S17" s="517" t="s">
        <v>1847</v>
      </c>
      <c r="T17" s="796"/>
      <c r="U17" s="795" t="s">
        <v>1608</v>
      </c>
      <c r="V17" s="794" t="s">
        <v>1692</v>
      </c>
      <c r="W17" s="794">
        <v>3.97</v>
      </c>
      <c r="X17" s="794">
        <v>3.92</v>
      </c>
      <c r="Y17" s="794"/>
      <c r="Z17" s="794"/>
      <c r="AA17" s="795" t="s">
        <v>1691</v>
      </c>
    </row>
    <row r="18" spans="1:27">
      <c r="A18" s="808">
        <v>1306</v>
      </c>
      <c r="B18" s="807" t="s">
        <v>525</v>
      </c>
      <c r="C18" s="806"/>
      <c r="D18" s="809">
        <v>5</v>
      </c>
      <c r="E18" s="804" t="s">
        <v>402</v>
      </c>
      <c r="F18" s="509" t="s">
        <v>1112</v>
      </c>
      <c r="G18" s="801" t="s">
        <v>521</v>
      </c>
      <c r="H18" s="803" t="s">
        <v>402</v>
      </c>
      <c r="I18" s="803" t="s">
        <v>402</v>
      </c>
      <c r="J18" s="802">
        <v>0</v>
      </c>
      <c r="K18" s="801" t="s">
        <v>395</v>
      </c>
      <c r="L18" s="799">
        <v>4.4999999999999999E-4</v>
      </c>
      <c r="M18" s="798">
        <v>1</v>
      </c>
      <c r="N18" s="797">
        <v>1.3000688016831126</v>
      </c>
      <c r="O18" s="800" t="s">
        <v>1846</v>
      </c>
      <c r="P18" s="799">
        <v>1.4999999999999999E-4</v>
      </c>
      <c r="Q18" s="798">
        <v>1</v>
      </c>
      <c r="R18" s="797">
        <v>1.3000688016831126</v>
      </c>
      <c r="S18" s="517" t="s">
        <v>1846</v>
      </c>
      <c r="T18" s="796"/>
      <c r="U18" s="795" t="s">
        <v>1845</v>
      </c>
      <c r="V18" s="794" t="s">
        <v>1692</v>
      </c>
      <c r="W18" s="794">
        <v>0.45</v>
      </c>
      <c r="X18" s="794">
        <v>0.15</v>
      </c>
      <c r="Y18" s="794"/>
      <c r="Z18" s="794"/>
      <c r="AA18" s="795" t="s">
        <v>1691</v>
      </c>
    </row>
    <row r="19" spans="1:27">
      <c r="A19" s="808">
        <v>1777</v>
      </c>
      <c r="B19" s="807" t="s">
        <v>525</v>
      </c>
      <c r="C19" s="806"/>
      <c r="D19" s="809">
        <v>5</v>
      </c>
      <c r="E19" s="804" t="s">
        <v>402</v>
      </c>
      <c r="F19" s="509" t="s">
        <v>1108</v>
      </c>
      <c r="G19" s="801" t="s">
        <v>521</v>
      </c>
      <c r="H19" s="803" t="s">
        <v>402</v>
      </c>
      <c r="I19" s="803" t="s">
        <v>402</v>
      </c>
      <c r="J19" s="802">
        <v>0</v>
      </c>
      <c r="K19" s="801" t="s">
        <v>395</v>
      </c>
      <c r="L19" s="799">
        <v>7.6109999999999997E-2</v>
      </c>
      <c r="M19" s="798">
        <v>1</v>
      </c>
      <c r="N19" s="797">
        <v>1.3000688016831126</v>
      </c>
      <c r="O19" s="800" t="s">
        <v>1844</v>
      </c>
      <c r="P19" s="799">
        <v>5.7759999999999999E-2</v>
      </c>
      <c r="Q19" s="798">
        <v>1</v>
      </c>
      <c r="R19" s="797">
        <v>1.3000688016831126</v>
      </c>
      <c r="S19" s="517" t="s">
        <v>1844</v>
      </c>
      <c r="T19" s="796"/>
      <c r="U19" s="795" t="s">
        <v>1843</v>
      </c>
      <c r="V19" s="794" t="s">
        <v>1692</v>
      </c>
      <c r="W19" s="794">
        <v>76.11</v>
      </c>
      <c r="X19" s="794">
        <v>57.76</v>
      </c>
      <c r="Y19" s="794"/>
      <c r="Z19" s="794"/>
      <c r="AA19" s="795" t="s">
        <v>1691</v>
      </c>
    </row>
    <row r="20" spans="1:27">
      <c r="A20" s="808">
        <v>1239</v>
      </c>
      <c r="B20" s="807" t="s">
        <v>525</v>
      </c>
      <c r="C20" s="806"/>
      <c r="D20" s="809">
        <v>5</v>
      </c>
      <c r="E20" s="804" t="s">
        <v>402</v>
      </c>
      <c r="F20" s="509" t="s">
        <v>1215</v>
      </c>
      <c r="G20" s="801" t="s">
        <v>521</v>
      </c>
      <c r="H20" s="803" t="s">
        <v>402</v>
      </c>
      <c r="I20" s="803" t="s">
        <v>402</v>
      </c>
      <c r="J20" s="802">
        <v>0</v>
      </c>
      <c r="K20" s="801" t="s">
        <v>395</v>
      </c>
      <c r="L20" s="799">
        <v>2.82E-3</v>
      </c>
      <c r="M20" s="798">
        <v>1</v>
      </c>
      <c r="N20" s="797">
        <v>1.3000688016831126</v>
      </c>
      <c r="O20" s="800" t="s">
        <v>1842</v>
      </c>
      <c r="P20" s="799">
        <v>7.1999999999999998E-3</v>
      </c>
      <c r="Q20" s="798">
        <v>1</v>
      </c>
      <c r="R20" s="797">
        <v>1.3000688016831126</v>
      </c>
      <c r="S20" s="517" t="s">
        <v>1842</v>
      </c>
      <c r="T20" s="796"/>
      <c r="U20" s="795" t="s">
        <v>1841</v>
      </c>
      <c r="V20" s="794" t="s">
        <v>1692</v>
      </c>
      <c r="W20" s="794">
        <v>2.82</v>
      </c>
      <c r="X20" s="794">
        <v>7.2</v>
      </c>
      <c r="Y20" s="794"/>
      <c r="Z20" s="794"/>
      <c r="AA20" s="795" t="s">
        <v>1691</v>
      </c>
    </row>
    <row r="21" spans="1:27">
      <c r="A21" s="808">
        <v>31134</v>
      </c>
      <c r="B21" s="807" t="s">
        <v>525</v>
      </c>
      <c r="C21" s="806"/>
      <c r="D21" s="805">
        <v>5</v>
      </c>
      <c r="E21" s="804" t="s">
        <v>402</v>
      </c>
      <c r="F21" s="509" t="s">
        <v>1081</v>
      </c>
      <c r="G21" s="801" t="s">
        <v>521</v>
      </c>
      <c r="H21" s="803" t="s">
        <v>402</v>
      </c>
      <c r="I21" s="803" t="s">
        <v>402</v>
      </c>
      <c r="J21" s="802">
        <v>0</v>
      </c>
      <c r="K21" s="801" t="s">
        <v>395</v>
      </c>
      <c r="L21" s="799">
        <v>6.2E-4</v>
      </c>
      <c r="M21" s="798">
        <v>1</v>
      </c>
      <c r="N21" s="797">
        <v>1.3000688016831126</v>
      </c>
      <c r="O21" s="800" t="s">
        <v>1840</v>
      </c>
      <c r="P21" s="799">
        <v>4.4000000000000002E-4</v>
      </c>
      <c r="Q21" s="798">
        <v>1</v>
      </c>
      <c r="R21" s="797">
        <v>1.3000688016831126</v>
      </c>
      <c r="S21" s="517" t="s">
        <v>1840</v>
      </c>
      <c r="T21" s="796"/>
      <c r="U21" s="795" t="s">
        <v>1004</v>
      </c>
      <c r="V21" s="794" t="s">
        <v>1692</v>
      </c>
      <c r="W21" s="794">
        <v>0.62</v>
      </c>
      <c r="X21" s="794">
        <v>0.44</v>
      </c>
      <c r="Y21" s="794"/>
      <c r="Z21" s="794"/>
      <c r="AA21" s="795" t="s">
        <v>1691</v>
      </c>
    </row>
    <row r="22" spans="1:27">
      <c r="A22" s="808">
        <v>32123</v>
      </c>
      <c r="B22" s="807" t="s">
        <v>525</v>
      </c>
      <c r="C22" s="806"/>
      <c r="D22" s="805">
        <v>5</v>
      </c>
      <c r="E22" s="804" t="s">
        <v>402</v>
      </c>
      <c r="F22" s="509" t="s">
        <v>1275</v>
      </c>
      <c r="G22" s="801" t="s">
        <v>521</v>
      </c>
      <c r="H22" s="803" t="s">
        <v>402</v>
      </c>
      <c r="I22" s="803" t="s">
        <v>402</v>
      </c>
      <c r="J22" s="802">
        <v>0</v>
      </c>
      <c r="K22" s="801" t="s">
        <v>395</v>
      </c>
      <c r="L22" s="799">
        <v>1.4599999999999999E-3</v>
      </c>
      <c r="M22" s="798">
        <v>1</v>
      </c>
      <c r="N22" s="797">
        <v>1.3000688016831126</v>
      </c>
      <c r="O22" s="800" t="s">
        <v>1839</v>
      </c>
      <c r="P22" s="799">
        <v>1.1000000000000001E-3</v>
      </c>
      <c r="Q22" s="798">
        <v>1</v>
      </c>
      <c r="R22" s="797">
        <v>1.3000688016831126</v>
      </c>
      <c r="S22" s="517" t="s">
        <v>1839</v>
      </c>
      <c r="T22" s="796"/>
      <c r="U22" s="795" t="s">
        <v>1838</v>
      </c>
      <c r="V22" s="794" t="s">
        <v>1692</v>
      </c>
      <c r="W22" s="794">
        <v>1.46</v>
      </c>
      <c r="X22" s="794">
        <v>1.1000000000000001</v>
      </c>
      <c r="Y22" s="794"/>
      <c r="Z22" s="794"/>
      <c r="AA22" s="795" t="s">
        <v>1691</v>
      </c>
    </row>
    <row r="23" spans="1:27" ht="72">
      <c r="A23" s="808">
        <v>32004</v>
      </c>
      <c r="B23" s="807" t="s">
        <v>525</v>
      </c>
      <c r="C23" s="806"/>
      <c r="D23" s="809">
        <v>5</v>
      </c>
      <c r="E23" s="804" t="s">
        <v>402</v>
      </c>
      <c r="F23" s="509" t="s">
        <v>1133</v>
      </c>
      <c r="G23" s="801" t="s">
        <v>1105</v>
      </c>
      <c r="H23" s="803" t="s">
        <v>402</v>
      </c>
      <c r="I23" s="803" t="s">
        <v>402</v>
      </c>
      <c r="J23" s="802">
        <v>0</v>
      </c>
      <c r="K23" s="801" t="s">
        <v>678</v>
      </c>
      <c r="L23" s="799">
        <f>AVERAGE(Y23:Z23)</f>
        <v>0.82600000000000007</v>
      </c>
      <c r="M23" s="798">
        <v>1</v>
      </c>
      <c r="N23" s="797">
        <v>1.3000688016831126</v>
      </c>
      <c r="O23" s="800" t="s">
        <v>1837</v>
      </c>
      <c r="P23" s="799">
        <f>AVERAGE(Y23:Z23)</f>
        <v>0.82600000000000007</v>
      </c>
      <c r="Q23" s="798">
        <v>1</v>
      </c>
      <c r="R23" s="797">
        <v>1.3000688016831126</v>
      </c>
      <c r="S23" s="517" t="s">
        <v>1837</v>
      </c>
      <c r="T23" s="796"/>
      <c r="U23" s="795" t="s">
        <v>1707</v>
      </c>
      <c r="V23" s="794" t="s">
        <v>678</v>
      </c>
      <c r="W23" s="794">
        <v>0.7</v>
      </c>
      <c r="X23" s="794">
        <v>0.33</v>
      </c>
      <c r="Y23" s="794">
        <v>0.8</v>
      </c>
      <c r="Z23" s="794">
        <v>0.85199999999999998</v>
      </c>
      <c r="AA23" s="795" t="s">
        <v>1836</v>
      </c>
    </row>
    <row r="24" spans="1:27" ht="24">
      <c r="A24" s="808">
        <v>437</v>
      </c>
      <c r="B24" s="807" t="s">
        <v>1705</v>
      </c>
      <c r="C24" s="806"/>
      <c r="D24" s="804" t="s">
        <v>402</v>
      </c>
      <c r="E24" s="804">
        <v>4</v>
      </c>
      <c r="F24" s="509" t="s">
        <v>1835</v>
      </c>
      <c r="G24" s="801" t="s">
        <v>402</v>
      </c>
      <c r="H24" s="803" t="s">
        <v>325</v>
      </c>
      <c r="I24" s="803" t="s">
        <v>686</v>
      </c>
      <c r="J24" s="802" t="s">
        <v>402</v>
      </c>
      <c r="K24" s="801" t="s">
        <v>395</v>
      </c>
      <c r="L24" s="799">
        <v>5.2000000000000006E-4</v>
      </c>
      <c r="M24" s="798">
        <v>1</v>
      </c>
      <c r="N24" s="797">
        <v>1.6168893782141394</v>
      </c>
      <c r="O24" s="800" t="s">
        <v>1834</v>
      </c>
      <c r="P24" s="799">
        <v>3.8000000000000002E-4</v>
      </c>
      <c r="Q24" s="798">
        <v>1</v>
      </c>
      <c r="R24" s="797">
        <v>1.6168893782141394</v>
      </c>
      <c r="S24" s="517" t="s">
        <v>1834</v>
      </c>
      <c r="T24" s="796"/>
      <c r="U24" s="795" t="s">
        <v>1833</v>
      </c>
      <c r="V24" s="794" t="s">
        <v>1692</v>
      </c>
      <c r="W24" s="794">
        <v>0.52</v>
      </c>
      <c r="X24" s="794">
        <v>0.38</v>
      </c>
      <c r="Y24" s="794"/>
      <c r="Z24" s="794"/>
      <c r="AA24" s="795" t="s">
        <v>1691</v>
      </c>
    </row>
    <row r="25" spans="1:27" ht="24">
      <c r="A25" s="808">
        <v>2193</v>
      </c>
      <c r="B25" s="807" t="s">
        <v>1743</v>
      </c>
      <c r="C25" s="806"/>
      <c r="D25" s="804" t="s">
        <v>402</v>
      </c>
      <c r="E25" s="804">
        <v>4</v>
      </c>
      <c r="F25" s="509" t="s">
        <v>6</v>
      </c>
      <c r="G25" s="801" t="s">
        <v>402</v>
      </c>
      <c r="H25" s="803" t="s">
        <v>211</v>
      </c>
      <c r="I25" s="803" t="s">
        <v>686</v>
      </c>
      <c r="J25" s="802" t="s">
        <v>402</v>
      </c>
      <c r="K25" s="801" t="s">
        <v>395</v>
      </c>
      <c r="L25" s="799">
        <v>7.9400000000000009E-3</v>
      </c>
      <c r="M25" s="798">
        <v>1</v>
      </c>
      <c r="N25" s="797">
        <v>1.6168893782141394</v>
      </c>
      <c r="O25" s="800" t="s">
        <v>1832</v>
      </c>
      <c r="P25" s="799">
        <v>7.8300000000000002E-3</v>
      </c>
      <c r="Q25" s="798">
        <v>1</v>
      </c>
      <c r="R25" s="797">
        <v>1.6168893782141394</v>
      </c>
      <c r="S25" s="517" t="s">
        <v>1832</v>
      </c>
      <c r="T25" s="796"/>
      <c r="U25" s="795" t="s">
        <v>1781</v>
      </c>
      <c r="V25" s="794" t="s">
        <v>1692</v>
      </c>
      <c r="W25" s="794">
        <v>7.94</v>
      </c>
      <c r="X25" s="794">
        <v>7.83</v>
      </c>
      <c r="Y25" s="794"/>
      <c r="Z25" s="794"/>
      <c r="AA25" s="795" t="s">
        <v>1691</v>
      </c>
    </row>
    <row r="26" spans="1:27" ht="24">
      <c r="A26" s="808">
        <v>197</v>
      </c>
      <c r="B26" s="807" t="s">
        <v>1705</v>
      </c>
      <c r="C26" s="806"/>
      <c r="D26" s="804" t="s">
        <v>402</v>
      </c>
      <c r="E26" s="804">
        <v>4</v>
      </c>
      <c r="F26" s="509" t="s">
        <v>977</v>
      </c>
      <c r="G26" s="801" t="s">
        <v>402</v>
      </c>
      <c r="H26" s="803" t="s">
        <v>325</v>
      </c>
      <c r="I26" s="803" t="s">
        <v>686</v>
      </c>
      <c r="J26" s="802" t="s">
        <v>402</v>
      </c>
      <c r="K26" s="801" t="s">
        <v>395</v>
      </c>
      <c r="L26" s="799">
        <v>1E-4</v>
      </c>
      <c r="M26" s="798">
        <v>1</v>
      </c>
      <c r="N26" s="797">
        <v>1.3000688016831126</v>
      </c>
      <c r="O26" s="800" t="s">
        <v>1704</v>
      </c>
      <c r="P26" s="799">
        <v>8.0000000000000007E-5</v>
      </c>
      <c r="Q26" s="798">
        <v>1</v>
      </c>
      <c r="R26" s="797">
        <v>1.3000688016831126</v>
      </c>
      <c r="S26" s="517" t="s">
        <v>1704</v>
      </c>
      <c r="T26" s="796"/>
      <c r="U26" s="795" t="s">
        <v>1703</v>
      </c>
      <c r="V26" s="794" t="s">
        <v>1692</v>
      </c>
      <c r="W26" s="794">
        <v>0.1</v>
      </c>
      <c r="X26" s="794">
        <v>0.08</v>
      </c>
      <c r="Y26" s="794"/>
      <c r="Z26" s="794"/>
      <c r="AA26" s="795" t="s">
        <v>1691</v>
      </c>
    </row>
    <row r="27" spans="1:27" ht="24">
      <c r="A27" s="808">
        <v>1995</v>
      </c>
      <c r="B27" s="807" t="s">
        <v>1743</v>
      </c>
      <c r="C27" s="806"/>
      <c r="D27" s="804" t="s">
        <v>402</v>
      </c>
      <c r="E27" s="804">
        <v>4</v>
      </c>
      <c r="F27" s="509" t="s">
        <v>5</v>
      </c>
      <c r="G27" s="801" t="s">
        <v>402</v>
      </c>
      <c r="H27" s="803" t="s">
        <v>211</v>
      </c>
      <c r="I27" s="803" t="s">
        <v>686</v>
      </c>
      <c r="J27" s="802" t="s">
        <v>402</v>
      </c>
      <c r="K27" s="801" t="s">
        <v>395</v>
      </c>
      <c r="L27" s="799">
        <v>1.66E-3</v>
      </c>
      <c r="M27" s="798">
        <v>1</v>
      </c>
      <c r="N27" s="797">
        <v>3.0909055800049732</v>
      </c>
      <c r="O27" s="800" t="s">
        <v>1780</v>
      </c>
      <c r="P27" s="799">
        <v>6.2E-4</v>
      </c>
      <c r="Q27" s="798">
        <v>1</v>
      </c>
      <c r="R27" s="797">
        <v>3.0909055800049732</v>
      </c>
      <c r="S27" s="517" t="s">
        <v>1780</v>
      </c>
      <c r="T27" s="796"/>
      <c r="U27" s="795" t="s">
        <v>1779</v>
      </c>
      <c r="V27" s="794" t="s">
        <v>1692</v>
      </c>
      <c r="W27" s="794">
        <v>1.66</v>
      </c>
      <c r="X27" s="794">
        <v>0.62</v>
      </c>
      <c r="Y27" s="794"/>
      <c r="Z27" s="794"/>
      <c r="AA27" s="795" t="s">
        <v>1691</v>
      </c>
    </row>
    <row r="28" spans="1:27" s="787" customFormat="1">
      <c r="B28" s="791"/>
      <c r="C28" s="791"/>
      <c r="M28" s="790"/>
      <c r="N28" s="790"/>
      <c r="O28" s="790"/>
      <c r="Q28" s="790"/>
      <c r="R28" s="790"/>
      <c r="S28" s="790"/>
      <c r="T28" s="789"/>
      <c r="U28" s="789"/>
      <c r="V28" s="785"/>
      <c r="W28" s="785"/>
      <c r="X28" s="785"/>
      <c r="Y28" s="785"/>
      <c r="Z28" s="785"/>
      <c r="AA28" s="789"/>
    </row>
    <row r="29" spans="1:27">
      <c r="L29" s="786"/>
      <c r="P29" s="786"/>
      <c r="V29" s="785"/>
      <c r="W29" s="785"/>
      <c r="X29" s="785"/>
      <c r="Y29" s="785"/>
      <c r="Z29" s="785"/>
    </row>
  </sheetData>
  <mergeCells count="1">
    <mergeCell ref="W3:X3"/>
  </mergeCells>
  <conditionalFormatting sqref="L1 P1">
    <cfRule type="cellIs" dxfId="32" priority="1" stopIfTrue="1" operator="equal">
      <formula>$F11</formula>
    </cfRule>
  </conditionalFormatting>
  <conditionalFormatting sqref="B9:B27">
    <cfRule type="cellIs" dxfId="31" priority="2" stopIfTrue="1" operator="notEqual">
      <formula>""</formula>
    </cfRule>
  </conditionalFormatting>
  <dataValidations count="20">
    <dataValidation allowBlank="1" showInputMessage="1" showErrorMessage="1" promptTitle="GeneralComment" prompt="Do not change, if you use Pedigree Matrix. The comment is generated from the remarks field (enter remarks there) and the Pedigree numbers._x000a__x000a_If you calculated the SD from the data (i.e. without Pedigree Matrix), set a direct reference to the remarks. _x000a__x000a_" sqref="S1:S27 O1:O27"/>
    <dataValidation allowBlank="1" showInputMessage="1" showErrorMessage="1" promptTitle="StandardDeviation" prompt="Do only change when you calculated the Standard Deviation (SD) of the data (square SD for lognormal Distribution, 2*SD for normal Distribution - see column M). _x000a__x000a_Otherwise leave the formula to have it calculated from the Pedigree-Matrix (column Q  to V)." sqref="N2:N27 R2:R27"/>
    <dataValidation allowBlank="1" showInputMessage="1" showErrorMessage="1" promptTitle="Uncertainty Type" prompt="Defines the kind of uncertainty distribution applied on one particular exchange. _x000a__x000a_0 = undefined_x000a_1 = LOGNORMAL (default)_x000a_2 = normal_x000a_3 = triang_x000a_4 = uniform_x000a_" sqref="M2:M27 Q2:Q27"/>
    <dataValidation allowBlank="1" showInputMessage="1" showErrorMessage="1" promptTitle="Output Group" prompt="Indicates the kind of output flow. The options 0, 2, and 4 are actively used in the ecoinvent quality network. The codes are: 0=ReferenceProduct_x000a_2=Allocated by product_x000a_4=ToNature_x000a_- = The flow is an Input-Flow_x000a__x000a_" sqref="E7:E23 D24:E27"/>
    <dataValidation allowBlank="1" showInputMessage="1" showErrorMessage="1" prompt="Mean amount of elementary flow or intermediate product flow. Enter your values (or the respective equation) here." sqref="L9:L27 P9:P27"/>
    <dataValidation allowBlank="1" showInputMessage="1" showErrorMessage="1" prompt="Do not enter anything into these fields. _x000a__x000a_Entering the Index-Number in column A will update these fields accordingly (maybe you need to press &quot;F9&quot; to have Excel recalculate the fields). Be sure to have the names-list open._x000a_" sqref="F7:K27"/>
    <dataValidation allowBlank="1" showInputMessage="1" showErrorMessage="1" prompt="always 1" sqref="L7:L8 P7:P8"/>
    <dataValidation allowBlank="1" showInputMessage="1" showErrorMessage="1" promptTitle="Subcategory" prompt="Describes the subCategory one particular exchange belongs to (in English language). Category and subCategory are required for elementary flows because they have a discriminative function." sqref="I2:I3"/>
    <dataValidation allowBlank="1" showInputMessage="1" showErrorMessage="1" promptTitle="Category" prompt="Describes the category one particular exchange belongs to (in English language). Category and subCategory are required for elementary flows because they have a discriminative function." sqref="H2:H3"/>
    <dataValidation allowBlank="1" showInputMessage="1" showErrorMessage="1" promptTitle="Index-Number" prompt="Indicates the reference number in the ecoinvent names list. Insert the index number from the names-list in this field and the rest is completed accordingly._x000a__x000a_If Input-/Outputgroup =4 then see sheet &quot;NamesElementary&quot;_x000a_If I/O-Group=5 then see sheet &quot;Names&quot;" sqref="A2:A3 A16 A19:A22 A9:A14"/>
    <dataValidation allowBlank="1" showInputMessage="1" showErrorMessage="1" promptTitle="Output Group" prompt="Indicates the kind of output flow. The options 0, 2, and 4 are actively used in the ecoinvent quality network. The codes are: 0=ReferenceProduct_x000a_2=Allocated by product_x000a_4=ToNature_x000a_- = The flow is an Input-Flow_x000a_" sqref="E2:E3"/>
    <dataValidation allowBlank="1" showInputMessage="1" showErrorMessage="1" promptTitle="Input Group" prompt="Indicates the kind of input flow. Within the ecoinvent quality network, only 4 and 5 are actively used (any material, fuel, electricity, heat or service is classified as an input from technosphere)._x000a__x000a_4=FromNature_x000a_5=FromTechnosphere_x000a_- = an Output-Flow" sqref="D2:D3 D9:D23"/>
    <dataValidation allowBlank="1" showInputMessage="1" showErrorMessage="1" promptTitle="Location" prompt="List of 2 letter ISO country codes extended by codes for regions, continents, market areas, and organisations and companies._x000a__x000a_See names list (sheet &quot;country&quot;) for the complete list." sqref="G2:G3 F4"/>
    <dataValidation allowBlank="1" showInputMessage="1" showErrorMessage="1" promptTitle="Name" prompt="Name of the exchange (elementary flow or intermediate product flow) in English language. " sqref="F2:F3"/>
    <dataValidation allowBlank="1" showInputMessage="1" showErrorMessage="1" promptTitle="Infrastructure" prompt="Describes whether the intermediate product flow from or to the unit process is an infrastructure process or not._x000a__x000a_Not applicable to elementary flows." sqref="F5 J2:J3"/>
    <dataValidation allowBlank="1" showInputMessage="1" showErrorMessage="1" promptTitle="Unit" prompt="Unit of the exchange (elementary flow or intermediate product flow)." sqref="F6 K2:K3"/>
    <dataValidation allowBlank="1" showInputMessage="1" showErrorMessage="1" prompt="This cell is automatically updated from the names List according to the index number in L1. It needs to be identical to the output product." sqref="L3:L6 P3:P6"/>
    <dataValidation allowBlank="1" showInputMessage="1" showErrorMessage="1" promptTitle="Empty Line" prompt="An empty line signalises the end of an Ecospold-Dataset. Processes below the first empty line are excluded when exporting to XML. You can use the space below e.g. for additional calculations or comments" sqref="U28 A28:S28 AA28:II28"/>
    <dataValidation allowBlank="1" showInputMessage="1" showErrorMessage="1" promptTitle="Remarks" prompt="A general comment (data source, calculation procedure, ...) can be made about each individual exchange. The remarks are added to the GeneralComment-field." sqref="AA2:AA3 U3 U9:U27 AA9:AA27"/>
    <dataValidation allowBlank="1" showInputMessage="1" showErrorMessage="1" promptTitle="Input Group" prompt="Indicates the kind of input flow. Within the ecoinvent quality network, only 4 and 5 are actively used (any material, fuel, electricity, heat or service is classified as an input from technosphere)._x000a__x000a_4=FromNature_x000a_5=FromTechnosphere" sqref="D7:D8"/>
  </dataValidations>
  <printOptions horizontalCentered="1" verticalCentered="1"/>
  <pageMargins left="0.78740157480314965" right="0.78740157480314965" top="0.98425196850393704" bottom="0.98425196850393704" header="0.51181102362204722" footer="0.51181102362204722"/>
  <pageSetup paperSize="9" scale="34" orientation="landscape" r:id="rId1"/>
  <headerFooter alignWithMargins="0">
    <oddHeader>&amp;A</oddHeader>
    <oddFooter>&amp;L&amp;D&amp;C&amp;F&amp;RSeite &amp;P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2"/>
  <sheetViews>
    <sheetView zoomScale="75" workbookViewId="0">
      <pane xSplit="3" ySplit="6" topLeftCell="D7" activePane="bottomRight" state="frozen"/>
      <selection activeCell="C40" sqref="C40"/>
      <selection pane="topRight" activeCell="C40" sqref="C40"/>
      <selection pane="bottomLeft" activeCell="C40" sqref="C40"/>
      <selection pane="bottomRight" activeCell="C40" sqref="C40"/>
    </sheetView>
  </sheetViews>
  <sheetFormatPr defaultColWidth="11.42578125" defaultRowHeight="12" outlineLevelCol="1"/>
  <cols>
    <col min="1" max="1" width="5.85546875" style="780" customWidth="1"/>
    <col min="2" max="2" width="16" style="784" customWidth="1"/>
    <col min="3" max="3" width="3.7109375" style="783" hidden="1" customWidth="1" outlineLevel="1"/>
    <col min="4" max="4" width="4.140625" style="780" hidden="1" customWidth="1" outlineLevel="1"/>
    <col min="5" max="5" width="4" style="780" hidden="1" customWidth="1" outlineLevel="1"/>
    <col min="6" max="6" width="48.140625" style="780" customWidth="1" collapsed="1"/>
    <col min="7" max="7" width="6" style="780" customWidth="1"/>
    <col min="8" max="8" width="8.28515625" style="780" hidden="1" customWidth="1" outlineLevel="1"/>
    <col min="9" max="9" width="19.5703125" style="780" hidden="1" customWidth="1" outlineLevel="1"/>
    <col min="10" max="10" width="2.7109375" style="780" customWidth="1" collapsed="1"/>
    <col min="11" max="11" width="5.140625" style="780" customWidth="1"/>
    <col min="12" max="12" width="14" style="780" customWidth="1"/>
    <col min="13" max="13" width="3.5703125" style="318" hidden="1" customWidth="1" outlineLevel="1"/>
    <col min="14" max="14" width="6.5703125" style="318" hidden="1" customWidth="1" outlineLevel="1"/>
    <col min="15" max="15" width="36.85546875" style="318" hidden="1" customWidth="1" outlineLevel="1"/>
    <col min="16" max="16" width="14" style="780" customWidth="1" collapsed="1"/>
    <col min="17" max="17" width="3.5703125" style="318" customWidth="1" outlineLevel="1"/>
    <col min="18" max="18" width="6.5703125" style="318" customWidth="1" outlineLevel="1"/>
    <col min="19" max="19" width="50.28515625" style="318" customWidth="1" outlineLevel="1"/>
    <col min="20" max="20" width="14.140625" style="782" customWidth="1"/>
    <col min="21" max="21" width="28.85546875" style="782" customWidth="1"/>
    <col min="22" max="22" width="6.85546875" style="782" customWidth="1"/>
    <col min="23" max="23" width="12.5703125" style="782" customWidth="1"/>
    <col min="24" max="26" width="16.85546875" style="782" customWidth="1"/>
    <col min="27" max="27" width="20" style="782" bestFit="1" customWidth="1"/>
    <col min="28" max="16384" width="11.42578125" style="780"/>
  </cols>
  <sheetData>
    <row r="1" spans="1:27">
      <c r="A1" s="831"/>
      <c r="B1" s="848"/>
      <c r="C1" s="829"/>
      <c r="D1" s="831"/>
      <c r="E1" s="831"/>
      <c r="F1" s="847" t="s">
        <v>510</v>
      </c>
      <c r="G1" s="831"/>
      <c r="H1" s="831"/>
      <c r="I1" s="831"/>
      <c r="J1" s="831"/>
      <c r="K1" s="831"/>
      <c r="L1" s="846" t="s">
        <v>1884</v>
      </c>
      <c r="M1" s="184"/>
      <c r="N1" s="184"/>
      <c r="O1" s="184"/>
      <c r="P1" s="846" t="s">
        <v>1882</v>
      </c>
      <c r="Q1" s="184"/>
      <c r="R1" s="184"/>
      <c r="S1" s="184"/>
      <c r="T1" s="785"/>
      <c r="U1" s="785"/>
      <c r="V1" s="785"/>
      <c r="W1" s="785"/>
      <c r="X1" s="785"/>
      <c r="Y1" s="785"/>
      <c r="Z1" s="785"/>
      <c r="AA1" s="785"/>
    </row>
    <row r="2" spans="1:27">
      <c r="A2" s="831"/>
      <c r="B2" s="844"/>
      <c r="C2" s="829" t="s">
        <v>511</v>
      </c>
      <c r="D2" s="844">
        <v>3503</v>
      </c>
      <c r="E2" s="844">
        <v>3504</v>
      </c>
      <c r="F2" s="844">
        <v>3702</v>
      </c>
      <c r="G2" s="844">
        <v>3703</v>
      </c>
      <c r="H2" s="844">
        <v>3506</v>
      </c>
      <c r="I2" s="844">
        <v>3507</v>
      </c>
      <c r="J2" s="844">
        <v>3508</v>
      </c>
      <c r="K2" s="844">
        <v>3706</v>
      </c>
      <c r="L2" s="844">
        <v>3707</v>
      </c>
      <c r="M2" s="843">
        <v>3708</v>
      </c>
      <c r="N2" s="843">
        <v>3709</v>
      </c>
      <c r="O2" s="845">
        <v>3792</v>
      </c>
      <c r="P2" s="844">
        <v>3707</v>
      </c>
      <c r="Q2" s="843">
        <v>3708</v>
      </c>
      <c r="R2" s="843">
        <v>3709</v>
      </c>
      <c r="S2" s="842">
        <v>3792</v>
      </c>
      <c r="T2" s="836"/>
      <c r="V2" s="785"/>
      <c r="W2" s="785"/>
      <c r="X2" s="785"/>
      <c r="Y2" s="785"/>
      <c r="Z2" s="785"/>
      <c r="AA2" s="836"/>
    </row>
    <row r="3" spans="1:27" ht="132">
      <c r="A3" s="831" t="s">
        <v>398</v>
      </c>
      <c r="B3" s="830"/>
      <c r="C3" s="829">
        <v>401</v>
      </c>
      <c r="D3" s="841" t="s">
        <v>514</v>
      </c>
      <c r="E3" s="841" t="s">
        <v>515</v>
      </c>
      <c r="F3" s="827" t="s">
        <v>516</v>
      </c>
      <c r="G3" s="840" t="s">
        <v>517</v>
      </c>
      <c r="H3" s="840" t="s">
        <v>518</v>
      </c>
      <c r="I3" s="840" t="s">
        <v>519</v>
      </c>
      <c r="J3" s="840" t="s">
        <v>520</v>
      </c>
      <c r="K3" s="840" t="s">
        <v>394</v>
      </c>
      <c r="L3" s="826" t="s">
        <v>1883</v>
      </c>
      <c r="M3" s="838" t="s">
        <v>265</v>
      </c>
      <c r="N3" s="838" t="s">
        <v>266</v>
      </c>
      <c r="O3" s="839" t="s">
        <v>548</v>
      </c>
      <c r="P3" s="826" t="s">
        <v>1881</v>
      </c>
      <c r="Q3" s="838" t="s">
        <v>265</v>
      </c>
      <c r="R3" s="838" t="s">
        <v>266</v>
      </c>
      <c r="S3" s="837" t="s">
        <v>548</v>
      </c>
      <c r="T3" s="823" t="s">
        <v>1728</v>
      </c>
      <c r="U3" s="836" t="s">
        <v>264</v>
      </c>
      <c r="V3" s="794" t="s">
        <v>1732</v>
      </c>
      <c r="W3" s="1049" t="s">
        <v>1731</v>
      </c>
      <c r="X3" s="1049"/>
      <c r="Y3" s="834" t="s">
        <v>1864</v>
      </c>
      <c r="Z3" s="834" t="s">
        <v>1829</v>
      </c>
      <c r="AA3" s="836" t="s">
        <v>1728</v>
      </c>
    </row>
    <row r="4" spans="1:27" ht="12.75" customHeight="1">
      <c r="A4" s="831"/>
      <c r="B4" s="830"/>
      <c r="C4" s="829">
        <v>662</v>
      </c>
      <c r="D4" s="828"/>
      <c r="E4" s="828"/>
      <c r="F4" s="827" t="s">
        <v>517</v>
      </c>
      <c r="G4" s="827"/>
      <c r="H4" s="827"/>
      <c r="I4" s="827"/>
      <c r="J4" s="827"/>
      <c r="K4" s="827"/>
      <c r="L4" s="826" t="s">
        <v>1105</v>
      </c>
      <c r="M4" s="825"/>
      <c r="N4" s="825"/>
      <c r="O4" s="824"/>
      <c r="P4" s="826" t="s">
        <v>1105</v>
      </c>
      <c r="Q4" s="825"/>
      <c r="R4" s="825"/>
      <c r="S4" s="824"/>
      <c r="T4" s="823" t="s">
        <v>393</v>
      </c>
      <c r="U4" s="835"/>
      <c r="V4" s="785"/>
      <c r="W4" s="834" t="s">
        <v>1727</v>
      </c>
      <c r="X4" s="833" t="s">
        <v>1726</v>
      </c>
      <c r="Y4" s="833"/>
      <c r="Z4" s="833"/>
      <c r="AA4" s="835"/>
    </row>
    <row r="5" spans="1:27">
      <c r="A5" s="831"/>
      <c r="B5" s="830"/>
      <c r="C5" s="829">
        <v>493</v>
      </c>
      <c r="D5" s="828"/>
      <c r="E5" s="828"/>
      <c r="F5" s="827" t="s">
        <v>520</v>
      </c>
      <c r="G5" s="827"/>
      <c r="H5" s="827"/>
      <c r="I5" s="827"/>
      <c r="J5" s="827"/>
      <c r="K5" s="827"/>
      <c r="L5" s="826">
        <v>0</v>
      </c>
      <c r="M5" s="825"/>
      <c r="N5" s="825"/>
      <c r="O5" s="824"/>
      <c r="P5" s="826">
        <v>0</v>
      </c>
      <c r="Q5" s="825"/>
      <c r="R5" s="825"/>
      <c r="S5" s="824"/>
      <c r="T5" s="823">
        <v>2009</v>
      </c>
      <c r="U5" s="785"/>
      <c r="V5" s="785"/>
      <c r="W5" s="785"/>
      <c r="X5" s="785"/>
      <c r="Y5" s="785"/>
      <c r="Z5" s="785"/>
      <c r="AA5" s="785"/>
    </row>
    <row r="6" spans="1:27" ht="12.75" customHeight="1">
      <c r="A6" s="831"/>
      <c r="B6" s="830"/>
      <c r="C6" s="829">
        <v>403</v>
      </c>
      <c r="D6" s="828"/>
      <c r="E6" s="828"/>
      <c r="F6" s="827" t="s">
        <v>394</v>
      </c>
      <c r="G6" s="827"/>
      <c r="H6" s="827"/>
      <c r="I6" s="827"/>
      <c r="J6" s="827"/>
      <c r="K6" s="827"/>
      <c r="L6" s="826" t="s">
        <v>522</v>
      </c>
      <c r="M6" s="825"/>
      <c r="N6" s="825"/>
      <c r="O6" s="824"/>
      <c r="P6" s="826" t="s">
        <v>522</v>
      </c>
      <c r="Q6" s="825"/>
      <c r="R6" s="825"/>
      <c r="S6" s="824"/>
      <c r="T6" s="823" t="s">
        <v>395</v>
      </c>
      <c r="U6" s="785"/>
      <c r="V6" s="785"/>
      <c r="W6" s="785"/>
      <c r="X6" s="785"/>
      <c r="Y6" s="785"/>
      <c r="Z6" s="785"/>
      <c r="AA6" s="785"/>
    </row>
    <row r="7" spans="1:27">
      <c r="A7" s="808" t="s">
        <v>1884</v>
      </c>
      <c r="B7" s="807" t="s">
        <v>523</v>
      </c>
      <c r="C7" s="806"/>
      <c r="D7" s="821" t="s">
        <v>402</v>
      </c>
      <c r="E7" s="820">
        <v>0</v>
      </c>
      <c r="F7" s="819" t="s">
        <v>1883</v>
      </c>
      <c r="G7" s="816" t="s">
        <v>1105</v>
      </c>
      <c r="H7" s="818" t="s">
        <v>402</v>
      </c>
      <c r="I7" s="818" t="s">
        <v>402</v>
      </c>
      <c r="J7" s="817">
        <v>0</v>
      </c>
      <c r="K7" s="816" t="s">
        <v>522</v>
      </c>
      <c r="L7" s="815">
        <v>1</v>
      </c>
      <c r="M7" s="814"/>
      <c r="N7" s="813"/>
      <c r="O7" s="800"/>
      <c r="P7" s="815">
        <v>0</v>
      </c>
      <c r="Q7" s="814"/>
      <c r="R7" s="813"/>
      <c r="S7" s="800"/>
      <c r="T7" s="812"/>
      <c r="U7" s="811"/>
      <c r="V7" s="785"/>
      <c r="W7" s="785"/>
      <c r="X7" s="785"/>
      <c r="Y7" s="785"/>
      <c r="Z7" s="785"/>
      <c r="AA7" s="811"/>
    </row>
    <row r="8" spans="1:27">
      <c r="A8" s="808" t="s">
        <v>1882</v>
      </c>
      <c r="B8" s="807"/>
      <c r="C8" s="806"/>
      <c r="D8" s="821" t="s">
        <v>402</v>
      </c>
      <c r="E8" s="820">
        <v>0</v>
      </c>
      <c r="F8" s="819" t="s">
        <v>1881</v>
      </c>
      <c r="G8" s="816" t="s">
        <v>1105</v>
      </c>
      <c r="H8" s="818" t="s">
        <v>402</v>
      </c>
      <c r="I8" s="818" t="s">
        <v>402</v>
      </c>
      <c r="J8" s="817">
        <v>0</v>
      </c>
      <c r="K8" s="816" t="s">
        <v>522</v>
      </c>
      <c r="L8" s="815">
        <v>0</v>
      </c>
      <c r="M8" s="814"/>
      <c r="N8" s="813"/>
      <c r="O8" s="800"/>
      <c r="P8" s="815">
        <v>1</v>
      </c>
      <c r="Q8" s="814"/>
      <c r="R8" s="813"/>
      <c r="S8" s="800"/>
      <c r="T8" s="812"/>
      <c r="U8" s="811"/>
      <c r="V8" s="785"/>
      <c r="W8" s="785"/>
      <c r="X8" s="785"/>
      <c r="Y8" s="785"/>
      <c r="Z8" s="785"/>
      <c r="AA8" s="811"/>
    </row>
    <row r="9" spans="1:27" ht="21.75" customHeight="1">
      <c r="A9" s="808" t="s">
        <v>1863</v>
      </c>
      <c r="B9" s="807" t="s">
        <v>524</v>
      </c>
      <c r="C9" s="806" t="s">
        <v>525</v>
      </c>
      <c r="D9" s="809">
        <v>5</v>
      </c>
      <c r="E9" s="804" t="s">
        <v>402</v>
      </c>
      <c r="F9" s="509" t="s">
        <v>1862</v>
      </c>
      <c r="G9" s="801" t="s">
        <v>1105</v>
      </c>
      <c r="H9" s="803" t="s">
        <v>402</v>
      </c>
      <c r="I9" s="803" t="s">
        <v>402</v>
      </c>
      <c r="J9" s="802">
        <v>0</v>
      </c>
      <c r="K9" s="801" t="s">
        <v>522</v>
      </c>
      <c r="L9" s="799">
        <v>72</v>
      </c>
      <c r="M9" s="798">
        <v>1</v>
      </c>
      <c r="N9" s="797">
        <v>1.3000688016831126</v>
      </c>
      <c r="O9" s="800" t="s">
        <v>1880</v>
      </c>
      <c r="P9" s="799">
        <v>0</v>
      </c>
      <c r="Q9" s="798">
        <v>1</v>
      </c>
      <c r="R9" s="797">
        <v>1.3000688016831126</v>
      </c>
      <c r="S9" s="517" t="s">
        <v>1880</v>
      </c>
      <c r="T9" s="796"/>
      <c r="U9" s="795" t="s">
        <v>461</v>
      </c>
      <c r="V9" s="794" t="s">
        <v>1857</v>
      </c>
      <c r="W9" s="794">
        <v>72</v>
      </c>
      <c r="X9" s="794">
        <v>72</v>
      </c>
      <c r="Y9" s="794"/>
      <c r="Z9" s="794"/>
      <c r="AA9" s="795" t="s">
        <v>1691</v>
      </c>
    </row>
    <row r="10" spans="1:27" ht="21.75" customHeight="1">
      <c r="A10" s="808" t="s">
        <v>1861</v>
      </c>
      <c r="B10" s="807" t="s">
        <v>525</v>
      </c>
      <c r="C10" s="806" t="s">
        <v>525</v>
      </c>
      <c r="D10" s="809">
        <v>5</v>
      </c>
      <c r="E10" s="804" t="s">
        <v>402</v>
      </c>
      <c r="F10" s="509" t="s">
        <v>1860</v>
      </c>
      <c r="G10" s="801" t="s">
        <v>1105</v>
      </c>
      <c r="H10" s="803" t="s">
        <v>402</v>
      </c>
      <c r="I10" s="803" t="s">
        <v>402</v>
      </c>
      <c r="J10" s="802">
        <v>0</v>
      </c>
      <c r="K10" s="801" t="s">
        <v>522</v>
      </c>
      <c r="L10" s="799">
        <v>0</v>
      </c>
      <c r="M10" s="798">
        <v>1</v>
      </c>
      <c r="N10" s="797">
        <v>1.3000688016831126</v>
      </c>
      <c r="O10" s="800" t="s">
        <v>1880</v>
      </c>
      <c r="P10" s="799">
        <v>72</v>
      </c>
      <c r="Q10" s="798">
        <v>1</v>
      </c>
      <c r="R10" s="797">
        <v>1.3000688016831126</v>
      </c>
      <c r="S10" s="517" t="s">
        <v>1880</v>
      </c>
      <c r="T10" s="796"/>
      <c r="U10" s="795" t="s">
        <v>461</v>
      </c>
      <c r="V10" s="794" t="s">
        <v>1857</v>
      </c>
      <c r="W10" s="794">
        <v>72</v>
      </c>
      <c r="X10" s="794">
        <v>72</v>
      </c>
      <c r="Y10" s="794"/>
      <c r="Z10" s="794"/>
      <c r="AA10" s="795" t="s">
        <v>1691</v>
      </c>
    </row>
    <row r="11" spans="1:27" ht="21.75" customHeight="1">
      <c r="A11" s="808">
        <v>992</v>
      </c>
      <c r="B11" s="807" t="s">
        <v>525</v>
      </c>
      <c r="C11" s="806" t="s">
        <v>525</v>
      </c>
      <c r="D11" s="809">
        <v>5</v>
      </c>
      <c r="E11" s="804" t="s">
        <v>402</v>
      </c>
      <c r="F11" s="509" t="s">
        <v>1085</v>
      </c>
      <c r="G11" s="801" t="s">
        <v>521</v>
      </c>
      <c r="H11" s="803" t="s">
        <v>402</v>
      </c>
      <c r="I11" s="803" t="s">
        <v>402</v>
      </c>
      <c r="J11" s="802">
        <v>0</v>
      </c>
      <c r="K11" s="801" t="s">
        <v>395</v>
      </c>
      <c r="L11" s="799">
        <v>3.5999999999999997E-2</v>
      </c>
      <c r="M11" s="798">
        <v>1</v>
      </c>
      <c r="N11" s="797">
        <v>1.3000688016831126</v>
      </c>
      <c r="O11" s="800" t="s">
        <v>1879</v>
      </c>
      <c r="P11" s="799">
        <v>3.5999999999999997E-2</v>
      </c>
      <c r="Q11" s="798">
        <v>1</v>
      </c>
      <c r="R11" s="797">
        <v>1.3000688016831126</v>
      </c>
      <c r="S11" s="517" t="s">
        <v>1879</v>
      </c>
      <c r="T11" s="796"/>
      <c r="U11" s="795" t="s">
        <v>1878</v>
      </c>
      <c r="V11" s="794" t="s">
        <v>1692</v>
      </c>
      <c r="W11" s="794">
        <v>36</v>
      </c>
      <c r="X11" s="794">
        <v>36</v>
      </c>
      <c r="Y11" s="794"/>
      <c r="Z11" s="794"/>
      <c r="AA11" s="795" t="s">
        <v>1691</v>
      </c>
    </row>
    <row r="12" spans="1:27">
      <c r="A12" s="808">
        <v>2929</v>
      </c>
      <c r="B12" s="807" t="s">
        <v>525</v>
      </c>
      <c r="C12" s="806"/>
      <c r="D12" s="809">
        <v>5</v>
      </c>
      <c r="E12" s="804" t="s">
        <v>402</v>
      </c>
      <c r="F12" s="509" t="s">
        <v>1086</v>
      </c>
      <c r="G12" s="801" t="s">
        <v>521</v>
      </c>
      <c r="H12" s="803" t="s">
        <v>402</v>
      </c>
      <c r="I12" s="803" t="s">
        <v>402</v>
      </c>
      <c r="J12" s="802">
        <v>0</v>
      </c>
      <c r="K12" s="801" t="s">
        <v>395</v>
      </c>
      <c r="L12" s="799">
        <v>17.851240000000001</v>
      </c>
      <c r="M12" s="798">
        <v>1</v>
      </c>
      <c r="N12" s="797">
        <v>1.3000688016831126</v>
      </c>
      <c r="O12" s="800" t="s">
        <v>1877</v>
      </c>
      <c r="P12" s="799">
        <v>14.280989999999999</v>
      </c>
      <c r="Q12" s="798">
        <v>1</v>
      </c>
      <c r="R12" s="797">
        <v>1.3000688016831126</v>
      </c>
      <c r="S12" s="517" t="s">
        <v>1877</v>
      </c>
      <c r="T12" s="796"/>
      <c r="U12" s="795" t="s">
        <v>1876</v>
      </c>
      <c r="V12" s="794" t="s">
        <v>1692</v>
      </c>
      <c r="W12" s="794">
        <v>17851.240000000002</v>
      </c>
      <c r="X12" s="794">
        <v>14280.99</v>
      </c>
      <c r="Y12" s="794"/>
      <c r="Z12" s="794"/>
      <c r="AA12" s="795" t="s">
        <v>1691</v>
      </c>
    </row>
    <row r="13" spans="1:27">
      <c r="A13" s="808">
        <v>32127</v>
      </c>
      <c r="B13" s="807" t="s">
        <v>525</v>
      </c>
      <c r="C13" s="806"/>
      <c r="D13" s="809">
        <v>5</v>
      </c>
      <c r="E13" s="804" t="s">
        <v>402</v>
      </c>
      <c r="F13" s="509" t="s">
        <v>1093</v>
      </c>
      <c r="G13" s="801" t="s">
        <v>465</v>
      </c>
      <c r="H13" s="803" t="s">
        <v>402</v>
      </c>
      <c r="I13" s="803" t="s">
        <v>402</v>
      </c>
      <c r="J13" s="802">
        <v>0</v>
      </c>
      <c r="K13" s="801" t="s">
        <v>395</v>
      </c>
      <c r="L13" s="799">
        <v>0.25467000000000001</v>
      </c>
      <c r="M13" s="798">
        <v>1</v>
      </c>
      <c r="N13" s="797">
        <v>1.3000688016831126</v>
      </c>
      <c r="O13" s="800" t="s">
        <v>1875</v>
      </c>
      <c r="P13" s="799">
        <v>0.25467000000000001</v>
      </c>
      <c r="Q13" s="798">
        <v>1</v>
      </c>
      <c r="R13" s="797">
        <v>1.3000688016831126</v>
      </c>
      <c r="S13" s="517" t="s">
        <v>1875</v>
      </c>
      <c r="T13" s="796"/>
      <c r="U13" s="795" t="s">
        <v>1874</v>
      </c>
      <c r="V13" s="794" t="s">
        <v>1692</v>
      </c>
      <c r="W13" s="794">
        <v>254.67</v>
      </c>
      <c r="X13" s="794">
        <v>254.67</v>
      </c>
      <c r="Y13" s="794"/>
      <c r="Z13" s="794"/>
      <c r="AA13" s="795" t="s">
        <v>1691</v>
      </c>
    </row>
    <row r="14" spans="1:27">
      <c r="A14" s="808">
        <v>1262</v>
      </c>
      <c r="B14" s="807" t="s">
        <v>525</v>
      </c>
      <c r="C14" s="806"/>
      <c r="D14" s="809">
        <v>5</v>
      </c>
      <c r="E14" s="804" t="s">
        <v>402</v>
      </c>
      <c r="F14" s="509" t="s">
        <v>1094</v>
      </c>
      <c r="G14" s="801" t="s">
        <v>521</v>
      </c>
      <c r="H14" s="803" t="s">
        <v>402</v>
      </c>
      <c r="I14" s="803" t="s">
        <v>402</v>
      </c>
      <c r="J14" s="802">
        <v>0</v>
      </c>
      <c r="K14" s="801" t="s">
        <v>395</v>
      </c>
      <c r="L14" s="799">
        <v>0.52000999999999997</v>
      </c>
      <c r="M14" s="798">
        <v>1</v>
      </c>
      <c r="N14" s="797">
        <v>1.3000688016831126</v>
      </c>
      <c r="O14" s="800" t="s">
        <v>1873</v>
      </c>
      <c r="P14" s="799">
        <v>0.52000999999999997</v>
      </c>
      <c r="Q14" s="798">
        <v>1</v>
      </c>
      <c r="R14" s="797">
        <v>1.3000688016831126</v>
      </c>
      <c r="S14" s="517" t="s">
        <v>1873</v>
      </c>
      <c r="T14" s="796"/>
      <c r="U14" s="795" t="s">
        <v>1872</v>
      </c>
      <c r="V14" s="794" t="s">
        <v>1692</v>
      </c>
      <c r="W14" s="794">
        <v>520.01</v>
      </c>
      <c r="X14" s="794">
        <v>520.01</v>
      </c>
      <c r="Y14" s="794"/>
      <c r="Z14" s="794"/>
      <c r="AA14" s="795" t="s">
        <v>1691</v>
      </c>
    </row>
    <row r="15" spans="1:27">
      <c r="A15" s="808">
        <v>3819</v>
      </c>
      <c r="B15" s="807" t="s">
        <v>525</v>
      </c>
      <c r="C15" s="806"/>
      <c r="D15" s="809">
        <v>5</v>
      </c>
      <c r="E15" s="804" t="s">
        <v>402</v>
      </c>
      <c r="F15" s="509" t="s">
        <v>1095</v>
      </c>
      <c r="G15" s="801" t="s">
        <v>521</v>
      </c>
      <c r="H15" s="803" t="s">
        <v>402</v>
      </c>
      <c r="I15" s="803" t="s">
        <v>402</v>
      </c>
      <c r="J15" s="802">
        <v>0</v>
      </c>
      <c r="K15" s="801" t="s">
        <v>395</v>
      </c>
      <c r="L15" s="799">
        <v>0.113</v>
      </c>
      <c r="M15" s="798">
        <v>1</v>
      </c>
      <c r="N15" s="797">
        <v>1.3000688016831126</v>
      </c>
      <c r="O15" s="800" t="s">
        <v>1871</v>
      </c>
      <c r="P15" s="799">
        <v>0.113</v>
      </c>
      <c r="Q15" s="798">
        <v>1</v>
      </c>
      <c r="R15" s="797">
        <v>1.3000688016831126</v>
      </c>
      <c r="S15" s="517" t="s">
        <v>1871</v>
      </c>
      <c r="T15" s="796"/>
      <c r="U15" s="795" t="s">
        <v>1870</v>
      </c>
      <c r="V15" s="794" t="s">
        <v>1692</v>
      </c>
      <c r="W15" s="794">
        <v>113</v>
      </c>
      <c r="X15" s="794">
        <v>113</v>
      </c>
      <c r="Y15" s="794"/>
      <c r="Z15" s="794"/>
      <c r="AA15" s="795" t="s">
        <v>1691</v>
      </c>
    </row>
    <row r="16" spans="1:27">
      <c r="A16" s="808">
        <v>67</v>
      </c>
      <c r="B16" s="807" t="s">
        <v>525</v>
      </c>
      <c r="C16" s="806"/>
      <c r="D16" s="809">
        <v>5</v>
      </c>
      <c r="E16" s="804" t="s">
        <v>402</v>
      </c>
      <c r="F16" s="509" t="s">
        <v>1084</v>
      </c>
      <c r="G16" s="801" t="s">
        <v>521</v>
      </c>
      <c r="H16" s="803" t="s">
        <v>402</v>
      </c>
      <c r="I16" s="803" t="s">
        <v>402</v>
      </c>
      <c r="J16" s="802">
        <v>0</v>
      </c>
      <c r="K16" s="801" t="s">
        <v>395</v>
      </c>
      <c r="L16" s="799">
        <v>3.4</v>
      </c>
      <c r="M16" s="798">
        <v>1</v>
      </c>
      <c r="N16" s="797">
        <v>1.3000688016831126</v>
      </c>
      <c r="O16" s="800" t="s">
        <v>1869</v>
      </c>
      <c r="P16" s="799">
        <v>2.7</v>
      </c>
      <c r="Q16" s="798">
        <v>1</v>
      </c>
      <c r="R16" s="797">
        <v>1.3000688016831126</v>
      </c>
      <c r="S16" s="517" t="s">
        <v>1869</v>
      </c>
      <c r="T16" s="796"/>
      <c r="U16" s="795" t="s">
        <v>1868</v>
      </c>
      <c r="V16" s="794" t="s">
        <v>1692</v>
      </c>
      <c r="W16" s="794">
        <v>3400</v>
      </c>
      <c r="X16" s="794">
        <v>2700</v>
      </c>
      <c r="Y16" s="794"/>
      <c r="Z16" s="794"/>
      <c r="AA16" s="795" t="s">
        <v>1691</v>
      </c>
    </row>
    <row r="17" spans="1:27">
      <c r="A17" s="808">
        <v>1212</v>
      </c>
      <c r="B17" s="807" t="s">
        <v>525</v>
      </c>
      <c r="C17" s="806"/>
      <c r="D17" s="809">
        <v>5</v>
      </c>
      <c r="E17" s="804" t="s">
        <v>402</v>
      </c>
      <c r="F17" s="509" t="s">
        <v>1092</v>
      </c>
      <c r="G17" s="801" t="s">
        <v>521</v>
      </c>
      <c r="H17" s="803" t="s">
        <v>402</v>
      </c>
      <c r="I17" s="803" t="s">
        <v>402</v>
      </c>
      <c r="J17" s="802">
        <v>0</v>
      </c>
      <c r="K17" s="801" t="s">
        <v>395</v>
      </c>
      <c r="L17" s="799">
        <v>1.90154</v>
      </c>
      <c r="M17" s="798">
        <v>1</v>
      </c>
      <c r="N17" s="797">
        <v>1.3000688016831126</v>
      </c>
      <c r="O17" s="800" t="s">
        <v>1867</v>
      </c>
      <c r="P17" s="799">
        <v>1.90154</v>
      </c>
      <c r="Q17" s="798">
        <v>1</v>
      </c>
      <c r="R17" s="797">
        <v>1.3000688016831126</v>
      </c>
      <c r="S17" s="517" t="s">
        <v>1867</v>
      </c>
      <c r="T17" s="796"/>
      <c r="U17" s="795" t="s">
        <v>1866</v>
      </c>
      <c r="V17" s="794" t="s">
        <v>1692</v>
      </c>
      <c r="W17" s="794">
        <v>1901.54</v>
      </c>
      <c r="X17" s="794">
        <v>1901.54</v>
      </c>
      <c r="Y17" s="794"/>
      <c r="Z17" s="794"/>
      <c r="AA17" s="795" t="s">
        <v>1691</v>
      </c>
    </row>
    <row r="18" spans="1:27" ht="72">
      <c r="A18" s="808">
        <v>32004</v>
      </c>
      <c r="B18" s="807" t="s">
        <v>525</v>
      </c>
      <c r="C18" s="806"/>
      <c r="D18" s="809">
        <v>5</v>
      </c>
      <c r="E18" s="804" t="s">
        <v>402</v>
      </c>
      <c r="F18" s="509" t="s">
        <v>1133</v>
      </c>
      <c r="G18" s="801" t="s">
        <v>1105</v>
      </c>
      <c r="H18" s="803" t="s">
        <v>402</v>
      </c>
      <c r="I18" s="803" t="s">
        <v>402</v>
      </c>
      <c r="J18" s="802">
        <v>0</v>
      </c>
      <c r="K18" s="801" t="s">
        <v>678</v>
      </c>
      <c r="L18" s="799">
        <v>34</v>
      </c>
      <c r="M18" s="798">
        <v>1</v>
      </c>
      <c r="N18" s="797">
        <v>1.3000688016831126</v>
      </c>
      <c r="O18" s="800" t="s">
        <v>1837</v>
      </c>
      <c r="P18" s="799">
        <v>34</v>
      </c>
      <c r="Q18" s="798">
        <v>1</v>
      </c>
      <c r="R18" s="797">
        <v>1.3000688016831126</v>
      </c>
      <c r="S18" s="517" t="s">
        <v>1837</v>
      </c>
      <c r="T18" s="796"/>
      <c r="U18" s="795" t="s">
        <v>1707</v>
      </c>
      <c r="V18" s="794" t="s">
        <v>678</v>
      </c>
      <c r="W18" s="794">
        <v>18</v>
      </c>
      <c r="X18" s="794">
        <v>18</v>
      </c>
      <c r="Y18" s="794">
        <v>28.799999999999997</v>
      </c>
      <c r="Z18" s="794">
        <v>39.200000000000003</v>
      </c>
      <c r="AA18" s="795" t="s">
        <v>1836</v>
      </c>
    </row>
    <row r="19" spans="1:27">
      <c r="A19" s="808">
        <v>1212</v>
      </c>
      <c r="B19" s="807" t="s">
        <v>525</v>
      </c>
      <c r="C19" s="806"/>
      <c r="D19" s="809">
        <v>5</v>
      </c>
      <c r="E19" s="804" t="s">
        <v>402</v>
      </c>
      <c r="F19" s="509" t="s">
        <v>1092</v>
      </c>
      <c r="G19" s="801" t="s">
        <v>521</v>
      </c>
      <c r="H19" s="803" t="s">
        <v>402</v>
      </c>
      <c r="I19" s="803" t="s">
        <v>402</v>
      </c>
      <c r="J19" s="802">
        <v>0</v>
      </c>
      <c r="K19" s="801" t="s">
        <v>395</v>
      </c>
      <c r="L19" s="799">
        <v>0</v>
      </c>
      <c r="M19" s="798">
        <v>1</v>
      </c>
      <c r="N19" s="797">
        <v>1.3000688016831126</v>
      </c>
      <c r="O19" s="800" t="s">
        <v>1867</v>
      </c>
      <c r="P19" s="799">
        <v>0</v>
      </c>
      <c r="Q19" s="798">
        <v>1</v>
      </c>
      <c r="R19" s="797">
        <v>1.3000688016831126</v>
      </c>
      <c r="S19" s="517" t="s">
        <v>1867</v>
      </c>
      <c r="T19" s="796"/>
      <c r="U19" s="795" t="s">
        <v>1866</v>
      </c>
      <c r="V19" s="794" t="s">
        <v>1692</v>
      </c>
      <c r="W19" s="794">
        <v>54</v>
      </c>
      <c r="X19" s="794">
        <v>54</v>
      </c>
      <c r="Y19" s="794"/>
      <c r="Z19" s="794"/>
      <c r="AA19" s="795" t="s">
        <v>1691</v>
      </c>
    </row>
    <row r="20" spans="1:27" ht="24">
      <c r="A20" s="808">
        <v>1043</v>
      </c>
      <c r="B20" s="807" t="s">
        <v>1705</v>
      </c>
      <c r="C20" s="806"/>
      <c r="D20" s="805" t="s">
        <v>402</v>
      </c>
      <c r="E20" s="804">
        <v>4</v>
      </c>
      <c r="F20" s="509" t="s">
        <v>1002</v>
      </c>
      <c r="G20" s="801" t="s">
        <v>402</v>
      </c>
      <c r="H20" s="803" t="s">
        <v>325</v>
      </c>
      <c r="I20" s="803" t="s">
        <v>686</v>
      </c>
      <c r="J20" s="802" t="s">
        <v>402</v>
      </c>
      <c r="K20" s="801" t="s">
        <v>395</v>
      </c>
      <c r="L20" s="799">
        <v>3.0000000000000001E-3</v>
      </c>
      <c r="M20" s="798">
        <v>1</v>
      </c>
      <c r="N20" s="797">
        <v>5.103675409230048</v>
      </c>
      <c r="O20" s="800" t="s">
        <v>1865</v>
      </c>
      <c r="P20" s="799">
        <v>3.0000000000000001E-3</v>
      </c>
      <c r="Q20" s="798">
        <v>1</v>
      </c>
      <c r="R20" s="797">
        <v>5.103675409230048</v>
      </c>
      <c r="S20" s="517" t="s">
        <v>1865</v>
      </c>
      <c r="T20" s="796"/>
      <c r="U20" s="795" t="s">
        <v>1002</v>
      </c>
      <c r="V20" s="794" t="s">
        <v>1692</v>
      </c>
      <c r="W20" s="794">
        <v>3</v>
      </c>
      <c r="X20" s="794">
        <v>3</v>
      </c>
      <c r="Y20" s="794"/>
      <c r="Z20" s="794"/>
      <c r="AA20" s="795" t="s">
        <v>1691</v>
      </c>
    </row>
    <row r="21" spans="1:27" s="787" customFormat="1">
      <c r="B21" s="792"/>
      <c r="C21" s="791"/>
      <c r="M21" s="790"/>
      <c r="N21" s="790"/>
      <c r="O21" s="790"/>
      <c r="Q21" s="790"/>
      <c r="R21" s="790"/>
      <c r="S21" s="790"/>
      <c r="T21" s="789"/>
      <c r="U21" s="789"/>
      <c r="V21" s="785"/>
      <c r="W21" s="785"/>
      <c r="X21" s="785"/>
      <c r="Y21" s="785"/>
      <c r="Z21" s="785"/>
      <c r="AA21" s="789"/>
    </row>
    <row r="22" spans="1:27">
      <c r="L22" s="786"/>
      <c r="P22" s="786"/>
      <c r="V22" s="785"/>
      <c r="W22" s="785"/>
      <c r="X22" s="785"/>
      <c r="Y22" s="785"/>
      <c r="Z22" s="785"/>
    </row>
  </sheetData>
  <mergeCells count="1">
    <mergeCell ref="W3:X3"/>
  </mergeCells>
  <conditionalFormatting sqref="L1 P1">
    <cfRule type="cellIs" dxfId="30" priority="1" stopIfTrue="1" operator="equal">
      <formula>$F11</formula>
    </cfRule>
  </conditionalFormatting>
  <conditionalFormatting sqref="B9:B20">
    <cfRule type="cellIs" dxfId="29" priority="2" stopIfTrue="1" operator="notEqual">
      <formula>""</formula>
    </cfRule>
  </conditionalFormatting>
  <dataValidations count="20">
    <dataValidation allowBlank="1" showInputMessage="1" showErrorMessage="1" prompt="Do not enter anything into these fields. _x000a__x000a_Entering the Index-Number in column A will update these fields accordingly (maybe you need to press &quot;F9&quot; to have Excel recalculate the fields). Be sure to have the names-list open._x000a_" sqref="F7:K20"/>
    <dataValidation allowBlank="1" showInputMessage="1" showErrorMessage="1" prompt="Mean amount of elementary flow or intermediate product flow. Enter your values (or the respective equation) here." sqref="P9:P20 L9:L20"/>
    <dataValidation allowBlank="1" showInputMessage="1" showErrorMessage="1" promptTitle="Output Group" prompt="Indicates the kind of output flow. The options 0, 2, and 4 are actively used in the ecoinvent quality network. The codes are: 0=ReferenceProduct_x000a_2=Allocated by product_x000a_4=ToNature_x000a_- = The flow is an Input-Flow_x000a__x000a_" sqref="E7:E20"/>
    <dataValidation allowBlank="1" showInputMessage="1" showErrorMessage="1" promptTitle="Uncertainty Type" prompt="Defines the kind of uncertainty distribution applied on one particular exchange. _x000a__x000a_0 = undefined_x000a_1 = LOGNORMAL (default)_x000a_2 = normal_x000a_3 = triang_x000a_4 = uniform_x000a_" sqref="Q2:Q20 M2:M20"/>
    <dataValidation allowBlank="1" showInputMessage="1" showErrorMessage="1" promptTitle="StandardDeviation" prompt="Do only change when you calculated the Standard Deviation (SD) of the data (square SD for lognormal Distribution, 2*SD for normal Distribution - see column M). _x000a__x000a_Otherwise leave the formula to have it calculated from the Pedigree-Matrix (column Q  to V)." sqref="R2:R20 N2:N20"/>
    <dataValidation allowBlank="1" showInputMessage="1" showErrorMessage="1" promptTitle="GeneralComment" prompt="Do not change, if you use Pedigree Matrix. The comment is generated from the remarks field (enter remarks there) and the Pedigree numbers._x000a__x000a_If you calculated the SD from the data (i.e. without Pedigree Matrix), set a direct reference to the remarks. _x000a__x000a_" sqref="S1:S20 O1:O20"/>
    <dataValidation allowBlank="1" showInputMessage="1" showErrorMessage="1" promptTitle="Input Group" prompt="Indicates the kind of input flow. Within the ecoinvent quality network, only 4 and 5 are actively used (any material, fuel, electricity, heat or service is classified as an input from technosphere)._x000a__x000a_4=FromNature_x000a_5=FromTechnosphere" sqref="D7:D8"/>
    <dataValidation allowBlank="1" showInputMessage="1" showErrorMessage="1" promptTitle="Remarks" prompt="A general comment (data source, calculation procedure, ...) can be made about each individual exchange. The remarks are added to the GeneralComment-field." sqref="AA2:AA3 U3 U9:U20 AA9:AA20"/>
    <dataValidation allowBlank="1" showInputMessage="1" showErrorMessage="1" promptTitle="Empty Line" prompt="An empty line signalises the end of an Ecospold-Dataset. Processes below the first empty line are excluded when exporting to XML. You can use the space below e.g. for additional calculations or comments" sqref="A21:S21 U21 AA21:II21"/>
    <dataValidation allowBlank="1" showInputMessage="1" showErrorMessage="1" prompt="This cell is automatically updated from the names List according to the index number in L1. It needs to be identical to the output product." sqref="L3:L6 P3:P6"/>
    <dataValidation allowBlank="1" showInputMessage="1" showErrorMessage="1" promptTitle="Unit" prompt="Unit of the exchange (elementary flow or intermediate product flow)." sqref="F6 K2:K3"/>
    <dataValidation allowBlank="1" showInputMessage="1" showErrorMessage="1" promptTitle="Infrastructure" prompt="Describes whether the intermediate product flow from or to the unit process is an infrastructure process or not._x000a__x000a_Not applicable to elementary flows." sqref="F5 J2:J3"/>
    <dataValidation allowBlank="1" showInputMessage="1" showErrorMessage="1" promptTitle="Name" prompt="Name of the exchange (elementary flow or intermediate product flow) in English language. " sqref="F2:F3"/>
    <dataValidation allowBlank="1" showInputMessage="1" showErrorMessage="1" promptTitle="Location" prompt="List of 2 letter ISO country codes extended by codes for regions, continents, market areas, and organisations and companies._x000a__x000a_See names list (sheet &quot;country&quot;) for the complete list." sqref="G2:G3 F4"/>
    <dataValidation allowBlank="1" showInputMessage="1" showErrorMessage="1" promptTitle="Input Group" prompt="Indicates the kind of input flow. Within the ecoinvent quality network, only 4 and 5 are actively used (any material, fuel, electricity, heat or service is classified as an input from technosphere)._x000a__x000a_4=FromNature_x000a_5=FromTechnosphere_x000a_- = an Output-Flow" sqref="D2:D3 D9:D20"/>
    <dataValidation allowBlank="1" showInputMessage="1" showErrorMessage="1" promptTitle="Output Group" prompt="Indicates the kind of output flow. The options 0, 2, and 4 are actively used in the ecoinvent quality network. The codes are: 0=ReferenceProduct_x000a_2=Allocated by product_x000a_4=ToNature_x000a_- = The flow is an Input-Flow_x000a_" sqref="E2:E3"/>
    <dataValidation allowBlank="1" showInputMessage="1" showErrorMessage="1" promptTitle="Index-Number" prompt="Indicates the reference number in the ecoinvent names list. Insert the index number from the names-list in this field and the rest is completed accordingly._x000a__x000a_If Input-/Outputgroup =4 then see sheet &quot;NamesElementary&quot;_x000a_If I/O-Group=5 then see sheet &quot;Names&quot;" sqref="A2:A3 A9:A20"/>
    <dataValidation allowBlank="1" showInputMessage="1" showErrorMessage="1" promptTitle="Category" prompt="Describes the category one particular exchange belongs to (in English language). Category and subCategory are required for elementary flows because they have a discriminative function." sqref="H2:H3"/>
    <dataValidation allowBlank="1" showInputMessage="1" showErrorMessage="1" promptTitle="Subcategory" prompt="Describes the subCategory one particular exchange belongs to (in English language). Category and subCategory are required for elementary flows because they have a discriminative function." sqref="I2:I3"/>
    <dataValidation allowBlank="1" showInputMessage="1" showErrorMessage="1" prompt="always 1" sqref="L7:L8 P7:P8"/>
  </dataValidations>
  <printOptions horizontalCentered="1" verticalCentered="1"/>
  <pageMargins left="0.78740157480314965" right="0.78740157480314965" top="0.98425196850393704" bottom="0.98425196850393704" header="0.51181102362204722" footer="0.51181102362204722"/>
  <pageSetup paperSize="9" scale="34" orientation="landscape" r:id="rId1"/>
  <headerFooter alignWithMargins="0">
    <oddHeader>&amp;A</oddHeader>
    <oddFooter>&amp;L&amp;D&amp;C&amp;F&amp;RSeite &amp;P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9"/>
  <sheetViews>
    <sheetView zoomScale="75" workbookViewId="0">
      <pane xSplit="3" ySplit="6" topLeftCell="D7" activePane="bottomRight" state="frozen"/>
      <selection activeCell="C40" sqref="C40"/>
      <selection pane="topRight" activeCell="C40" sqref="C40"/>
      <selection pane="bottomLeft" activeCell="C40" sqref="C40"/>
      <selection pane="bottomRight" activeCell="C40" sqref="C40"/>
    </sheetView>
  </sheetViews>
  <sheetFormatPr defaultColWidth="11.42578125" defaultRowHeight="12" outlineLevelCol="1"/>
  <cols>
    <col min="1" max="1" width="11" style="780" customWidth="1"/>
    <col min="2" max="2" width="16" style="784" customWidth="1"/>
    <col min="3" max="3" width="3.7109375" style="783" hidden="1" customWidth="1" outlineLevel="1"/>
    <col min="4" max="4" width="4.140625" style="780" hidden="1" customWidth="1" outlineLevel="1"/>
    <col min="5" max="5" width="4" style="780" hidden="1" customWidth="1" outlineLevel="1"/>
    <col min="6" max="6" width="48.140625" style="780" customWidth="1" collapsed="1"/>
    <col min="7" max="7" width="6" style="780" customWidth="1"/>
    <col min="8" max="8" width="8.28515625" style="780" hidden="1" customWidth="1" outlineLevel="1"/>
    <col min="9" max="9" width="19.5703125" style="780" hidden="1" customWidth="1" outlineLevel="1"/>
    <col min="10" max="10" width="2.7109375" style="780" customWidth="1" collapsed="1"/>
    <col min="11" max="11" width="5.140625" style="780" customWidth="1"/>
    <col min="12" max="12" width="14" style="780" customWidth="1"/>
    <col min="13" max="13" width="3.5703125" style="318" hidden="1" customWidth="1" outlineLevel="1"/>
    <col min="14" max="14" width="6.5703125" style="318" hidden="1" customWidth="1" outlineLevel="1"/>
    <col min="15" max="15" width="36.85546875" style="318" hidden="1" customWidth="1" outlineLevel="1"/>
    <col min="16" max="16" width="14" style="780" customWidth="1" collapsed="1"/>
    <col min="17" max="17" width="3.5703125" style="318" customWidth="1" outlineLevel="1"/>
    <col min="18" max="18" width="6.5703125" style="318" customWidth="1" outlineLevel="1"/>
    <col min="19" max="19" width="50.28515625" style="318" customWidth="1" outlineLevel="1"/>
    <col min="20" max="20" width="14.140625" style="782" customWidth="1"/>
    <col min="21" max="21" width="28.85546875" style="782" customWidth="1"/>
    <col min="22" max="22" width="12.5703125" style="782" customWidth="1"/>
    <col min="23" max="23" width="16.85546875" style="782" customWidth="1"/>
    <col min="24" max="24" width="20" style="782" bestFit="1" customWidth="1"/>
    <col min="25" max="16384" width="11.42578125" style="780"/>
  </cols>
  <sheetData>
    <row r="1" spans="1:24">
      <c r="A1" s="831"/>
      <c r="B1" s="848"/>
      <c r="C1" s="829"/>
      <c r="D1" s="831"/>
      <c r="E1" s="831"/>
      <c r="F1" s="847" t="s">
        <v>510</v>
      </c>
      <c r="G1" s="831"/>
      <c r="H1" s="831"/>
      <c r="I1" s="831"/>
      <c r="J1" s="831"/>
      <c r="K1" s="831"/>
      <c r="L1" s="846" t="s">
        <v>1904</v>
      </c>
      <c r="M1" s="184"/>
      <c r="N1" s="184"/>
      <c r="O1" s="184"/>
      <c r="P1" s="846" t="s">
        <v>1902</v>
      </c>
      <c r="Q1" s="184"/>
      <c r="R1" s="184"/>
      <c r="S1" s="184"/>
      <c r="T1" s="785"/>
      <c r="U1" s="785"/>
      <c r="V1" s="785"/>
      <c r="W1" s="785"/>
      <c r="X1" s="785"/>
    </row>
    <row r="2" spans="1:24">
      <c r="A2" s="831"/>
      <c r="B2" s="844"/>
      <c r="C2" s="829" t="s">
        <v>511</v>
      </c>
      <c r="D2" s="844">
        <v>3503</v>
      </c>
      <c r="E2" s="844">
        <v>3504</v>
      </c>
      <c r="F2" s="844">
        <v>3702</v>
      </c>
      <c r="G2" s="844">
        <v>3703</v>
      </c>
      <c r="H2" s="844">
        <v>3506</v>
      </c>
      <c r="I2" s="844">
        <v>3507</v>
      </c>
      <c r="J2" s="844">
        <v>3508</v>
      </c>
      <c r="K2" s="844">
        <v>3706</v>
      </c>
      <c r="L2" s="844">
        <v>3707</v>
      </c>
      <c r="M2" s="843">
        <v>3708</v>
      </c>
      <c r="N2" s="843">
        <v>3709</v>
      </c>
      <c r="O2" s="845">
        <v>3792</v>
      </c>
      <c r="P2" s="844">
        <v>3707</v>
      </c>
      <c r="Q2" s="843">
        <v>3708</v>
      </c>
      <c r="R2" s="843">
        <v>3709</v>
      </c>
      <c r="S2" s="842">
        <v>3792</v>
      </c>
      <c r="T2" s="836"/>
      <c r="V2" s="785"/>
      <c r="W2" s="785"/>
      <c r="X2" s="836"/>
    </row>
    <row r="3" spans="1:24" ht="72">
      <c r="A3" s="831" t="s">
        <v>398</v>
      </c>
      <c r="B3" s="830"/>
      <c r="C3" s="829">
        <v>401</v>
      </c>
      <c r="D3" s="841" t="s">
        <v>514</v>
      </c>
      <c r="E3" s="841" t="s">
        <v>515</v>
      </c>
      <c r="F3" s="827" t="s">
        <v>516</v>
      </c>
      <c r="G3" s="840" t="s">
        <v>517</v>
      </c>
      <c r="H3" s="840" t="s">
        <v>518</v>
      </c>
      <c r="I3" s="840" t="s">
        <v>519</v>
      </c>
      <c r="J3" s="840" t="s">
        <v>520</v>
      </c>
      <c r="K3" s="840" t="s">
        <v>394</v>
      </c>
      <c r="L3" s="826" t="s">
        <v>1903</v>
      </c>
      <c r="M3" s="838" t="s">
        <v>265</v>
      </c>
      <c r="N3" s="838" t="s">
        <v>266</v>
      </c>
      <c r="O3" s="839" t="s">
        <v>548</v>
      </c>
      <c r="P3" s="826" t="s">
        <v>1901</v>
      </c>
      <c r="Q3" s="838" t="s">
        <v>265</v>
      </c>
      <c r="R3" s="838" t="s">
        <v>266</v>
      </c>
      <c r="S3" s="837" t="s">
        <v>548</v>
      </c>
      <c r="T3" s="823" t="s">
        <v>1728</v>
      </c>
      <c r="U3" s="836" t="s">
        <v>264</v>
      </c>
      <c r="V3" s="1049"/>
      <c r="W3" s="1049"/>
      <c r="X3" s="836" t="s">
        <v>1728</v>
      </c>
    </row>
    <row r="4" spans="1:24" ht="12.75" customHeight="1">
      <c r="A4" s="831"/>
      <c r="B4" s="830"/>
      <c r="C4" s="829">
        <v>662</v>
      </c>
      <c r="D4" s="828"/>
      <c r="E4" s="828"/>
      <c r="F4" s="827" t="s">
        <v>517</v>
      </c>
      <c r="G4" s="827"/>
      <c r="H4" s="827"/>
      <c r="I4" s="827"/>
      <c r="J4" s="827"/>
      <c r="K4" s="827"/>
      <c r="L4" s="826" t="s">
        <v>521</v>
      </c>
      <c r="M4" s="825"/>
      <c r="N4" s="825"/>
      <c r="O4" s="824"/>
      <c r="P4" s="826" t="s">
        <v>521</v>
      </c>
      <c r="Q4" s="825"/>
      <c r="R4" s="825"/>
      <c r="S4" s="824"/>
      <c r="T4" s="823" t="s">
        <v>393</v>
      </c>
      <c r="U4" s="835"/>
      <c r="V4" s="834"/>
      <c r="W4" s="833"/>
      <c r="X4" s="835"/>
    </row>
    <row r="5" spans="1:24">
      <c r="A5" s="831"/>
      <c r="B5" s="830"/>
      <c r="C5" s="829">
        <v>493</v>
      </c>
      <c r="D5" s="828"/>
      <c r="E5" s="828"/>
      <c r="F5" s="827" t="s">
        <v>520</v>
      </c>
      <c r="G5" s="827"/>
      <c r="H5" s="827"/>
      <c r="I5" s="827"/>
      <c r="J5" s="827"/>
      <c r="K5" s="827"/>
      <c r="L5" s="826">
        <v>1</v>
      </c>
      <c r="M5" s="825"/>
      <c r="N5" s="825"/>
      <c r="O5" s="824"/>
      <c r="P5" s="826">
        <v>1</v>
      </c>
      <c r="Q5" s="825"/>
      <c r="R5" s="825"/>
      <c r="S5" s="824"/>
      <c r="T5" s="823">
        <v>2009</v>
      </c>
      <c r="U5" s="785"/>
      <c r="V5" s="785"/>
      <c r="W5" s="785"/>
      <c r="X5" s="785"/>
    </row>
    <row r="6" spans="1:24" ht="12.75" customHeight="1">
      <c r="A6" s="831"/>
      <c r="B6" s="830"/>
      <c r="C6" s="829">
        <v>403</v>
      </c>
      <c r="D6" s="828"/>
      <c r="E6" s="828"/>
      <c r="F6" s="827" t="s">
        <v>394</v>
      </c>
      <c r="G6" s="827"/>
      <c r="H6" s="827"/>
      <c r="I6" s="827"/>
      <c r="J6" s="827"/>
      <c r="K6" s="827"/>
      <c r="L6" s="826" t="s">
        <v>522</v>
      </c>
      <c r="M6" s="825"/>
      <c r="N6" s="825"/>
      <c r="O6" s="824"/>
      <c r="P6" s="826" t="s">
        <v>522</v>
      </c>
      <c r="Q6" s="825"/>
      <c r="R6" s="825"/>
      <c r="S6" s="824"/>
      <c r="T6" s="823" t="s">
        <v>395</v>
      </c>
      <c r="U6" s="785"/>
      <c r="V6" s="785"/>
      <c r="W6" s="785"/>
      <c r="X6" s="785"/>
    </row>
    <row r="7" spans="1:24" ht="24">
      <c r="A7" s="808" t="s">
        <v>1904</v>
      </c>
      <c r="B7" s="807" t="s">
        <v>523</v>
      </c>
      <c r="C7" s="806"/>
      <c r="D7" s="821" t="s">
        <v>402</v>
      </c>
      <c r="E7" s="820">
        <v>0</v>
      </c>
      <c r="F7" s="819" t="s">
        <v>1903</v>
      </c>
      <c r="G7" s="816" t="s">
        <v>521</v>
      </c>
      <c r="H7" s="818" t="s">
        <v>402</v>
      </c>
      <c r="I7" s="818" t="s">
        <v>402</v>
      </c>
      <c r="J7" s="817">
        <v>1</v>
      </c>
      <c r="K7" s="816" t="s">
        <v>522</v>
      </c>
      <c r="L7" s="815">
        <v>1</v>
      </c>
      <c r="M7" s="814"/>
      <c r="N7" s="813"/>
      <c r="O7" s="800"/>
      <c r="P7" s="815">
        <v>0</v>
      </c>
      <c r="Q7" s="814"/>
      <c r="R7" s="813"/>
      <c r="S7" s="800"/>
      <c r="T7" s="812"/>
      <c r="U7" s="811"/>
      <c r="V7" s="785"/>
      <c r="W7" s="785"/>
      <c r="X7" s="811"/>
    </row>
    <row r="8" spans="1:24" ht="24">
      <c r="A8" s="808" t="s">
        <v>1902</v>
      </c>
      <c r="B8" s="807"/>
      <c r="C8" s="806"/>
      <c r="D8" s="821" t="s">
        <v>402</v>
      </c>
      <c r="E8" s="820">
        <v>0</v>
      </c>
      <c r="F8" s="819" t="s">
        <v>1901</v>
      </c>
      <c r="G8" s="816" t="s">
        <v>521</v>
      </c>
      <c r="H8" s="818" t="s">
        <v>402</v>
      </c>
      <c r="I8" s="818" t="s">
        <v>402</v>
      </c>
      <c r="J8" s="817">
        <v>1</v>
      </c>
      <c r="K8" s="816" t="s">
        <v>522</v>
      </c>
      <c r="L8" s="815">
        <v>0</v>
      </c>
      <c r="M8" s="814"/>
      <c r="N8" s="813"/>
      <c r="O8" s="800"/>
      <c r="P8" s="815">
        <v>1</v>
      </c>
      <c r="Q8" s="814"/>
      <c r="R8" s="813"/>
      <c r="S8" s="800"/>
      <c r="T8" s="812"/>
      <c r="U8" s="811"/>
      <c r="V8" s="785"/>
      <c r="W8" s="785"/>
      <c r="X8" s="811"/>
    </row>
    <row r="9" spans="1:24" ht="21.75" customHeight="1">
      <c r="A9" s="808" t="s">
        <v>1053</v>
      </c>
      <c r="B9" s="807" t="s">
        <v>524</v>
      </c>
      <c r="C9" s="806" t="s">
        <v>525</v>
      </c>
      <c r="D9" s="809">
        <v>5</v>
      </c>
      <c r="E9" s="804" t="s">
        <v>402</v>
      </c>
      <c r="F9" s="509" t="s">
        <v>70</v>
      </c>
      <c r="G9" s="801" t="s">
        <v>1105</v>
      </c>
      <c r="H9" s="803" t="s">
        <v>402</v>
      </c>
      <c r="I9" s="803" t="s">
        <v>402</v>
      </c>
      <c r="J9" s="802">
        <v>0</v>
      </c>
      <c r="K9" s="801" t="s">
        <v>678</v>
      </c>
      <c r="L9" s="799">
        <v>0.04</v>
      </c>
      <c r="M9" s="798">
        <v>1</v>
      </c>
      <c r="N9" s="797">
        <v>1.2849840792941758</v>
      </c>
      <c r="O9" s="800" t="s">
        <v>1900</v>
      </c>
      <c r="P9" s="799">
        <v>0.04</v>
      </c>
      <c r="Q9" s="798">
        <v>1</v>
      </c>
      <c r="R9" s="797">
        <v>1.2849840792941758</v>
      </c>
      <c r="S9" s="517" t="s">
        <v>1900</v>
      </c>
      <c r="T9" s="796"/>
      <c r="U9" s="795" t="s">
        <v>1899</v>
      </c>
      <c r="V9" s="870">
        <v>0.04</v>
      </c>
      <c r="W9" s="870">
        <v>0.04</v>
      </c>
      <c r="X9" s="795" t="s">
        <v>1885</v>
      </c>
    </row>
    <row r="10" spans="1:24" ht="21.75" customHeight="1">
      <c r="A10" s="808">
        <v>4804</v>
      </c>
      <c r="B10" s="807" t="s">
        <v>525</v>
      </c>
      <c r="C10" s="806" t="s">
        <v>525</v>
      </c>
      <c r="D10" s="809">
        <v>5</v>
      </c>
      <c r="E10" s="804" t="s">
        <v>402</v>
      </c>
      <c r="F10" s="509" t="s">
        <v>72</v>
      </c>
      <c r="G10" s="801" t="s">
        <v>521</v>
      </c>
      <c r="H10" s="803" t="s">
        <v>402</v>
      </c>
      <c r="I10" s="803" t="s">
        <v>402</v>
      </c>
      <c r="J10" s="802">
        <v>1</v>
      </c>
      <c r="K10" s="801" t="s">
        <v>522</v>
      </c>
      <c r="L10" s="799">
        <v>2.4</v>
      </c>
      <c r="M10" s="798">
        <v>1</v>
      </c>
      <c r="N10" s="797">
        <v>3.0156568896139588</v>
      </c>
      <c r="O10" s="800" t="s">
        <v>1898</v>
      </c>
      <c r="P10" s="799">
        <v>2.4</v>
      </c>
      <c r="Q10" s="798">
        <v>1</v>
      </c>
      <c r="R10" s="797">
        <v>3.0156568896139588</v>
      </c>
      <c r="S10" s="517" t="s">
        <v>1898</v>
      </c>
      <c r="T10" s="796"/>
      <c r="U10" s="795" t="s">
        <v>1897</v>
      </c>
      <c r="V10" s="870">
        <v>2.4</v>
      </c>
      <c r="W10" s="870">
        <v>2.4</v>
      </c>
      <c r="X10" s="795" t="s">
        <v>1885</v>
      </c>
    </row>
    <row r="11" spans="1:24" ht="21.75" customHeight="1">
      <c r="A11" s="808">
        <v>1484</v>
      </c>
      <c r="B11" s="807" t="s">
        <v>525</v>
      </c>
      <c r="C11" s="806" t="s">
        <v>525</v>
      </c>
      <c r="D11" s="809">
        <v>5</v>
      </c>
      <c r="E11" s="804" t="s">
        <v>402</v>
      </c>
      <c r="F11" s="509" t="s">
        <v>74</v>
      </c>
      <c r="G11" s="801" t="s">
        <v>393</v>
      </c>
      <c r="H11" s="803" t="s">
        <v>402</v>
      </c>
      <c r="I11" s="803" t="s">
        <v>402</v>
      </c>
      <c r="J11" s="802">
        <v>1</v>
      </c>
      <c r="K11" s="801" t="s">
        <v>522</v>
      </c>
      <c r="L11" s="799">
        <v>1</v>
      </c>
      <c r="M11" s="798">
        <v>1</v>
      </c>
      <c r="N11" s="797">
        <v>3.0827046835040277</v>
      </c>
      <c r="O11" s="800" t="s">
        <v>1896</v>
      </c>
      <c r="P11" s="799">
        <v>1</v>
      </c>
      <c r="Q11" s="798">
        <v>1</v>
      </c>
      <c r="R11" s="797">
        <v>3.0827046835040277</v>
      </c>
      <c r="S11" s="517" t="s">
        <v>1896</v>
      </c>
      <c r="T11" s="796"/>
      <c r="U11" s="795" t="s">
        <v>1728</v>
      </c>
      <c r="V11" s="870">
        <v>1</v>
      </c>
      <c r="W11" s="870">
        <v>1</v>
      </c>
      <c r="X11" s="795" t="s">
        <v>1885</v>
      </c>
    </row>
    <row r="12" spans="1:24" ht="24">
      <c r="A12" s="808" t="s">
        <v>1884</v>
      </c>
      <c r="B12" s="807" t="s">
        <v>525</v>
      </c>
      <c r="C12" s="806"/>
      <c r="D12" s="809">
        <v>5</v>
      </c>
      <c r="E12" s="804" t="s">
        <v>402</v>
      </c>
      <c r="F12" s="509" t="s">
        <v>1883</v>
      </c>
      <c r="G12" s="801" t="s">
        <v>1105</v>
      </c>
      <c r="H12" s="803" t="s">
        <v>402</v>
      </c>
      <c r="I12" s="803" t="s">
        <v>402</v>
      </c>
      <c r="J12" s="802">
        <v>0</v>
      </c>
      <c r="K12" s="801" t="s">
        <v>522</v>
      </c>
      <c r="L12" s="799">
        <v>12.842698045875018</v>
      </c>
      <c r="M12" s="798">
        <v>1</v>
      </c>
      <c r="N12" s="797">
        <v>1.2849840792941758</v>
      </c>
      <c r="O12" s="800" t="s">
        <v>1895</v>
      </c>
      <c r="P12" s="799">
        <v>0</v>
      </c>
      <c r="Q12" s="798">
        <v>1</v>
      </c>
      <c r="R12" s="797">
        <v>1.2849840792941758</v>
      </c>
      <c r="S12" s="517" t="s">
        <v>1895</v>
      </c>
      <c r="T12" s="796"/>
      <c r="U12" s="795" t="s">
        <v>1894</v>
      </c>
      <c r="V12" s="870">
        <v>24.193548387096776</v>
      </c>
      <c r="W12" s="870">
        <v>24.193548387096776</v>
      </c>
      <c r="X12" s="795" t="s">
        <v>1885</v>
      </c>
    </row>
    <row r="13" spans="1:24" ht="24">
      <c r="A13" s="808" t="s">
        <v>1882</v>
      </c>
      <c r="B13" s="807" t="s">
        <v>525</v>
      </c>
      <c r="C13" s="806"/>
      <c r="D13" s="809">
        <v>5</v>
      </c>
      <c r="E13" s="804" t="s">
        <v>402</v>
      </c>
      <c r="F13" s="509" t="s">
        <v>1881</v>
      </c>
      <c r="G13" s="801" t="s">
        <v>1105</v>
      </c>
      <c r="H13" s="803" t="s">
        <v>402</v>
      </c>
      <c r="I13" s="803" t="s">
        <v>402</v>
      </c>
      <c r="J13" s="802">
        <v>0</v>
      </c>
      <c r="K13" s="801" t="s">
        <v>522</v>
      </c>
      <c r="L13" s="799">
        <v>0</v>
      </c>
      <c r="M13" s="798">
        <v>1</v>
      </c>
      <c r="N13" s="797">
        <v>1.2849840792941758</v>
      </c>
      <c r="O13" s="800" t="s">
        <v>1895</v>
      </c>
      <c r="P13" s="799">
        <v>11.05898998394793</v>
      </c>
      <c r="Q13" s="798">
        <v>1</v>
      </c>
      <c r="R13" s="797">
        <v>1.2849840792941758</v>
      </c>
      <c r="S13" s="517" t="s">
        <v>1895</v>
      </c>
      <c r="T13" s="796"/>
      <c r="U13" s="795" t="s">
        <v>1894</v>
      </c>
      <c r="V13" s="870">
        <v>20.833333333333332</v>
      </c>
      <c r="W13" s="870">
        <v>20.833333333333332</v>
      </c>
      <c r="X13" s="795" t="s">
        <v>1885</v>
      </c>
    </row>
    <row r="14" spans="1:24" ht="24">
      <c r="A14" s="808">
        <v>2988</v>
      </c>
      <c r="B14" s="807" t="s">
        <v>525</v>
      </c>
      <c r="C14" s="806"/>
      <c r="D14" s="809">
        <v>5</v>
      </c>
      <c r="E14" s="804" t="s">
        <v>402</v>
      </c>
      <c r="F14" s="509" t="s">
        <v>63</v>
      </c>
      <c r="G14" s="801" t="s">
        <v>393</v>
      </c>
      <c r="H14" s="803" t="s">
        <v>402</v>
      </c>
      <c r="I14" s="803" t="s">
        <v>402</v>
      </c>
      <c r="J14" s="802">
        <v>0</v>
      </c>
      <c r="K14" s="801" t="s">
        <v>397</v>
      </c>
      <c r="L14" s="799">
        <v>39.357358520139542</v>
      </c>
      <c r="M14" s="798">
        <v>1</v>
      </c>
      <c r="N14" s="797">
        <v>2.0865051432908035</v>
      </c>
      <c r="O14" s="800" t="s">
        <v>1893</v>
      </c>
      <c r="P14" s="799">
        <v>39.357358520139542</v>
      </c>
      <c r="Q14" s="798">
        <v>1</v>
      </c>
      <c r="R14" s="797">
        <v>2.0865051432908035</v>
      </c>
      <c r="S14" s="517" t="s">
        <v>1893</v>
      </c>
      <c r="T14" s="796"/>
      <c r="U14" s="795" t="s">
        <v>1892</v>
      </c>
      <c r="V14" s="870">
        <v>39.357358520139542</v>
      </c>
      <c r="W14" s="870">
        <v>39.357358520139542</v>
      </c>
      <c r="X14" s="795" t="s">
        <v>1885</v>
      </c>
    </row>
    <row r="15" spans="1:24" ht="24">
      <c r="A15" s="808">
        <v>2987</v>
      </c>
      <c r="B15" s="807" t="s">
        <v>525</v>
      </c>
      <c r="C15" s="806"/>
      <c r="D15" s="809">
        <v>5</v>
      </c>
      <c r="E15" s="804" t="s">
        <v>402</v>
      </c>
      <c r="F15" s="509" t="s">
        <v>59</v>
      </c>
      <c r="G15" s="801" t="s">
        <v>521</v>
      </c>
      <c r="H15" s="803" t="s">
        <v>402</v>
      </c>
      <c r="I15" s="803" t="s">
        <v>402</v>
      </c>
      <c r="J15" s="802">
        <v>0</v>
      </c>
      <c r="K15" s="801" t="s">
        <v>397</v>
      </c>
      <c r="L15" s="799">
        <v>141.71830029030986</v>
      </c>
      <c r="M15" s="798">
        <v>1</v>
      </c>
      <c r="N15" s="797">
        <v>2.0865051432908035</v>
      </c>
      <c r="O15" s="800" t="s">
        <v>1891</v>
      </c>
      <c r="P15" s="799">
        <v>98.422877038289954</v>
      </c>
      <c r="Q15" s="798">
        <v>1</v>
      </c>
      <c r="R15" s="797">
        <v>2.0865051432908035</v>
      </c>
      <c r="S15" s="517" t="s">
        <v>1891</v>
      </c>
      <c r="T15" s="796"/>
      <c r="U15" s="795" t="s">
        <v>1890</v>
      </c>
      <c r="V15" s="870"/>
      <c r="W15" s="870"/>
      <c r="X15" s="795" t="s">
        <v>1885</v>
      </c>
    </row>
    <row r="16" spans="1:24" ht="24">
      <c r="A16" s="808">
        <v>1824</v>
      </c>
      <c r="B16" s="807" t="s">
        <v>525</v>
      </c>
      <c r="C16" s="806"/>
      <c r="D16" s="809">
        <v>5</v>
      </c>
      <c r="E16" s="804" t="s">
        <v>402</v>
      </c>
      <c r="F16" s="509" t="s">
        <v>85</v>
      </c>
      <c r="G16" s="801" t="s">
        <v>86</v>
      </c>
      <c r="H16" s="803" t="s">
        <v>402</v>
      </c>
      <c r="I16" s="803" t="s">
        <v>402</v>
      </c>
      <c r="J16" s="802">
        <v>0</v>
      </c>
      <c r="K16" s="801" t="s">
        <v>397</v>
      </c>
      <c r="L16" s="799">
        <v>5667.0313920089102</v>
      </c>
      <c r="M16" s="798">
        <v>1</v>
      </c>
      <c r="N16" s="797">
        <v>2.0865051432908035</v>
      </c>
      <c r="O16" s="800" t="s">
        <v>1889</v>
      </c>
      <c r="P16" s="799">
        <v>3935.7340070071386</v>
      </c>
      <c r="Q16" s="798">
        <v>1</v>
      </c>
      <c r="R16" s="797">
        <v>2.0865051432908035</v>
      </c>
      <c r="S16" s="517" t="s">
        <v>1889</v>
      </c>
      <c r="T16" s="796"/>
      <c r="U16" s="795" t="s">
        <v>1888</v>
      </c>
      <c r="V16" s="870">
        <v>0</v>
      </c>
      <c r="W16" s="870">
        <v>0</v>
      </c>
      <c r="X16" s="795" t="s">
        <v>1885</v>
      </c>
    </row>
    <row r="17" spans="1:24" ht="24">
      <c r="A17" s="808">
        <v>490</v>
      </c>
      <c r="B17" s="807" t="s">
        <v>272</v>
      </c>
      <c r="C17" s="806"/>
      <c r="D17" s="805" t="s">
        <v>402</v>
      </c>
      <c r="E17" s="804">
        <v>4</v>
      </c>
      <c r="F17" s="509" t="s">
        <v>324</v>
      </c>
      <c r="G17" s="801" t="s">
        <v>402</v>
      </c>
      <c r="H17" s="803" t="s">
        <v>325</v>
      </c>
      <c r="I17" s="803" t="s">
        <v>685</v>
      </c>
      <c r="J17" s="802" t="s">
        <v>402</v>
      </c>
      <c r="K17" s="801" t="s">
        <v>677</v>
      </c>
      <c r="L17" s="799">
        <v>0.14400000000000002</v>
      </c>
      <c r="M17" s="798">
        <v>1</v>
      </c>
      <c r="N17" s="797">
        <v>1.2849840792941758</v>
      </c>
      <c r="O17" s="800" t="s">
        <v>1887</v>
      </c>
      <c r="P17" s="799">
        <v>0.14400000000000002</v>
      </c>
      <c r="Q17" s="798">
        <v>1</v>
      </c>
      <c r="R17" s="797">
        <v>1.2849840792941758</v>
      </c>
      <c r="S17" s="517" t="s">
        <v>1887</v>
      </c>
      <c r="T17" s="796"/>
      <c r="U17" s="795" t="s">
        <v>1886</v>
      </c>
      <c r="V17" s="870">
        <v>0.14400000000000002</v>
      </c>
      <c r="W17" s="870">
        <v>0.14400000000000002</v>
      </c>
      <c r="X17" s="795" t="s">
        <v>1885</v>
      </c>
    </row>
    <row r="18" spans="1:24" s="787" customFormat="1">
      <c r="B18" s="792"/>
      <c r="C18" s="791"/>
      <c r="M18" s="790"/>
      <c r="N18" s="790"/>
      <c r="O18" s="790"/>
      <c r="Q18" s="790"/>
      <c r="R18" s="790"/>
      <c r="S18" s="790"/>
      <c r="T18" s="789"/>
      <c r="U18" s="789"/>
      <c r="V18" s="785"/>
      <c r="W18" s="785"/>
      <c r="X18" s="789"/>
    </row>
    <row r="19" spans="1:24">
      <c r="L19" s="786"/>
      <c r="P19" s="786"/>
      <c r="V19" s="785"/>
      <c r="W19" s="785"/>
    </row>
  </sheetData>
  <mergeCells count="1">
    <mergeCell ref="V3:W3"/>
  </mergeCells>
  <conditionalFormatting sqref="L1 P1">
    <cfRule type="cellIs" dxfId="28" priority="2" stopIfTrue="1" operator="equal">
      <formula>$F11</formula>
    </cfRule>
  </conditionalFormatting>
  <conditionalFormatting sqref="B9:B12 B14:B17">
    <cfRule type="cellIs" dxfId="27" priority="3" stopIfTrue="1" operator="notEqual">
      <formula>""</formula>
    </cfRule>
  </conditionalFormatting>
  <conditionalFormatting sqref="B13">
    <cfRule type="cellIs" dxfId="26" priority="1" stopIfTrue="1" operator="notEqual">
      <formula>""</formula>
    </cfRule>
  </conditionalFormatting>
  <dataValidations count="20">
    <dataValidation allowBlank="1" showInputMessage="1" showErrorMessage="1" promptTitle="GeneralComment" prompt="Do not change, if you use Pedigree Matrix. The comment is generated from the remarks field (enter remarks there) and the Pedigree numbers._x000a__x000a_If you calculated the SD from the data (i.e. without Pedigree Matrix), set a direct reference to the remarks. _x000a__x000a_" sqref="O1:O17 S1:S17"/>
    <dataValidation allowBlank="1" showInputMessage="1" showErrorMessage="1" promptTitle="StandardDeviation" prompt="Do only change when you calculated the Standard Deviation (SD) of the data (square SD for lognormal Distribution, 2*SD for normal Distribution - see column M). _x000a__x000a_Otherwise leave the formula to have it calculated from the Pedigree-Matrix (column Q  to V)." sqref="N2:N17 R2:R17"/>
    <dataValidation allowBlank="1" showInputMessage="1" showErrorMessage="1" promptTitle="Uncertainty Type" prompt="Defines the kind of uncertainty distribution applied on one particular exchange. _x000a__x000a_0 = undefined_x000a_1 = LOGNORMAL (default)_x000a_2 = normal_x000a_3 = triang_x000a_4 = uniform_x000a_" sqref="Q2:Q17 M2:M17"/>
    <dataValidation allowBlank="1" showInputMessage="1" showErrorMessage="1" promptTitle="Output Group" prompt="Indicates the kind of output flow. The options 0, 2, and 4 are actively used in the ecoinvent quality network. The codes are: 0=ReferenceProduct_x000a_2=Allocated by product_x000a_4=ToNature_x000a_- = The flow is an Input-Flow_x000a__x000a_" sqref="E7:E17"/>
    <dataValidation allowBlank="1" showInputMessage="1" showErrorMessage="1" prompt="Mean amount of elementary flow or intermediate product flow. Enter your values (or the respective equation) here." sqref="P9:P17 L9:L17"/>
    <dataValidation allowBlank="1" showInputMessage="1" showErrorMessage="1" prompt="Do not enter anything into these fields. _x000a__x000a_Entering the Index-Number in column A will update these fields accordingly (maybe you need to press &quot;F9&quot; to have Excel recalculate the fields). Be sure to have the names-list open._x000a_" sqref="F7:K17"/>
    <dataValidation allowBlank="1" showInputMessage="1" showErrorMessage="1" prompt="always 1" sqref="L7:L8 P7:P8"/>
    <dataValidation allowBlank="1" showInputMessage="1" showErrorMessage="1" promptTitle="Subcategory" prompt="Describes the subCategory one particular exchange belongs to (in English language). Category and subCategory are required for elementary flows because they have a discriminative function." sqref="I2:I3"/>
    <dataValidation allowBlank="1" showInputMessage="1" showErrorMessage="1" promptTitle="Category" prompt="Describes the category one particular exchange belongs to (in English language). Category and subCategory are required for elementary flows because they have a discriminative function." sqref="H2:H3"/>
    <dataValidation allowBlank="1" showInputMessage="1" showErrorMessage="1" promptTitle="Index-Number" prompt="Indicates the reference number in the ecoinvent names list. Insert the index number from the names-list in this field and the rest is completed accordingly._x000a__x000a_If Input-/Outputgroup =4 then see sheet &quot;NamesElementary&quot;_x000a_If I/O-Group=5 then see sheet &quot;Names&quot;" sqref="A2:A3 A9:A17"/>
    <dataValidation allowBlank="1" showInputMessage="1" showErrorMessage="1" promptTitle="Output Group" prompt="Indicates the kind of output flow. The options 0, 2, and 4 are actively used in the ecoinvent quality network. The codes are: 0=ReferenceProduct_x000a_2=Allocated by product_x000a_4=ToNature_x000a_- = The flow is an Input-Flow_x000a_" sqref="E2:E3"/>
    <dataValidation allowBlank="1" showInputMessage="1" showErrorMessage="1" promptTitle="Input Group" prompt="Indicates the kind of input flow. Within the ecoinvent quality network, only 4 and 5 are actively used (any material, fuel, electricity, heat or service is classified as an input from technosphere)._x000a__x000a_4=FromNature_x000a_5=FromTechnosphere_x000a_- = an Output-Flow" sqref="D2:D3 D9:D17"/>
    <dataValidation allowBlank="1" showInputMessage="1" showErrorMessage="1" promptTitle="Location" prompt="List of 2 letter ISO country codes extended by codes for regions, continents, market areas, and organisations and companies._x000a__x000a_See names list (sheet &quot;country&quot;) for the complete list." sqref="G2:G3 F4"/>
    <dataValidation allowBlank="1" showInputMessage="1" showErrorMessage="1" promptTitle="Name" prompt="Name of the exchange (elementary flow or intermediate product flow) in English language. " sqref="F2:F3"/>
    <dataValidation allowBlank="1" showInputMessage="1" showErrorMessage="1" promptTitle="Infrastructure" prompt="Describes whether the intermediate product flow from or to the unit process is an infrastructure process or not._x000a__x000a_Not applicable to elementary flows." sqref="F5 J2:J3"/>
    <dataValidation allowBlank="1" showInputMessage="1" showErrorMessage="1" promptTitle="Unit" prompt="Unit of the exchange (elementary flow or intermediate product flow)." sqref="F6 K2:K3"/>
    <dataValidation allowBlank="1" showInputMessage="1" showErrorMessage="1" prompt="This cell is automatically updated from the names List according to the index number in L1. It needs to be identical to the output product." sqref="L3:L6 P3:P6"/>
    <dataValidation allowBlank="1" showInputMessage="1" showErrorMessage="1" promptTitle="Empty Line" prompt="An empty line signalises the end of an Ecospold-Dataset. Processes below the first empty line are excluded when exporting to XML. You can use the space below e.g. for additional calculations or comments" sqref="A18:S18 U18 X18:IF18"/>
    <dataValidation allowBlank="1" showInputMessage="1" showErrorMessage="1" promptTitle="Remarks" prompt="A general comment (data source, calculation procedure, ...) can be made about each individual exchange. The remarks are added to the GeneralComment-field." sqref="X2:X3 U3 U9:U17 X9:X17"/>
    <dataValidation allowBlank="1" showInputMessage="1" showErrorMessage="1" promptTitle="Input Group" prompt="Indicates the kind of input flow. Within the ecoinvent quality network, only 4 and 5 are actively used (any material, fuel, electricity, heat or service is classified as an input from technosphere)._x000a__x000a_4=FromNature_x000a_5=FromTechnosphere" sqref="D7:D8"/>
  </dataValidations>
  <printOptions horizontalCentered="1" verticalCentered="1"/>
  <pageMargins left="0.78740157480314965" right="0.78740157480314965" top="0.98425196850393704" bottom="0.98425196850393704" header="0.51181102362204722" footer="0.51181102362204722"/>
  <pageSetup paperSize="9" scale="34" orientation="landscape" r:id="rId1"/>
  <headerFooter alignWithMargins="0">
    <oddHeader>&amp;A</oddHeader>
    <oddFooter>&amp;L&amp;D&amp;C&amp;F&amp;RSeite &amp;P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20"/>
  <sheetViews>
    <sheetView zoomScale="75" workbookViewId="0">
      <pane xSplit="3" ySplit="6" topLeftCell="D7" activePane="bottomRight" state="frozen"/>
      <selection activeCell="C40" sqref="C40"/>
      <selection pane="topRight" activeCell="C40" sqref="C40"/>
      <selection pane="bottomLeft" activeCell="C40" sqref="C40"/>
      <selection pane="bottomRight" activeCell="C40" sqref="C40"/>
    </sheetView>
  </sheetViews>
  <sheetFormatPr defaultColWidth="11.42578125" defaultRowHeight="12" outlineLevelCol="1"/>
  <cols>
    <col min="1" max="1" width="11" style="780" customWidth="1"/>
    <col min="2" max="2" width="16" style="784" customWidth="1"/>
    <col min="3" max="3" width="3.7109375" style="783" hidden="1" customWidth="1" outlineLevel="1"/>
    <col min="4" max="4" width="4.140625" style="780" hidden="1" customWidth="1" outlineLevel="1"/>
    <col min="5" max="5" width="4" style="780" hidden="1" customWidth="1" outlineLevel="1"/>
    <col min="6" max="6" width="48.140625" style="780" customWidth="1" collapsed="1"/>
    <col min="7" max="7" width="6" style="780" customWidth="1"/>
    <col min="8" max="8" width="8.28515625" style="780" hidden="1" customWidth="1" outlineLevel="1"/>
    <col min="9" max="9" width="19.5703125" style="780" hidden="1" customWidth="1" outlineLevel="1"/>
    <col min="10" max="10" width="2.7109375" style="780" customWidth="1" collapsed="1"/>
    <col min="11" max="11" width="5.140625" style="780" customWidth="1"/>
    <col min="12" max="12" width="14" style="780" customWidth="1"/>
    <col min="13" max="13" width="3.5703125" style="318" hidden="1" customWidth="1" outlineLevel="1"/>
    <col min="14" max="14" width="6.5703125" style="318" hidden="1" customWidth="1" outlineLevel="1"/>
    <col min="15" max="15" width="36.85546875" style="318" hidden="1" customWidth="1" outlineLevel="1"/>
    <col min="16" max="16" width="14" style="780" customWidth="1" collapsed="1"/>
    <col min="17" max="17" width="3.5703125" style="318" hidden="1" customWidth="1" outlineLevel="1"/>
    <col min="18" max="18" width="6.5703125" style="318" hidden="1" customWidth="1" outlineLevel="1"/>
    <col min="19" max="19" width="50.28515625" style="318" hidden="1" customWidth="1" outlineLevel="1"/>
    <col min="20" max="20" width="14" style="780" customWidth="1" collapsed="1"/>
    <col min="21" max="21" width="3.5703125" style="318" hidden="1" customWidth="1" outlineLevel="1"/>
    <col min="22" max="22" width="6.5703125" style="318" hidden="1" customWidth="1" outlineLevel="1"/>
    <col min="23" max="23" width="36.85546875" style="318" hidden="1" customWidth="1" outlineLevel="1"/>
    <col min="24" max="24" width="14" style="780" customWidth="1" collapsed="1"/>
    <col min="25" max="25" width="3.5703125" style="318" hidden="1" customWidth="1" outlineLevel="1"/>
    <col min="26" max="26" width="6.5703125" style="318" hidden="1" customWidth="1" outlineLevel="1"/>
    <col min="27" max="27" width="50.28515625" style="318" hidden="1" customWidth="1" outlineLevel="1"/>
    <col min="28" max="28" width="14" style="780" customWidth="1" collapsed="1"/>
    <col min="29" max="29" width="3.5703125" style="318" hidden="1" customWidth="1" outlineLevel="1"/>
    <col min="30" max="30" width="6.5703125" style="318" hidden="1" customWidth="1" outlineLevel="1"/>
    <col min="31" max="31" width="36.85546875" style="318" hidden="1" customWidth="1" outlineLevel="1"/>
    <col min="32" max="32" width="14" style="780" customWidth="1" collapsed="1"/>
    <col min="33" max="33" width="3.5703125" style="318" customWidth="1" outlineLevel="1"/>
    <col min="34" max="34" width="6.5703125" style="318" customWidth="1" outlineLevel="1"/>
    <col min="35" max="35" width="50.28515625" style="318" customWidth="1" outlineLevel="1"/>
    <col min="36" max="36" width="14.140625" style="782" customWidth="1"/>
    <col min="37" max="37" width="28.85546875" style="782" customWidth="1"/>
    <col min="38" max="38" width="12.5703125" style="782" customWidth="1"/>
    <col min="39" max="39" width="16.85546875" style="782" customWidth="1"/>
    <col min="40" max="40" width="20" style="782" bestFit="1" customWidth="1"/>
    <col min="41" max="16384" width="11.42578125" style="780"/>
  </cols>
  <sheetData>
    <row r="1" spans="1:40">
      <c r="A1" s="831"/>
      <c r="B1" s="848"/>
      <c r="C1" s="829"/>
      <c r="D1" s="831"/>
      <c r="E1" s="831"/>
      <c r="F1" s="847" t="s">
        <v>510</v>
      </c>
      <c r="G1" s="831"/>
      <c r="H1" s="831"/>
      <c r="I1" s="831"/>
      <c r="J1" s="831"/>
      <c r="K1" s="831"/>
      <c r="L1" s="846" t="s">
        <v>1916</v>
      </c>
      <c r="M1" s="184"/>
      <c r="N1" s="184"/>
      <c r="O1" s="184"/>
      <c r="P1" s="846" t="s">
        <v>1915</v>
      </c>
      <c r="Q1" s="184"/>
      <c r="R1" s="184"/>
      <c r="S1" s="184"/>
      <c r="T1" s="846" t="s">
        <v>1914</v>
      </c>
      <c r="U1" s="184"/>
      <c r="V1" s="184"/>
      <c r="W1" s="184"/>
      <c r="X1" s="846" t="s">
        <v>1913</v>
      </c>
      <c r="Y1" s="184"/>
      <c r="Z1" s="184"/>
      <c r="AA1" s="184"/>
      <c r="AB1" s="846" t="s">
        <v>1912</v>
      </c>
      <c r="AC1" s="184"/>
      <c r="AD1" s="184"/>
      <c r="AE1" s="184"/>
      <c r="AF1" s="846" t="s">
        <v>1910</v>
      </c>
      <c r="AG1" s="184"/>
      <c r="AH1" s="184"/>
      <c r="AI1" s="184"/>
      <c r="AJ1" s="785"/>
      <c r="AK1" s="785"/>
      <c r="AL1" s="785"/>
      <c r="AM1" s="785"/>
      <c r="AN1" s="785"/>
    </row>
    <row r="2" spans="1:40">
      <c r="A2" s="831"/>
      <c r="B2" s="844"/>
      <c r="C2" s="829" t="s">
        <v>511</v>
      </c>
      <c r="D2" s="844">
        <v>3503</v>
      </c>
      <c r="E2" s="844">
        <v>3504</v>
      </c>
      <c r="F2" s="844">
        <v>3702</v>
      </c>
      <c r="G2" s="844">
        <v>3703</v>
      </c>
      <c r="H2" s="844">
        <v>3506</v>
      </c>
      <c r="I2" s="844">
        <v>3507</v>
      </c>
      <c r="J2" s="844">
        <v>3508</v>
      </c>
      <c r="K2" s="844">
        <v>3706</v>
      </c>
      <c r="L2" s="844">
        <v>3707</v>
      </c>
      <c r="M2" s="843">
        <v>3708</v>
      </c>
      <c r="N2" s="843">
        <v>3709</v>
      </c>
      <c r="O2" s="845">
        <v>3792</v>
      </c>
      <c r="P2" s="844">
        <v>3707</v>
      </c>
      <c r="Q2" s="843">
        <v>3708</v>
      </c>
      <c r="R2" s="843">
        <v>3709</v>
      </c>
      <c r="S2" s="842">
        <v>3792</v>
      </c>
      <c r="T2" s="844">
        <v>3707</v>
      </c>
      <c r="U2" s="843">
        <v>3708</v>
      </c>
      <c r="V2" s="843">
        <v>3709</v>
      </c>
      <c r="W2" s="845">
        <v>3792</v>
      </c>
      <c r="X2" s="844">
        <v>3707</v>
      </c>
      <c r="Y2" s="843">
        <v>3708</v>
      </c>
      <c r="Z2" s="843">
        <v>3709</v>
      </c>
      <c r="AA2" s="842">
        <v>3792</v>
      </c>
      <c r="AB2" s="844">
        <v>3707</v>
      </c>
      <c r="AC2" s="843">
        <v>3708</v>
      </c>
      <c r="AD2" s="843">
        <v>3709</v>
      </c>
      <c r="AE2" s="845">
        <v>3792</v>
      </c>
      <c r="AF2" s="844">
        <v>3707</v>
      </c>
      <c r="AG2" s="843">
        <v>3708</v>
      </c>
      <c r="AH2" s="843">
        <v>3709</v>
      </c>
      <c r="AI2" s="842">
        <v>3792</v>
      </c>
      <c r="AJ2" s="836"/>
      <c r="AL2" s="785"/>
      <c r="AM2" s="785"/>
      <c r="AN2" s="836"/>
    </row>
    <row r="3" spans="1:40" ht="101.25">
      <c r="A3" s="831" t="s">
        <v>398</v>
      </c>
      <c r="B3" s="830"/>
      <c r="C3" s="829">
        <v>401</v>
      </c>
      <c r="D3" s="841" t="s">
        <v>514</v>
      </c>
      <c r="E3" s="841" t="s">
        <v>515</v>
      </c>
      <c r="F3" s="827" t="s">
        <v>516</v>
      </c>
      <c r="G3" s="840" t="s">
        <v>517</v>
      </c>
      <c r="H3" s="840" t="s">
        <v>518</v>
      </c>
      <c r="I3" s="840" t="s">
        <v>519</v>
      </c>
      <c r="J3" s="840" t="s">
        <v>520</v>
      </c>
      <c r="K3" s="840" t="s">
        <v>394</v>
      </c>
      <c r="L3" s="826" t="s">
        <v>1911</v>
      </c>
      <c r="M3" s="838" t="s">
        <v>265</v>
      </c>
      <c r="N3" s="838" t="s">
        <v>266</v>
      </c>
      <c r="O3" s="839" t="s">
        <v>548</v>
      </c>
      <c r="P3" s="826" t="s">
        <v>1909</v>
      </c>
      <c r="Q3" s="838" t="s">
        <v>265</v>
      </c>
      <c r="R3" s="838" t="s">
        <v>266</v>
      </c>
      <c r="S3" s="837" t="s">
        <v>548</v>
      </c>
      <c r="T3" s="826" t="s">
        <v>1911</v>
      </c>
      <c r="U3" s="838" t="s">
        <v>265</v>
      </c>
      <c r="V3" s="838" t="s">
        <v>266</v>
      </c>
      <c r="W3" s="839" t="s">
        <v>548</v>
      </c>
      <c r="X3" s="826" t="s">
        <v>1909</v>
      </c>
      <c r="Y3" s="838" t="s">
        <v>265</v>
      </c>
      <c r="Z3" s="838" t="s">
        <v>266</v>
      </c>
      <c r="AA3" s="837" t="s">
        <v>548</v>
      </c>
      <c r="AB3" s="826" t="s">
        <v>1911</v>
      </c>
      <c r="AC3" s="838" t="s">
        <v>265</v>
      </c>
      <c r="AD3" s="838" t="s">
        <v>266</v>
      </c>
      <c r="AE3" s="839" t="s">
        <v>548</v>
      </c>
      <c r="AF3" s="826" t="s">
        <v>1909</v>
      </c>
      <c r="AG3" s="838" t="s">
        <v>265</v>
      </c>
      <c r="AH3" s="838" t="s">
        <v>266</v>
      </c>
      <c r="AI3" s="837" t="s">
        <v>548</v>
      </c>
      <c r="AJ3" s="823" t="s">
        <v>1728</v>
      </c>
      <c r="AK3" s="836" t="s">
        <v>264</v>
      </c>
      <c r="AL3" s="871" t="s">
        <v>1917</v>
      </c>
      <c r="AM3" s="871"/>
      <c r="AN3" s="836" t="s">
        <v>1728</v>
      </c>
    </row>
    <row r="4" spans="1:40" ht="12.75" customHeight="1">
      <c r="A4" s="831"/>
      <c r="B4" s="830"/>
      <c r="C4" s="829">
        <v>662</v>
      </c>
      <c r="D4" s="828"/>
      <c r="E4" s="828"/>
      <c r="F4" s="827" t="s">
        <v>517</v>
      </c>
      <c r="G4" s="827"/>
      <c r="H4" s="827"/>
      <c r="I4" s="827"/>
      <c r="J4" s="827"/>
      <c r="K4" s="827"/>
      <c r="L4" s="826" t="s">
        <v>393</v>
      </c>
      <c r="M4" s="825"/>
      <c r="N4" s="825"/>
      <c r="O4" s="824"/>
      <c r="P4" s="826" t="s">
        <v>393</v>
      </c>
      <c r="Q4" s="825"/>
      <c r="R4" s="825"/>
      <c r="S4" s="824"/>
      <c r="T4" s="826" t="s">
        <v>268</v>
      </c>
      <c r="U4" s="825"/>
      <c r="V4" s="825"/>
      <c r="W4" s="824"/>
      <c r="X4" s="826" t="s">
        <v>268</v>
      </c>
      <c r="Y4" s="825"/>
      <c r="Z4" s="825"/>
      <c r="AA4" s="824"/>
      <c r="AB4" s="826" t="s">
        <v>494</v>
      </c>
      <c r="AC4" s="825"/>
      <c r="AD4" s="825"/>
      <c r="AE4" s="824"/>
      <c r="AF4" s="826" t="s">
        <v>494</v>
      </c>
      <c r="AG4" s="825"/>
      <c r="AH4" s="825"/>
      <c r="AI4" s="824"/>
      <c r="AJ4" s="823" t="s">
        <v>393</v>
      </c>
      <c r="AK4" s="835"/>
      <c r="AL4" s="834"/>
      <c r="AM4" s="833"/>
      <c r="AN4" s="835"/>
    </row>
    <row r="5" spans="1:40">
      <c r="A5" s="831"/>
      <c r="B5" s="830"/>
      <c r="C5" s="829">
        <v>493</v>
      </c>
      <c r="D5" s="828"/>
      <c r="E5" s="828"/>
      <c r="F5" s="827" t="s">
        <v>520</v>
      </c>
      <c r="G5" s="827"/>
      <c r="H5" s="827"/>
      <c r="I5" s="827"/>
      <c r="J5" s="827"/>
      <c r="K5" s="827"/>
      <c r="L5" s="826">
        <v>0</v>
      </c>
      <c r="M5" s="825"/>
      <c r="N5" s="825"/>
      <c r="O5" s="824"/>
      <c r="P5" s="826">
        <v>0</v>
      </c>
      <c r="Q5" s="825"/>
      <c r="R5" s="825"/>
      <c r="S5" s="824"/>
      <c r="T5" s="826">
        <v>0</v>
      </c>
      <c r="U5" s="825"/>
      <c r="V5" s="825"/>
      <c r="W5" s="824"/>
      <c r="X5" s="826">
        <v>0</v>
      </c>
      <c r="Y5" s="825"/>
      <c r="Z5" s="825"/>
      <c r="AA5" s="824"/>
      <c r="AB5" s="826">
        <v>0</v>
      </c>
      <c r="AC5" s="825"/>
      <c r="AD5" s="825"/>
      <c r="AE5" s="824"/>
      <c r="AF5" s="826">
        <v>0</v>
      </c>
      <c r="AG5" s="825"/>
      <c r="AH5" s="825"/>
      <c r="AI5" s="824"/>
      <c r="AJ5" s="823">
        <v>2009</v>
      </c>
      <c r="AK5" s="785"/>
      <c r="AL5" s="785"/>
      <c r="AM5" s="785"/>
      <c r="AN5" s="785"/>
    </row>
    <row r="6" spans="1:40" ht="12.75" customHeight="1">
      <c r="A6" s="831"/>
      <c r="B6" s="830"/>
      <c r="C6" s="829">
        <v>403</v>
      </c>
      <c r="D6" s="828"/>
      <c r="E6" s="828"/>
      <c r="F6" s="827" t="s">
        <v>394</v>
      </c>
      <c r="G6" s="827"/>
      <c r="H6" s="827"/>
      <c r="I6" s="827"/>
      <c r="J6" s="827"/>
      <c r="K6" s="827"/>
      <c r="L6" s="826" t="s">
        <v>678</v>
      </c>
      <c r="M6" s="825"/>
      <c r="N6" s="825"/>
      <c r="O6" s="824"/>
      <c r="P6" s="826" t="s">
        <v>678</v>
      </c>
      <c r="Q6" s="825"/>
      <c r="R6" s="825"/>
      <c r="S6" s="824"/>
      <c r="T6" s="826" t="s">
        <v>678</v>
      </c>
      <c r="U6" s="825"/>
      <c r="V6" s="825"/>
      <c r="W6" s="824"/>
      <c r="X6" s="826" t="s">
        <v>678</v>
      </c>
      <c r="Y6" s="825"/>
      <c r="Z6" s="825"/>
      <c r="AA6" s="824"/>
      <c r="AB6" s="826" t="s">
        <v>678</v>
      </c>
      <c r="AC6" s="825"/>
      <c r="AD6" s="825"/>
      <c r="AE6" s="824"/>
      <c r="AF6" s="826" t="s">
        <v>678</v>
      </c>
      <c r="AG6" s="825"/>
      <c r="AH6" s="825"/>
      <c r="AI6" s="824"/>
      <c r="AJ6" s="823" t="s">
        <v>395</v>
      </c>
      <c r="AK6" s="785"/>
      <c r="AL6" s="785"/>
      <c r="AM6" s="785"/>
      <c r="AN6" s="785"/>
    </row>
    <row r="7" spans="1:40" ht="24">
      <c r="A7" s="808" t="s">
        <v>1916</v>
      </c>
      <c r="B7" s="807" t="s">
        <v>523</v>
      </c>
      <c r="C7" s="806"/>
      <c r="D7" s="821" t="s">
        <v>402</v>
      </c>
      <c r="E7" s="820">
        <v>0</v>
      </c>
      <c r="F7" s="819" t="s">
        <v>1911</v>
      </c>
      <c r="G7" s="816" t="s">
        <v>393</v>
      </c>
      <c r="H7" s="818" t="s">
        <v>402</v>
      </c>
      <c r="I7" s="818" t="s">
        <v>402</v>
      </c>
      <c r="J7" s="817">
        <v>0</v>
      </c>
      <c r="K7" s="816" t="s">
        <v>678</v>
      </c>
      <c r="L7" s="815">
        <v>1</v>
      </c>
      <c r="M7" s="814"/>
      <c r="N7" s="813"/>
      <c r="O7" s="800"/>
      <c r="P7" s="815">
        <v>0</v>
      </c>
      <c r="Q7" s="814"/>
      <c r="R7" s="813"/>
      <c r="S7" s="800"/>
      <c r="T7" s="815">
        <v>0</v>
      </c>
      <c r="U7" s="814"/>
      <c r="V7" s="813"/>
      <c r="W7" s="800"/>
      <c r="X7" s="815">
        <v>0</v>
      </c>
      <c r="Y7" s="814"/>
      <c r="Z7" s="813"/>
      <c r="AA7" s="800"/>
      <c r="AB7" s="815">
        <v>0</v>
      </c>
      <c r="AC7" s="814"/>
      <c r="AD7" s="813"/>
      <c r="AE7" s="800"/>
      <c r="AF7" s="815">
        <v>0</v>
      </c>
      <c r="AG7" s="814"/>
      <c r="AH7" s="813"/>
      <c r="AI7" s="800"/>
      <c r="AJ7" s="812"/>
      <c r="AK7" s="811"/>
      <c r="AL7" s="785"/>
      <c r="AM7" s="785"/>
      <c r="AN7" s="811"/>
    </row>
    <row r="8" spans="1:40" ht="24">
      <c r="A8" s="808" t="s">
        <v>1915</v>
      </c>
      <c r="B8" s="807"/>
      <c r="C8" s="806"/>
      <c r="D8" s="821" t="s">
        <v>402</v>
      </c>
      <c r="E8" s="820">
        <v>0</v>
      </c>
      <c r="F8" s="819" t="s">
        <v>1909</v>
      </c>
      <c r="G8" s="816" t="s">
        <v>393</v>
      </c>
      <c r="H8" s="818" t="s">
        <v>402</v>
      </c>
      <c r="I8" s="818" t="s">
        <v>402</v>
      </c>
      <c r="J8" s="817">
        <v>0</v>
      </c>
      <c r="K8" s="816" t="s">
        <v>678</v>
      </c>
      <c r="L8" s="815">
        <v>0</v>
      </c>
      <c r="M8" s="814"/>
      <c r="N8" s="813"/>
      <c r="O8" s="800"/>
      <c r="P8" s="815">
        <v>1</v>
      </c>
      <c r="Q8" s="814"/>
      <c r="R8" s="813"/>
      <c r="S8" s="800"/>
      <c r="T8" s="815">
        <v>0</v>
      </c>
      <c r="U8" s="814"/>
      <c r="V8" s="813"/>
      <c r="W8" s="800"/>
      <c r="X8" s="815">
        <v>0</v>
      </c>
      <c r="Y8" s="814"/>
      <c r="Z8" s="813"/>
      <c r="AA8" s="800"/>
      <c r="AB8" s="815">
        <v>0</v>
      </c>
      <c r="AC8" s="814"/>
      <c r="AD8" s="813"/>
      <c r="AE8" s="800"/>
      <c r="AF8" s="815">
        <v>0</v>
      </c>
      <c r="AG8" s="814"/>
      <c r="AH8" s="813"/>
      <c r="AI8" s="800"/>
      <c r="AJ8" s="812"/>
      <c r="AK8" s="811"/>
      <c r="AL8" s="785"/>
      <c r="AM8" s="785"/>
      <c r="AN8" s="811"/>
    </row>
    <row r="9" spans="1:40" ht="24">
      <c r="A9" s="808" t="s">
        <v>1914</v>
      </c>
      <c r="B9" s="807" t="s">
        <v>523</v>
      </c>
      <c r="C9" s="806"/>
      <c r="D9" s="821" t="s">
        <v>402</v>
      </c>
      <c r="E9" s="820">
        <v>0</v>
      </c>
      <c r="F9" s="819" t="s">
        <v>1911</v>
      </c>
      <c r="G9" s="816" t="s">
        <v>268</v>
      </c>
      <c r="H9" s="818" t="s">
        <v>402</v>
      </c>
      <c r="I9" s="818" t="s">
        <v>402</v>
      </c>
      <c r="J9" s="817">
        <v>0</v>
      </c>
      <c r="K9" s="816" t="s">
        <v>678</v>
      </c>
      <c r="L9" s="815">
        <v>0</v>
      </c>
      <c r="M9" s="814"/>
      <c r="N9" s="813"/>
      <c r="O9" s="800"/>
      <c r="P9" s="815">
        <v>0</v>
      </c>
      <c r="Q9" s="814"/>
      <c r="R9" s="813"/>
      <c r="S9" s="800"/>
      <c r="T9" s="815">
        <v>1</v>
      </c>
      <c r="U9" s="814"/>
      <c r="V9" s="813"/>
      <c r="W9" s="800"/>
      <c r="X9" s="815">
        <v>0</v>
      </c>
      <c r="Y9" s="814"/>
      <c r="Z9" s="813"/>
      <c r="AA9" s="800"/>
      <c r="AB9" s="815">
        <v>0</v>
      </c>
      <c r="AC9" s="814"/>
      <c r="AD9" s="813"/>
      <c r="AE9" s="800"/>
      <c r="AF9" s="815">
        <v>0</v>
      </c>
      <c r="AG9" s="814"/>
      <c r="AH9" s="813"/>
      <c r="AI9" s="800"/>
      <c r="AJ9" s="812"/>
      <c r="AK9" s="811"/>
      <c r="AL9" s="785"/>
      <c r="AM9" s="785"/>
      <c r="AN9" s="811"/>
    </row>
    <row r="10" spans="1:40" ht="24">
      <c r="A10" s="808" t="s">
        <v>1913</v>
      </c>
      <c r="B10" s="807"/>
      <c r="C10" s="806"/>
      <c r="D10" s="821" t="s">
        <v>402</v>
      </c>
      <c r="E10" s="820">
        <v>0</v>
      </c>
      <c r="F10" s="819" t="s">
        <v>1909</v>
      </c>
      <c r="G10" s="816" t="s">
        <v>268</v>
      </c>
      <c r="H10" s="818" t="s">
        <v>402</v>
      </c>
      <c r="I10" s="818" t="s">
        <v>402</v>
      </c>
      <c r="J10" s="817">
        <v>0</v>
      </c>
      <c r="K10" s="816" t="s">
        <v>678</v>
      </c>
      <c r="L10" s="815">
        <v>0</v>
      </c>
      <c r="M10" s="814"/>
      <c r="N10" s="813"/>
      <c r="O10" s="800"/>
      <c r="P10" s="815">
        <v>0</v>
      </c>
      <c r="Q10" s="814"/>
      <c r="R10" s="813"/>
      <c r="S10" s="800"/>
      <c r="T10" s="815">
        <v>0</v>
      </c>
      <c r="U10" s="814"/>
      <c r="V10" s="813"/>
      <c r="W10" s="800"/>
      <c r="X10" s="815">
        <v>1</v>
      </c>
      <c r="Y10" s="814"/>
      <c r="Z10" s="813"/>
      <c r="AA10" s="800"/>
      <c r="AB10" s="815">
        <v>0</v>
      </c>
      <c r="AC10" s="814"/>
      <c r="AD10" s="813"/>
      <c r="AE10" s="800"/>
      <c r="AF10" s="815">
        <v>0</v>
      </c>
      <c r="AG10" s="814"/>
      <c r="AH10" s="813"/>
      <c r="AI10" s="800"/>
      <c r="AJ10" s="812"/>
      <c r="AK10" s="811"/>
      <c r="AL10" s="785"/>
      <c r="AM10" s="785"/>
      <c r="AN10" s="811"/>
    </row>
    <row r="11" spans="1:40" ht="24">
      <c r="A11" s="808" t="s">
        <v>1912</v>
      </c>
      <c r="B11" s="807" t="s">
        <v>523</v>
      </c>
      <c r="C11" s="806"/>
      <c r="D11" s="821" t="s">
        <v>402</v>
      </c>
      <c r="E11" s="820">
        <v>0</v>
      </c>
      <c r="F11" s="819" t="s">
        <v>1911</v>
      </c>
      <c r="G11" s="816" t="s">
        <v>494</v>
      </c>
      <c r="H11" s="818" t="s">
        <v>402</v>
      </c>
      <c r="I11" s="818" t="s">
        <v>402</v>
      </c>
      <c r="J11" s="817">
        <v>0</v>
      </c>
      <c r="K11" s="816" t="s">
        <v>678</v>
      </c>
      <c r="L11" s="815">
        <v>0</v>
      </c>
      <c r="M11" s="814"/>
      <c r="N11" s="813"/>
      <c r="O11" s="800"/>
      <c r="P11" s="815">
        <v>0</v>
      </c>
      <c r="Q11" s="814"/>
      <c r="R11" s="813"/>
      <c r="S11" s="800"/>
      <c r="T11" s="815">
        <v>0</v>
      </c>
      <c r="U11" s="814"/>
      <c r="V11" s="813"/>
      <c r="W11" s="800"/>
      <c r="X11" s="815">
        <v>0</v>
      </c>
      <c r="Y11" s="814"/>
      <c r="Z11" s="813"/>
      <c r="AA11" s="800"/>
      <c r="AB11" s="815">
        <v>1</v>
      </c>
      <c r="AC11" s="814"/>
      <c r="AD11" s="813"/>
      <c r="AE11" s="800"/>
      <c r="AF11" s="815">
        <v>0</v>
      </c>
      <c r="AG11" s="814"/>
      <c r="AH11" s="813"/>
      <c r="AI11" s="800"/>
      <c r="AJ11" s="812"/>
      <c r="AK11" s="811"/>
      <c r="AL11" s="785"/>
      <c r="AM11" s="785"/>
      <c r="AN11" s="811"/>
    </row>
    <row r="12" spans="1:40" ht="24">
      <c r="A12" s="808" t="s">
        <v>1910</v>
      </c>
      <c r="B12" s="807"/>
      <c r="C12" s="806"/>
      <c r="D12" s="821" t="s">
        <v>402</v>
      </c>
      <c r="E12" s="820">
        <v>0</v>
      </c>
      <c r="F12" s="819" t="s">
        <v>1909</v>
      </c>
      <c r="G12" s="816" t="s">
        <v>494</v>
      </c>
      <c r="H12" s="818" t="s">
        <v>402</v>
      </c>
      <c r="I12" s="818" t="s">
        <v>402</v>
      </c>
      <c r="J12" s="817">
        <v>0</v>
      </c>
      <c r="K12" s="816" t="s">
        <v>678</v>
      </c>
      <c r="L12" s="815">
        <v>0</v>
      </c>
      <c r="M12" s="814"/>
      <c r="N12" s="813"/>
      <c r="O12" s="800"/>
      <c r="P12" s="815">
        <v>0</v>
      </c>
      <c r="Q12" s="814"/>
      <c r="R12" s="813"/>
      <c r="S12" s="800"/>
      <c r="T12" s="815">
        <v>0</v>
      </c>
      <c r="U12" s="814"/>
      <c r="V12" s="813"/>
      <c r="W12" s="800"/>
      <c r="X12" s="815">
        <v>0</v>
      </c>
      <c r="Y12" s="814"/>
      <c r="Z12" s="813"/>
      <c r="AA12" s="800"/>
      <c r="AB12" s="815">
        <v>0</v>
      </c>
      <c r="AC12" s="814"/>
      <c r="AD12" s="813"/>
      <c r="AE12" s="800"/>
      <c r="AF12" s="815">
        <v>1</v>
      </c>
      <c r="AG12" s="814"/>
      <c r="AH12" s="813"/>
      <c r="AI12" s="800"/>
      <c r="AJ12" s="812"/>
      <c r="AK12" s="811"/>
      <c r="AL12" s="785"/>
      <c r="AM12" s="785"/>
      <c r="AN12" s="811"/>
    </row>
    <row r="13" spans="1:40" ht="21.75" customHeight="1">
      <c r="A13" s="808">
        <v>1289</v>
      </c>
      <c r="B13" s="807" t="s">
        <v>406</v>
      </c>
      <c r="C13" s="806" t="s">
        <v>525</v>
      </c>
      <c r="D13" s="809">
        <v>4</v>
      </c>
      <c r="E13" s="804" t="s">
        <v>402</v>
      </c>
      <c r="F13" s="509" t="s">
        <v>107</v>
      </c>
      <c r="G13" s="801" t="s">
        <v>402</v>
      </c>
      <c r="H13" s="803" t="s">
        <v>273</v>
      </c>
      <c r="I13" s="803" t="s">
        <v>108</v>
      </c>
      <c r="J13" s="802" t="s">
        <v>402</v>
      </c>
      <c r="K13" s="801" t="s">
        <v>677</v>
      </c>
      <c r="L13" s="799">
        <v>3.8502673796791442</v>
      </c>
      <c r="M13" s="798">
        <v>1</v>
      </c>
      <c r="N13" s="797">
        <v>1.0906744032152329</v>
      </c>
      <c r="O13" s="800" t="s">
        <v>1908</v>
      </c>
      <c r="P13" s="799">
        <v>3.8502673796791442</v>
      </c>
      <c r="Q13" s="798">
        <v>1</v>
      </c>
      <c r="R13" s="797">
        <v>1.0906744032152329</v>
      </c>
      <c r="S13" s="517" t="s">
        <v>1908</v>
      </c>
      <c r="T13" s="799">
        <v>3.8502673796791442</v>
      </c>
      <c r="U13" s="798">
        <v>1</v>
      </c>
      <c r="V13" s="797">
        <v>1.0906744032152329</v>
      </c>
      <c r="W13" s="800" t="s">
        <v>1908</v>
      </c>
      <c r="X13" s="799">
        <v>3.8502673796791442</v>
      </c>
      <c r="Y13" s="798">
        <v>1</v>
      </c>
      <c r="Z13" s="797">
        <v>1.0906744032152329</v>
      </c>
      <c r="AA13" s="517" t="s">
        <v>1908</v>
      </c>
      <c r="AB13" s="799">
        <v>3.8502673796791442</v>
      </c>
      <c r="AC13" s="798">
        <v>1</v>
      </c>
      <c r="AD13" s="797">
        <v>1.0906744032152329</v>
      </c>
      <c r="AE13" s="800" t="s">
        <v>1908</v>
      </c>
      <c r="AF13" s="799">
        <v>3.8502673796791442</v>
      </c>
      <c r="AG13" s="798">
        <v>1</v>
      </c>
      <c r="AH13" s="797">
        <v>1.0906744032152329</v>
      </c>
      <c r="AI13" s="517" t="s">
        <v>1908</v>
      </c>
      <c r="AJ13" s="796"/>
      <c r="AK13" s="795" t="s">
        <v>716</v>
      </c>
      <c r="AL13" s="870"/>
      <c r="AM13" s="870"/>
      <c r="AN13" s="795" t="s">
        <v>1885</v>
      </c>
    </row>
    <row r="14" spans="1:40" ht="21.75" customHeight="1">
      <c r="A14" s="808">
        <v>678</v>
      </c>
      <c r="B14" s="807" t="s">
        <v>524</v>
      </c>
      <c r="C14" s="806" t="s">
        <v>525</v>
      </c>
      <c r="D14" s="809">
        <v>5</v>
      </c>
      <c r="E14" s="804" t="s">
        <v>402</v>
      </c>
      <c r="F14" s="509" t="s">
        <v>111</v>
      </c>
      <c r="G14" s="801" t="s">
        <v>393</v>
      </c>
      <c r="H14" s="803" t="s">
        <v>402</v>
      </c>
      <c r="I14" s="803" t="s">
        <v>402</v>
      </c>
      <c r="J14" s="802">
        <v>0</v>
      </c>
      <c r="K14" s="801" t="s">
        <v>395</v>
      </c>
      <c r="L14" s="799">
        <v>6.9974109579455605E-3</v>
      </c>
      <c r="M14" s="798">
        <v>1</v>
      </c>
      <c r="N14" s="797">
        <v>1.0906744032152329</v>
      </c>
      <c r="O14" s="800" t="s">
        <v>1907</v>
      </c>
      <c r="P14" s="799">
        <v>6.0255483248975658E-3</v>
      </c>
      <c r="Q14" s="798">
        <v>1</v>
      </c>
      <c r="R14" s="797">
        <v>1.0906744032152329</v>
      </c>
      <c r="S14" s="517" t="s">
        <v>1907</v>
      </c>
      <c r="T14" s="799">
        <v>7.9747996331592172E-3</v>
      </c>
      <c r="U14" s="798">
        <v>1</v>
      </c>
      <c r="V14" s="797">
        <v>1.0906744032152329</v>
      </c>
      <c r="W14" s="800" t="s">
        <v>1907</v>
      </c>
      <c r="X14" s="799">
        <v>6.8671885729982129E-3</v>
      </c>
      <c r="Y14" s="798">
        <v>1</v>
      </c>
      <c r="Z14" s="797">
        <v>1.0906744032152329</v>
      </c>
      <c r="AA14" s="517" t="s">
        <v>1907</v>
      </c>
      <c r="AB14" s="799">
        <v>4.6281297727588282E-3</v>
      </c>
      <c r="AC14" s="798">
        <v>1</v>
      </c>
      <c r="AD14" s="797">
        <v>1.0906744032152329</v>
      </c>
      <c r="AE14" s="800" t="s">
        <v>1907</v>
      </c>
      <c r="AF14" s="799">
        <v>3.9853339709867682E-3</v>
      </c>
      <c r="AG14" s="798">
        <v>1</v>
      </c>
      <c r="AH14" s="797">
        <v>1.0906744032152329</v>
      </c>
      <c r="AI14" s="517" t="s">
        <v>1907</v>
      </c>
      <c r="AJ14" s="796"/>
      <c r="AK14" s="795" t="s">
        <v>23</v>
      </c>
      <c r="AL14" s="870"/>
      <c r="AM14" s="870"/>
      <c r="AN14" s="795" t="s">
        <v>1885</v>
      </c>
    </row>
    <row r="15" spans="1:40" ht="21.75" customHeight="1">
      <c r="A15" s="808">
        <v>1750</v>
      </c>
      <c r="B15" s="807" t="s">
        <v>525</v>
      </c>
      <c r="C15" s="806" t="s">
        <v>525</v>
      </c>
      <c r="D15" s="809">
        <v>5</v>
      </c>
      <c r="E15" s="804" t="s">
        <v>402</v>
      </c>
      <c r="F15" s="509" t="s">
        <v>113</v>
      </c>
      <c r="G15" s="801" t="s">
        <v>393</v>
      </c>
      <c r="H15" s="803" t="s">
        <v>402</v>
      </c>
      <c r="I15" s="803" t="s">
        <v>402</v>
      </c>
      <c r="J15" s="802">
        <v>0</v>
      </c>
      <c r="K15" s="801" t="s">
        <v>409</v>
      </c>
      <c r="L15" s="799">
        <v>6.9974109579455606E-6</v>
      </c>
      <c r="M15" s="798">
        <v>1</v>
      </c>
      <c r="N15" s="797">
        <v>1.0906744032152329</v>
      </c>
      <c r="O15" s="800" t="s">
        <v>1907</v>
      </c>
      <c r="P15" s="799">
        <v>6.0255483248975658E-6</v>
      </c>
      <c r="Q15" s="798">
        <v>1</v>
      </c>
      <c r="R15" s="797">
        <v>1.0906744032152329</v>
      </c>
      <c r="S15" s="517" t="s">
        <v>1907</v>
      </c>
      <c r="T15" s="799">
        <v>7.9747996331592177E-6</v>
      </c>
      <c r="U15" s="798">
        <v>1</v>
      </c>
      <c r="V15" s="797">
        <v>1.0906744032152329</v>
      </c>
      <c r="W15" s="800" t="s">
        <v>1907</v>
      </c>
      <c r="X15" s="799">
        <v>6.8671885729982128E-6</v>
      </c>
      <c r="Y15" s="798">
        <v>1</v>
      </c>
      <c r="Z15" s="797">
        <v>1.0906744032152329</v>
      </c>
      <c r="AA15" s="517" t="s">
        <v>1907</v>
      </c>
      <c r="AB15" s="799">
        <v>4.6281297727588278E-6</v>
      </c>
      <c r="AC15" s="798">
        <v>1</v>
      </c>
      <c r="AD15" s="797">
        <v>1.0906744032152329</v>
      </c>
      <c r="AE15" s="800" t="s">
        <v>1907</v>
      </c>
      <c r="AF15" s="799">
        <v>3.9853339709867679E-6</v>
      </c>
      <c r="AG15" s="798">
        <v>1</v>
      </c>
      <c r="AH15" s="797">
        <v>1.0906744032152329</v>
      </c>
      <c r="AI15" s="517" t="s">
        <v>1907</v>
      </c>
      <c r="AJ15" s="796"/>
      <c r="AK15" s="795" t="s">
        <v>23</v>
      </c>
      <c r="AL15" s="870"/>
      <c r="AM15" s="870"/>
      <c r="AN15" s="795" t="s">
        <v>1885</v>
      </c>
    </row>
    <row r="16" spans="1:40" ht="24">
      <c r="A16" s="808" t="s">
        <v>1904</v>
      </c>
      <c r="B16" s="807" t="s">
        <v>525</v>
      </c>
      <c r="C16" s="806"/>
      <c r="D16" s="809">
        <v>5</v>
      </c>
      <c r="E16" s="804" t="s">
        <v>402</v>
      </c>
      <c r="F16" s="509" t="s">
        <v>1903</v>
      </c>
      <c r="G16" s="801" t="s">
        <v>521</v>
      </c>
      <c r="H16" s="803" t="s">
        <v>402</v>
      </c>
      <c r="I16" s="803" t="s">
        <v>402</v>
      </c>
      <c r="J16" s="802">
        <v>1</v>
      </c>
      <c r="K16" s="801" t="s">
        <v>522</v>
      </c>
      <c r="L16" s="799">
        <v>1.4461315979754158E-5</v>
      </c>
      <c r="M16" s="798">
        <v>1</v>
      </c>
      <c r="N16" s="797">
        <v>3.0161925676538148</v>
      </c>
      <c r="O16" s="800" t="s">
        <v>1906</v>
      </c>
      <c r="P16" s="799">
        <v>0</v>
      </c>
      <c r="Q16" s="798">
        <v>1</v>
      </c>
      <c r="R16" s="797">
        <v>3.0161925676538148</v>
      </c>
      <c r="S16" s="517" t="s">
        <v>1906</v>
      </c>
      <c r="T16" s="799">
        <v>1.6481252575195713E-5</v>
      </c>
      <c r="U16" s="798">
        <v>1</v>
      </c>
      <c r="V16" s="797">
        <v>3.0161925676538148</v>
      </c>
      <c r="W16" s="800" t="s">
        <v>1906</v>
      </c>
      <c r="X16" s="799">
        <v>0</v>
      </c>
      <c r="Y16" s="798">
        <v>1</v>
      </c>
      <c r="Z16" s="797">
        <v>3.0161925676538148</v>
      </c>
      <c r="AA16" s="517" t="s">
        <v>1906</v>
      </c>
      <c r="AB16" s="799">
        <v>9.5648015303682448E-6</v>
      </c>
      <c r="AC16" s="798">
        <v>1</v>
      </c>
      <c r="AD16" s="797">
        <v>3.0161925676538148</v>
      </c>
      <c r="AE16" s="800" t="s">
        <v>1906</v>
      </c>
      <c r="AF16" s="799">
        <v>0</v>
      </c>
      <c r="AG16" s="798">
        <v>1</v>
      </c>
      <c r="AH16" s="797">
        <v>3.0161925676538148</v>
      </c>
      <c r="AI16" s="517" t="s">
        <v>1906</v>
      </c>
      <c r="AJ16" s="796"/>
      <c r="AK16" s="795"/>
      <c r="AL16" s="870">
        <v>24.193548387096776</v>
      </c>
      <c r="AM16" s="870"/>
      <c r="AN16" s="795" t="s">
        <v>1885</v>
      </c>
    </row>
    <row r="17" spans="1:40" ht="24">
      <c r="A17" s="808" t="s">
        <v>1902</v>
      </c>
      <c r="B17" s="807" t="s">
        <v>525</v>
      </c>
      <c r="C17" s="806"/>
      <c r="D17" s="809">
        <v>5</v>
      </c>
      <c r="E17" s="804" t="s">
        <v>402</v>
      </c>
      <c r="F17" s="509" t="s">
        <v>1901</v>
      </c>
      <c r="G17" s="801" t="s">
        <v>521</v>
      </c>
      <c r="H17" s="803" t="s">
        <v>402</v>
      </c>
      <c r="I17" s="803" t="s">
        <v>402</v>
      </c>
      <c r="J17" s="802">
        <v>1</v>
      </c>
      <c r="K17" s="801" t="s">
        <v>522</v>
      </c>
      <c r="L17" s="799">
        <v>0</v>
      </c>
      <c r="M17" s="798">
        <v>1</v>
      </c>
      <c r="N17" s="797">
        <v>3.0161925676538148</v>
      </c>
      <c r="O17" s="800" t="s">
        <v>1906</v>
      </c>
      <c r="P17" s="799">
        <v>1.4461315979754158E-5</v>
      </c>
      <c r="Q17" s="798">
        <v>1</v>
      </c>
      <c r="R17" s="797">
        <v>3.0161925676538148</v>
      </c>
      <c r="S17" s="517" t="s">
        <v>1906</v>
      </c>
      <c r="T17" s="799">
        <v>0</v>
      </c>
      <c r="U17" s="798">
        <v>1</v>
      </c>
      <c r="V17" s="797">
        <v>3.0161925676538148</v>
      </c>
      <c r="W17" s="800" t="s">
        <v>1906</v>
      </c>
      <c r="X17" s="799">
        <v>1.6481252575195713E-5</v>
      </c>
      <c r="Y17" s="798">
        <v>1</v>
      </c>
      <c r="Z17" s="797">
        <v>3.0161925676538148</v>
      </c>
      <c r="AA17" s="517" t="s">
        <v>1906</v>
      </c>
      <c r="AB17" s="799">
        <v>0</v>
      </c>
      <c r="AC17" s="798">
        <v>1</v>
      </c>
      <c r="AD17" s="797">
        <v>3.0161925676538148</v>
      </c>
      <c r="AE17" s="800" t="s">
        <v>1906</v>
      </c>
      <c r="AF17" s="799">
        <v>9.5648015303682448E-6</v>
      </c>
      <c r="AG17" s="798">
        <v>1</v>
      </c>
      <c r="AH17" s="797">
        <v>3.0161925676538148</v>
      </c>
      <c r="AI17" s="517" t="s">
        <v>1906</v>
      </c>
      <c r="AJ17" s="796"/>
      <c r="AK17" s="795"/>
      <c r="AL17" s="870">
        <v>20.833333333333332</v>
      </c>
      <c r="AM17" s="870"/>
      <c r="AN17" s="795" t="s">
        <v>1885</v>
      </c>
    </row>
    <row r="18" spans="1:40" ht="24">
      <c r="A18" s="808">
        <v>490</v>
      </c>
      <c r="B18" s="807" t="s">
        <v>272</v>
      </c>
      <c r="C18" s="806"/>
      <c r="D18" s="805" t="s">
        <v>402</v>
      </c>
      <c r="E18" s="804">
        <v>4</v>
      </c>
      <c r="F18" s="509" t="s">
        <v>324</v>
      </c>
      <c r="G18" s="801" t="s">
        <v>402</v>
      </c>
      <c r="H18" s="803" t="s">
        <v>325</v>
      </c>
      <c r="I18" s="803" t="s">
        <v>685</v>
      </c>
      <c r="J18" s="802" t="s">
        <v>402</v>
      </c>
      <c r="K18" s="801" t="s">
        <v>677</v>
      </c>
      <c r="L18" s="799">
        <v>0.25026737967914414</v>
      </c>
      <c r="M18" s="798">
        <v>1</v>
      </c>
      <c r="N18" s="797">
        <v>1.05</v>
      </c>
      <c r="O18" s="800" t="s">
        <v>1905</v>
      </c>
      <c r="P18" s="799">
        <v>0.25026737967914414</v>
      </c>
      <c r="Q18" s="798">
        <v>1</v>
      </c>
      <c r="R18" s="797">
        <v>1.05</v>
      </c>
      <c r="S18" s="517" t="s">
        <v>1905</v>
      </c>
      <c r="T18" s="799">
        <v>0.25026737967914414</v>
      </c>
      <c r="U18" s="798">
        <v>1</v>
      </c>
      <c r="V18" s="797">
        <v>1.05</v>
      </c>
      <c r="W18" s="800" t="s">
        <v>1905</v>
      </c>
      <c r="X18" s="799">
        <v>0.25026737967914414</v>
      </c>
      <c r="Y18" s="798">
        <v>1</v>
      </c>
      <c r="Z18" s="797">
        <v>1.05</v>
      </c>
      <c r="AA18" s="517" t="s">
        <v>1905</v>
      </c>
      <c r="AB18" s="799">
        <v>0.25026737967914414</v>
      </c>
      <c r="AC18" s="798">
        <v>1</v>
      </c>
      <c r="AD18" s="797">
        <v>1.05</v>
      </c>
      <c r="AE18" s="800" t="s">
        <v>1905</v>
      </c>
      <c r="AF18" s="799">
        <v>0.25026737967914414</v>
      </c>
      <c r="AG18" s="798">
        <v>1</v>
      </c>
      <c r="AH18" s="797">
        <v>1.05</v>
      </c>
      <c r="AI18" s="517" t="s">
        <v>1905</v>
      </c>
      <c r="AJ18" s="796"/>
      <c r="AK18" s="795" t="s">
        <v>401</v>
      </c>
      <c r="AL18" s="870"/>
      <c r="AM18" s="870"/>
      <c r="AN18" s="795" t="s">
        <v>1885</v>
      </c>
    </row>
    <row r="19" spans="1:40" s="787" customFormat="1">
      <c r="B19" s="792"/>
      <c r="C19" s="791"/>
      <c r="M19" s="790"/>
      <c r="N19" s="790"/>
      <c r="O19" s="790"/>
      <c r="Q19" s="790"/>
      <c r="R19" s="790"/>
      <c r="S19" s="790"/>
      <c r="U19" s="790"/>
      <c r="V19" s="790"/>
      <c r="W19" s="790"/>
      <c r="Y19" s="790"/>
      <c r="Z19" s="790"/>
      <c r="AA19" s="790"/>
      <c r="AC19" s="790"/>
      <c r="AD19" s="790"/>
      <c r="AE19" s="790"/>
      <c r="AG19" s="790"/>
      <c r="AH19" s="790"/>
      <c r="AI19" s="790"/>
      <c r="AJ19" s="789"/>
      <c r="AK19" s="789"/>
      <c r="AL19" s="785"/>
      <c r="AM19" s="785"/>
      <c r="AN19" s="789"/>
    </row>
    <row r="20" spans="1:40">
      <c r="L20" s="786"/>
      <c r="P20" s="786"/>
      <c r="T20" s="786"/>
      <c r="X20" s="786"/>
      <c r="AB20" s="786"/>
      <c r="AF20" s="786"/>
      <c r="AL20" s="785"/>
      <c r="AM20" s="785"/>
    </row>
  </sheetData>
  <conditionalFormatting sqref="L1 P1">
    <cfRule type="cellIs" dxfId="25" priority="3" stopIfTrue="1" operator="equal">
      <formula>$F15</formula>
    </cfRule>
  </conditionalFormatting>
  <conditionalFormatting sqref="B13:B18">
    <cfRule type="cellIs" dxfId="24" priority="4" stopIfTrue="1" operator="notEqual">
      <formula>""</formula>
    </cfRule>
  </conditionalFormatting>
  <conditionalFormatting sqref="T1 X1">
    <cfRule type="cellIs" dxfId="23" priority="2" stopIfTrue="1" operator="equal">
      <formula>$F15</formula>
    </cfRule>
  </conditionalFormatting>
  <conditionalFormatting sqref="AB1 AF1">
    <cfRule type="cellIs" dxfId="22" priority="1" stopIfTrue="1" operator="equal">
      <formula>$F15</formula>
    </cfRule>
  </conditionalFormatting>
  <dataValidations count="20">
    <dataValidation allowBlank="1" showInputMessage="1" showErrorMessage="1" prompt="Do not enter anything into these fields. _x000a__x000a_Entering the Index-Number in column A will update these fields accordingly (maybe you need to press &quot;F9&quot; to have Excel recalculate the fields). Be sure to have the names-list open._x000a_" sqref="F7:K18"/>
    <dataValidation allowBlank="1" showInputMessage="1" showErrorMessage="1" prompt="Mean amount of elementary flow or intermediate product flow. Enter your values (or the respective equation) here." sqref="T13:T18 X13:X18 L13:L18 P13:P18 AB13:AB18 AF13:AF18"/>
    <dataValidation allowBlank="1" showInputMessage="1" showErrorMessage="1" promptTitle="Output Group" prompt="Indicates the kind of output flow. The options 0, 2, and 4 are actively used in the ecoinvent quality network. The codes are: 0=ReferenceProduct_x000a_2=Allocated by product_x000a_4=ToNature_x000a_- = The flow is an Input-Flow_x000a__x000a_" sqref="E7:E18"/>
    <dataValidation allowBlank="1" showInputMessage="1" showErrorMessage="1" promptTitle="Uncertainty Type" prompt="Defines the kind of uncertainty distribution applied on one particular exchange. _x000a__x000a_0 = undefined_x000a_1 = LOGNORMAL (default)_x000a_2 = normal_x000a_3 = triang_x000a_4 = uniform_x000a_" sqref="U2:U18 AG2:AG18 M2:M18 Y2:Y18 Q2:Q18 AC2:AC18"/>
    <dataValidation allowBlank="1" showInputMessage="1" showErrorMessage="1" promptTitle="StandardDeviation" prompt="Do only change when you calculated the Standard Deviation (SD) of the data (square SD for lognormal Distribution, 2*SD for normal Distribution - see column M). _x000a__x000a_Otherwise leave the formula to have it calculated from the Pedigree-Matrix (column Q  to V)." sqref="AD2:AD18 AH2:AH18 V2:V18 Z2:Z18 N2:N18 R2:R18"/>
    <dataValidation allowBlank="1" showInputMessage="1" showErrorMessage="1" promptTitle="GeneralComment" prompt="Do not change, if you use Pedigree Matrix. The comment is generated from the remarks field (enter remarks there) and the Pedigree numbers._x000a__x000a_If you calculated the SD from the data (i.e. without Pedigree Matrix), set a direct reference to the remarks. _x000a__x000a_" sqref="AI1:AI18 AE1:AE18 AA1:AA18 W1:W18 S1:S18 O1:O18"/>
    <dataValidation allowBlank="1" showInputMessage="1" showErrorMessage="1" promptTitle="Input Group" prompt="Indicates the kind of input flow. Within the ecoinvent quality network, only 4 and 5 are actively used (any material, fuel, electricity, heat or service is classified as an input from technosphere)._x000a__x000a_4=FromNature_x000a_5=FromTechnosphere" sqref="D7:D12"/>
    <dataValidation allowBlank="1" showInputMessage="1" showErrorMessage="1" promptTitle="Remarks" prompt="A general comment (data source, calculation procedure, ...) can be made about each individual exchange. The remarks are added to the GeneralComment-field." sqref="AN2:AN3 AK3 AK13:AK18 AN13:AN18"/>
    <dataValidation allowBlank="1" showInputMessage="1" showErrorMessage="1" promptTitle="Empty Line" prompt="An empty line signalises the end of an Ecospold-Dataset. Processes below the first empty line are excluded when exporting to XML. You can use the space below e.g. for additional calculations or comments" sqref="AK19 A19:AI19 AN19:IW19"/>
    <dataValidation allowBlank="1" showInputMessage="1" showErrorMessage="1" prompt="This cell is automatically updated from the names List according to the index number in L1. It needs to be identical to the output product." sqref="L3:L6 P3:P6 T3:T6 X3:X6 AB3:AB6 AF3:AF6"/>
    <dataValidation allowBlank="1" showInputMessage="1" showErrorMessage="1" promptTitle="Unit" prompt="Unit of the exchange (elementary flow or intermediate product flow)." sqref="F6 K2:K3"/>
    <dataValidation allowBlank="1" showInputMessage="1" showErrorMessage="1" promptTitle="Infrastructure" prompt="Describes whether the intermediate product flow from or to the unit process is an infrastructure process or not._x000a__x000a_Not applicable to elementary flows." sqref="F5 J2:J3"/>
    <dataValidation allowBlank="1" showInputMessage="1" showErrorMessage="1" promptTitle="Name" prompt="Name of the exchange (elementary flow or intermediate product flow) in English language. " sqref="F2:F3"/>
    <dataValidation allowBlank="1" showInputMessage="1" showErrorMessage="1" promptTitle="Location" prompt="List of 2 letter ISO country codes extended by codes for regions, continents, market areas, and organisations and companies._x000a__x000a_See names list (sheet &quot;country&quot;) for the complete list." sqref="G2:G3 F4"/>
    <dataValidation allowBlank="1" showInputMessage="1" showErrorMessage="1" promptTitle="Input Group" prompt="Indicates the kind of input flow. Within the ecoinvent quality network, only 4 and 5 are actively used (any material, fuel, electricity, heat or service is classified as an input from technosphere)._x000a__x000a_4=FromNature_x000a_5=FromTechnosphere_x000a_- = an Output-Flow" sqref="D2:D3 D13:D18"/>
    <dataValidation allowBlank="1" showInputMessage="1" showErrorMessage="1" promptTitle="Output Group" prompt="Indicates the kind of output flow. The options 0, 2, and 4 are actively used in the ecoinvent quality network. The codes are: 0=ReferenceProduct_x000a_2=Allocated by product_x000a_4=ToNature_x000a_- = The flow is an Input-Flow_x000a_" sqref="E2:E3"/>
    <dataValidation allowBlank="1" showInputMessage="1" showErrorMessage="1" promptTitle="Index-Number" prompt="Indicates the reference number in the ecoinvent names list. Insert the index number from the names-list in this field and the rest is completed accordingly._x000a__x000a_If Input-/Outputgroup =4 then see sheet &quot;NamesElementary&quot;_x000a_If I/O-Group=5 then see sheet &quot;Names&quot;" sqref="A2:A3 A13:A18"/>
    <dataValidation allowBlank="1" showInputMessage="1" showErrorMessage="1" promptTitle="Category" prompt="Describes the category one particular exchange belongs to (in English language). Category and subCategory are required for elementary flows because they have a discriminative function." sqref="H2:H3"/>
    <dataValidation allowBlank="1" showInputMessage="1" showErrorMessage="1" promptTitle="Subcategory" prompt="Describes the subCategory one particular exchange belongs to (in English language). Category and subCategory are required for elementary flows because they have a discriminative function." sqref="I2:I3"/>
    <dataValidation allowBlank="1" showInputMessage="1" showErrorMessage="1" prompt="always 1" sqref="P7:P12 L7:L12 X7:X12 T7:T12 AF7:AF12 AB7:AB12"/>
  </dataValidations>
  <printOptions horizontalCentered="1" verticalCentered="1"/>
  <pageMargins left="0.78740157480314965" right="0.78740157480314965" top="0.98425196850393704" bottom="0.98425196850393704" header="0.51181102362204722" footer="0.51181102362204722"/>
  <pageSetup paperSize="9" scale="34" orientation="landscape" r:id="rId1"/>
  <headerFooter alignWithMargins="0">
    <oddHeader>&amp;A</oddHeader>
    <oddFooter>&amp;L&amp;D&amp;C&amp;F&amp;RSeite &amp;P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9"/>
  <sheetViews>
    <sheetView zoomScale="75" zoomScaleNormal="75" workbookViewId="0">
      <pane xSplit="3" ySplit="5" topLeftCell="D34" activePane="bottomRight" state="frozen"/>
      <selection activeCell="C40" sqref="C40"/>
      <selection pane="topRight" activeCell="C40" sqref="C40"/>
      <selection pane="bottomLeft" activeCell="C40" sqref="C40"/>
      <selection pane="bottomRight" activeCell="D7" sqref="D7"/>
    </sheetView>
  </sheetViews>
  <sheetFormatPr defaultColWidth="8.85546875" defaultRowHeight="12" outlineLevelRow="1" outlineLevelCol="1"/>
  <cols>
    <col min="1" max="1" width="14.42578125" style="873" customWidth="1"/>
    <col min="2" max="2" width="5.140625" style="782" hidden="1" customWidth="1" outlineLevel="1"/>
    <col min="3" max="3" width="23.42578125" style="780" customWidth="1" collapsed="1"/>
    <col min="4" max="21" width="20.7109375" style="872" customWidth="1"/>
    <col min="22" max="16384" width="8.85546875" style="872"/>
  </cols>
  <sheetData>
    <row r="1" spans="1:21" s="897" customFormat="1">
      <c r="A1" s="873" t="s">
        <v>529</v>
      </c>
      <c r="B1" s="900" t="s">
        <v>511</v>
      </c>
      <c r="C1" s="899" t="s">
        <v>530</v>
      </c>
      <c r="D1" s="898" t="s">
        <v>1725</v>
      </c>
      <c r="E1" s="898" t="s">
        <v>1723</v>
      </c>
      <c r="F1" s="898" t="s">
        <v>1776</v>
      </c>
      <c r="G1" s="898" t="s">
        <v>1774</v>
      </c>
      <c r="H1" s="898" t="s">
        <v>1828</v>
      </c>
      <c r="I1" s="898" t="s">
        <v>1826</v>
      </c>
      <c r="J1" s="898" t="s">
        <v>1863</v>
      </c>
      <c r="K1" s="898" t="s">
        <v>1861</v>
      </c>
      <c r="L1" s="898" t="s">
        <v>1884</v>
      </c>
      <c r="M1" s="898" t="s">
        <v>1882</v>
      </c>
      <c r="N1" s="898" t="s">
        <v>1904</v>
      </c>
      <c r="O1" s="898" t="s">
        <v>1902</v>
      </c>
      <c r="P1" s="898" t="s">
        <v>1916</v>
      </c>
      <c r="Q1" s="898" t="s">
        <v>1915</v>
      </c>
      <c r="R1" s="898" t="s">
        <v>1914</v>
      </c>
      <c r="S1" s="898" t="s">
        <v>1913</v>
      </c>
      <c r="T1" s="898" t="s">
        <v>1912</v>
      </c>
      <c r="U1" s="898" t="s">
        <v>1910</v>
      </c>
    </row>
    <row r="2" spans="1:21" s="894" customFormat="1" ht="24">
      <c r="A2" s="830" t="s">
        <v>531</v>
      </c>
      <c r="B2" s="896">
        <v>401</v>
      </c>
      <c r="C2" s="895" t="s">
        <v>516</v>
      </c>
      <c r="D2" s="826" t="e">
        <f t="shared" ref="D2:U2" ca="1" si="0">INDEX(INDIRECT(names&amp;"Names'!$1:$65536"),MATCH(D$1,INDIRECT(names&amp;"Names'!$F:$F"),0),10)</f>
        <v>#REF!</v>
      </c>
      <c r="E2" s="826" t="e">
        <f t="shared" ca="1" si="0"/>
        <v>#REF!</v>
      </c>
      <c r="F2" s="826" t="e">
        <f t="shared" ca="1" si="0"/>
        <v>#REF!</v>
      </c>
      <c r="G2" s="826" t="e">
        <f t="shared" ca="1" si="0"/>
        <v>#REF!</v>
      </c>
      <c r="H2" s="826" t="e">
        <f t="shared" ca="1" si="0"/>
        <v>#REF!</v>
      </c>
      <c r="I2" s="826" t="e">
        <f t="shared" ca="1" si="0"/>
        <v>#REF!</v>
      </c>
      <c r="J2" s="826" t="e">
        <f t="shared" ca="1" si="0"/>
        <v>#REF!</v>
      </c>
      <c r="K2" s="826" t="e">
        <f t="shared" ca="1" si="0"/>
        <v>#REF!</v>
      </c>
      <c r="L2" s="826" t="e">
        <f t="shared" ca="1" si="0"/>
        <v>#REF!</v>
      </c>
      <c r="M2" s="826" t="e">
        <f t="shared" ca="1" si="0"/>
        <v>#REF!</v>
      </c>
      <c r="N2" s="826" t="e">
        <f t="shared" ca="1" si="0"/>
        <v>#REF!</v>
      </c>
      <c r="O2" s="826" t="e">
        <f t="shared" ca="1" si="0"/>
        <v>#REF!</v>
      </c>
      <c r="P2" s="826" t="e">
        <f t="shared" ca="1" si="0"/>
        <v>#REF!</v>
      </c>
      <c r="Q2" s="826" t="e">
        <f t="shared" ca="1" si="0"/>
        <v>#REF!</v>
      </c>
      <c r="R2" s="826" t="e">
        <f t="shared" ca="1" si="0"/>
        <v>#REF!</v>
      </c>
      <c r="S2" s="826" t="e">
        <f t="shared" ca="1" si="0"/>
        <v>#REF!</v>
      </c>
      <c r="T2" s="826" t="e">
        <f t="shared" ca="1" si="0"/>
        <v>#REF!</v>
      </c>
      <c r="U2" s="826" t="e">
        <f t="shared" ca="1" si="0"/>
        <v>#REF!</v>
      </c>
    </row>
    <row r="3" spans="1:21">
      <c r="A3" s="880" t="s">
        <v>392</v>
      </c>
      <c r="B3" s="893">
        <v>662</v>
      </c>
      <c r="C3" s="892" t="s">
        <v>517</v>
      </c>
      <c r="D3" s="826" t="e">
        <f t="shared" ref="D3:U3" ca="1" si="1">INDEX(INDIRECT(names&amp;"Names'!$1:$65536"),MATCH(D$1,INDIRECT(names&amp;"Names'!$F:$F"),0),11)</f>
        <v>#REF!</v>
      </c>
      <c r="E3" s="826" t="e">
        <f t="shared" ca="1" si="1"/>
        <v>#REF!</v>
      </c>
      <c r="F3" s="826" t="e">
        <f t="shared" ca="1" si="1"/>
        <v>#REF!</v>
      </c>
      <c r="G3" s="826" t="e">
        <f t="shared" ca="1" si="1"/>
        <v>#REF!</v>
      </c>
      <c r="H3" s="826" t="e">
        <f t="shared" ca="1" si="1"/>
        <v>#REF!</v>
      </c>
      <c r="I3" s="826" t="e">
        <f t="shared" ca="1" si="1"/>
        <v>#REF!</v>
      </c>
      <c r="J3" s="826" t="e">
        <f t="shared" ca="1" si="1"/>
        <v>#REF!</v>
      </c>
      <c r="K3" s="826" t="e">
        <f t="shared" ca="1" si="1"/>
        <v>#REF!</v>
      </c>
      <c r="L3" s="826" t="e">
        <f t="shared" ca="1" si="1"/>
        <v>#REF!</v>
      </c>
      <c r="M3" s="826" t="e">
        <f t="shared" ca="1" si="1"/>
        <v>#REF!</v>
      </c>
      <c r="N3" s="826" t="e">
        <f t="shared" ca="1" si="1"/>
        <v>#REF!</v>
      </c>
      <c r="O3" s="826" t="e">
        <f t="shared" ca="1" si="1"/>
        <v>#REF!</v>
      </c>
      <c r="P3" s="826" t="e">
        <f t="shared" ca="1" si="1"/>
        <v>#REF!</v>
      </c>
      <c r="Q3" s="826" t="e">
        <f t="shared" ca="1" si="1"/>
        <v>#REF!</v>
      </c>
      <c r="R3" s="826" t="e">
        <f t="shared" ca="1" si="1"/>
        <v>#REF!</v>
      </c>
      <c r="S3" s="826" t="e">
        <f t="shared" ca="1" si="1"/>
        <v>#REF!</v>
      </c>
      <c r="T3" s="826" t="e">
        <f t="shared" ca="1" si="1"/>
        <v>#REF!</v>
      </c>
      <c r="U3" s="826" t="e">
        <f t="shared" ca="1" si="1"/>
        <v>#REF!</v>
      </c>
    </row>
    <row r="4" spans="1:21">
      <c r="A4" s="880" t="s">
        <v>531</v>
      </c>
      <c r="B4" s="893">
        <v>493</v>
      </c>
      <c r="C4" s="892" t="s">
        <v>532</v>
      </c>
      <c r="D4" s="826" t="e">
        <f t="shared" ref="D4:U4" ca="1" si="2">INDEX(INDIRECT(names&amp;"Names'!$1:$65536"),MATCH(D$1,INDIRECT(names&amp;"Names'!$F:$F"),0),14)</f>
        <v>#REF!</v>
      </c>
      <c r="E4" s="826" t="e">
        <f t="shared" ca="1" si="2"/>
        <v>#REF!</v>
      </c>
      <c r="F4" s="826" t="e">
        <f t="shared" ca="1" si="2"/>
        <v>#REF!</v>
      </c>
      <c r="G4" s="826" t="e">
        <f t="shared" ca="1" si="2"/>
        <v>#REF!</v>
      </c>
      <c r="H4" s="826" t="e">
        <f t="shared" ca="1" si="2"/>
        <v>#REF!</v>
      </c>
      <c r="I4" s="826" t="e">
        <f t="shared" ca="1" si="2"/>
        <v>#REF!</v>
      </c>
      <c r="J4" s="826" t="e">
        <f t="shared" ca="1" si="2"/>
        <v>#REF!</v>
      </c>
      <c r="K4" s="826" t="e">
        <f t="shared" ca="1" si="2"/>
        <v>#REF!</v>
      </c>
      <c r="L4" s="826" t="e">
        <f t="shared" ca="1" si="2"/>
        <v>#REF!</v>
      </c>
      <c r="M4" s="826" t="e">
        <f t="shared" ca="1" si="2"/>
        <v>#REF!</v>
      </c>
      <c r="N4" s="826" t="e">
        <f t="shared" ca="1" si="2"/>
        <v>#REF!</v>
      </c>
      <c r="O4" s="826" t="e">
        <f t="shared" ca="1" si="2"/>
        <v>#REF!</v>
      </c>
      <c r="P4" s="826" t="e">
        <f t="shared" ca="1" si="2"/>
        <v>#REF!</v>
      </c>
      <c r="Q4" s="826" t="e">
        <f t="shared" ca="1" si="2"/>
        <v>#REF!</v>
      </c>
      <c r="R4" s="826" t="e">
        <f t="shared" ca="1" si="2"/>
        <v>#REF!</v>
      </c>
      <c r="S4" s="826" t="e">
        <f t="shared" ca="1" si="2"/>
        <v>#REF!</v>
      </c>
      <c r="T4" s="826" t="e">
        <f t="shared" ca="1" si="2"/>
        <v>#REF!</v>
      </c>
      <c r="U4" s="826" t="e">
        <f t="shared" ca="1" si="2"/>
        <v>#REF!</v>
      </c>
    </row>
    <row r="5" spans="1:21">
      <c r="A5" s="880" t="s">
        <v>531</v>
      </c>
      <c r="B5" s="893">
        <v>403</v>
      </c>
      <c r="C5" s="892" t="s">
        <v>394</v>
      </c>
      <c r="D5" s="826" t="e">
        <f t="shared" ref="D5:U5" ca="1" si="3">INDEX(INDIRECT(names&amp;"Names'!$1:$65536"),MATCH(D$1,INDIRECT(names&amp;"Names'!$F:$F"),0),15)</f>
        <v>#REF!</v>
      </c>
      <c r="E5" s="826" t="e">
        <f t="shared" ca="1" si="3"/>
        <v>#REF!</v>
      </c>
      <c r="F5" s="826" t="e">
        <f t="shared" ca="1" si="3"/>
        <v>#REF!</v>
      </c>
      <c r="G5" s="826" t="e">
        <f t="shared" ca="1" si="3"/>
        <v>#REF!</v>
      </c>
      <c r="H5" s="826" t="e">
        <f t="shared" ca="1" si="3"/>
        <v>#REF!</v>
      </c>
      <c r="I5" s="826" t="e">
        <f t="shared" ca="1" si="3"/>
        <v>#REF!</v>
      </c>
      <c r="J5" s="826" t="e">
        <f t="shared" ca="1" si="3"/>
        <v>#REF!</v>
      </c>
      <c r="K5" s="826" t="e">
        <f t="shared" ca="1" si="3"/>
        <v>#REF!</v>
      </c>
      <c r="L5" s="826" t="e">
        <f t="shared" ca="1" si="3"/>
        <v>#REF!</v>
      </c>
      <c r="M5" s="826" t="e">
        <f t="shared" ca="1" si="3"/>
        <v>#REF!</v>
      </c>
      <c r="N5" s="826" t="e">
        <f t="shared" ca="1" si="3"/>
        <v>#REF!</v>
      </c>
      <c r="O5" s="826" t="e">
        <f t="shared" ca="1" si="3"/>
        <v>#REF!</v>
      </c>
      <c r="P5" s="826" t="e">
        <f t="shared" ca="1" si="3"/>
        <v>#REF!</v>
      </c>
      <c r="Q5" s="826" t="e">
        <f t="shared" ca="1" si="3"/>
        <v>#REF!</v>
      </c>
      <c r="R5" s="826" t="e">
        <f t="shared" ca="1" si="3"/>
        <v>#REF!</v>
      </c>
      <c r="S5" s="826" t="e">
        <f t="shared" ca="1" si="3"/>
        <v>#REF!</v>
      </c>
      <c r="T5" s="826" t="e">
        <f t="shared" ca="1" si="3"/>
        <v>#REF!</v>
      </c>
      <c r="U5" s="826" t="e">
        <f t="shared" ca="1" si="3"/>
        <v>#REF!</v>
      </c>
    </row>
    <row r="6" spans="1:21" outlineLevel="1">
      <c r="A6" s="880" t="s">
        <v>533</v>
      </c>
      <c r="B6" s="884">
        <v>201</v>
      </c>
      <c r="C6" s="879" t="s">
        <v>529</v>
      </c>
      <c r="D6" s="877" t="e">
        <f t="shared" ref="D6:U6" ca="1" si="4">IF(INDEX(INDIRECT(names&amp;"Names'!$U:$U"),MATCH(D$1,INDIRECT(names&amp;"Names'!$F:$F"),0),1)=0,1,5)</f>
        <v>#REF!</v>
      </c>
      <c r="E6" s="877" t="e">
        <f t="shared" ca="1" si="4"/>
        <v>#REF!</v>
      </c>
      <c r="F6" s="877" t="e">
        <f t="shared" ca="1" si="4"/>
        <v>#REF!</v>
      </c>
      <c r="G6" s="877" t="e">
        <f t="shared" ca="1" si="4"/>
        <v>#REF!</v>
      </c>
      <c r="H6" s="877" t="e">
        <f t="shared" ca="1" si="4"/>
        <v>#REF!</v>
      </c>
      <c r="I6" s="877" t="e">
        <f t="shared" ca="1" si="4"/>
        <v>#REF!</v>
      </c>
      <c r="J6" s="877" t="e">
        <f t="shared" ca="1" si="4"/>
        <v>#REF!</v>
      </c>
      <c r="K6" s="877" t="e">
        <f t="shared" ca="1" si="4"/>
        <v>#REF!</v>
      </c>
      <c r="L6" s="877" t="e">
        <f t="shared" ca="1" si="4"/>
        <v>#REF!</v>
      </c>
      <c r="M6" s="877" t="e">
        <f t="shared" ca="1" si="4"/>
        <v>#REF!</v>
      </c>
      <c r="N6" s="877" t="e">
        <f t="shared" ca="1" si="4"/>
        <v>#REF!</v>
      </c>
      <c r="O6" s="877" t="e">
        <f t="shared" ca="1" si="4"/>
        <v>#REF!</v>
      </c>
      <c r="P6" s="877" t="e">
        <f t="shared" ca="1" si="4"/>
        <v>#REF!</v>
      </c>
      <c r="Q6" s="877" t="e">
        <f t="shared" ca="1" si="4"/>
        <v>#REF!</v>
      </c>
      <c r="R6" s="877" t="e">
        <f t="shared" ca="1" si="4"/>
        <v>#REF!</v>
      </c>
      <c r="S6" s="877" t="e">
        <f t="shared" ca="1" si="4"/>
        <v>#REF!</v>
      </c>
      <c r="T6" s="877" t="e">
        <f t="shared" ca="1" si="4"/>
        <v>#REF!</v>
      </c>
      <c r="U6" s="877" t="e">
        <f t="shared" ca="1" si="4"/>
        <v>#REF!</v>
      </c>
    </row>
    <row r="7" spans="1:21" outlineLevel="1">
      <c r="A7" s="880"/>
      <c r="B7" s="884">
        <v>202</v>
      </c>
      <c r="C7" s="879" t="s">
        <v>534</v>
      </c>
      <c r="D7" s="891">
        <v>1</v>
      </c>
      <c r="E7" s="891">
        <v>1</v>
      </c>
      <c r="F7" s="891">
        <v>1</v>
      </c>
      <c r="G7" s="891">
        <v>1</v>
      </c>
      <c r="H7" s="891">
        <v>1</v>
      </c>
      <c r="I7" s="891">
        <v>1</v>
      </c>
      <c r="J7" s="891">
        <v>1</v>
      </c>
      <c r="K7" s="891">
        <v>1</v>
      </c>
      <c r="L7" s="891">
        <v>1</v>
      </c>
      <c r="M7" s="891">
        <v>1</v>
      </c>
      <c r="N7" s="891">
        <v>1</v>
      </c>
      <c r="O7" s="891">
        <v>1</v>
      </c>
      <c r="P7" s="891">
        <v>1</v>
      </c>
      <c r="Q7" s="891">
        <v>1</v>
      </c>
      <c r="R7" s="891">
        <v>1</v>
      </c>
      <c r="S7" s="891">
        <v>1</v>
      </c>
      <c r="T7" s="891">
        <v>1</v>
      </c>
      <c r="U7" s="891">
        <v>1</v>
      </c>
    </row>
    <row r="8" spans="1:21" outlineLevel="1">
      <c r="A8" s="880"/>
      <c r="B8" s="884">
        <v>203</v>
      </c>
      <c r="C8" s="879" t="s">
        <v>535</v>
      </c>
      <c r="D8" s="890">
        <v>0</v>
      </c>
      <c r="E8" s="890">
        <v>0</v>
      </c>
      <c r="F8" s="890">
        <v>0</v>
      </c>
      <c r="G8" s="890">
        <v>0</v>
      </c>
      <c r="H8" s="890">
        <v>0</v>
      </c>
      <c r="I8" s="890">
        <v>0</v>
      </c>
      <c r="J8" s="890">
        <v>0</v>
      </c>
      <c r="K8" s="890">
        <v>0</v>
      </c>
      <c r="L8" s="890">
        <v>0</v>
      </c>
      <c r="M8" s="890">
        <v>0</v>
      </c>
      <c r="N8" s="890">
        <v>0</v>
      </c>
      <c r="O8" s="890">
        <v>0</v>
      </c>
      <c r="P8" s="890">
        <v>0</v>
      </c>
      <c r="Q8" s="890">
        <v>0</v>
      </c>
      <c r="R8" s="890">
        <v>0</v>
      </c>
      <c r="S8" s="890">
        <v>0</v>
      </c>
      <c r="T8" s="890">
        <v>0</v>
      </c>
      <c r="U8" s="890">
        <v>0</v>
      </c>
    </row>
    <row r="9" spans="1:21" outlineLevel="1">
      <c r="A9" s="880"/>
      <c r="B9" s="884">
        <v>205</v>
      </c>
      <c r="C9" s="879" t="s">
        <v>536</v>
      </c>
      <c r="D9" s="877" t="s">
        <v>537</v>
      </c>
      <c r="E9" s="877" t="s">
        <v>537</v>
      </c>
      <c r="F9" s="877" t="s">
        <v>537</v>
      </c>
      <c r="G9" s="877" t="s">
        <v>537</v>
      </c>
      <c r="H9" s="877" t="s">
        <v>537</v>
      </c>
      <c r="I9" s="877" t="s">
        <v>537</v>
      </c>
      <c r="J9" s="877" t="s">
        <v>537</v>
      </c>
      <c r="K9" s="877" t="s">
        <v>537</v>
      </c>
      <c r="L9" s="877" t="s">
        <v>537</v>
      </c>
      <c r="M9" s="877" t="s">
        <v>537</v>
      </c>
      <c r="N9" s="877" t="s">
        <v>537</v>
      </c>
      <c r="O9" s="877" t="s">
        <v>537</v>
      </c>
      <c r="P9" s="877" t="s">
        <v>537</v>
      </c>
      <c r="Q9" s="877" t="s">
        <v>537</v>
      </c>
      <c r="R9" s="877" t="s">
        <v>537</v>
      </c>
      <c r="S9" s="877" t="s">
        <v>537</v>
      </c>
      <c r="T9" s="877" t="s">
        <v>537</v>
      </c>
      <c r="U9" s="877" t="s">
        <v>537</v>
      </c>
    </row>
    <row r="10" spans="1:21" outlineLevel="1">
      <c r="A10" s="880"/>
      <c r="B10" s="884">
        <v>206</v>
      </c>
      <c r="C10" s="879" t="s">
        <v>538</v>
      </c>
      <c r="D10" s="877" t="s">
        <v>539</v>
      </c>
      <c r="E10" s="877" t="s">
        <v>539</v>
      </c>
      <c r="F10" s="877" t="s">
        <v>539</v>
      </c>
      <c r="G10" s="877" t="s">
        <v>539</v>
      </c>
      <c r="H10" s="877" t="s">
        <v>539</v>
      </c>
      <c r="I10" s="877" t="s">
        <v>539</v>
      </c>
      <c r="J10" s="877" t="s">
        <v>539</v>
      </c>
      <c r="K10" s="877" t="s">
        <v>539</v>
      </c>
      <c r="L10" s="877" t="s">
        <v>539</v>
      </c>
      <c r="M10" s="877" t="s">
        <v>539</v>
      </c>
      <c r="N10" s="877" t="s">
        <v>539</v>
      </c>
      <c r="O10" s="877" t="s">
        <v>539</v>
      </c>
      <c r="P10" s="877" t="s">
        <v>539</v>
      </c>
      <c r="Q10" s="877" t="s">
        <v>539</v>
      </c>
      <c r="R10" s="877" t="s">
        <v>539</v>
      </c>
      <c r="S10" s="877" t="s">
        <v>539</v>
      </c>
      <c r="T10" s="877" t="s">
        <v>539</v>
      </c>
      <c r="U10" s="877" t="s">
        <v>539</v>
      </c>
    </row>
    <row r="11" spans="1:21" outlineLevel="1">
      <c r="A11" s="880" t="s">
        <v>540</v>
      </c>
      <c r="B11" s="884">
        <v>302</v>
      </c>
      <c r="C11" s="879" t="s">
        <v>541</v>
      </c>
      <c r="D11" s="883">
        <f t="shared" ref="D11:U11" si="5">entry</f>
        <v>87</v>
      </c>
      <c r="E11" s="883">
        <f t="shared" si="5"/>
        <v>87</v>
      </c>
      <c r="F11" s="883">
        <f t="shared" si="5"/>
        <v>87</v>
      </c>
      <c r="G11" s="883">
        <f t="shared" si="5"/>
        <v>87</v>
      </c>
      <c r="H11" s="883">
        <f t="shared" si="5"/>
        <v>87</v>
      </c>
      <c r="I11" s="883">
        <f t="shared" si="5"/>
        <v>87</v>
      </c>
      <c r="J11" s="883">
        <f t="shared" si="5"/>
        <v>87</v>
      </c>
      <c r="K11" s="883">
        <f t="shared" si="5"/>
        <v>87</v>
      </c>
      <c r="L11" s="883">
        <f t="shared" si="5"/>
        <v>87</v>
      </c>
      <c r="M11" s="883">
        <f t="shared" si="5"/>
        <v>87</v>
      </c>
      <c r="N11" s="883">
        <f t="shared" si="5"/>
        <v>87</v>
      </c>
      <c r="O11" s="883">
        <f t="shared" si="5"/>
        <v>87</v>
      </c>
      <c r="P11" s="883">
        <f t="shared" si="5"/>
        <v>87</v>
      </c>
      <c r="Q11" s="883">
        <f t="shared" si="5"/>
        <v>87</v>
      </c>
      <c r="R11" s="883">
        <f t="shared" si="5"/>
        <v>87</v>
      </c>
      <c r="S11" s="883">
        <f t="shared" si="5"/>
        <v>87</v>
      </c>
      <c r="T11" s="883">
        <f t="shared" si="5"/>
        <v>87</v>
      </c>
      <c r="U11" s="883">
        <f t="shared" si="5"/>
        <v>87</v>
      </c>
    </row>
    <row r="12" spans="1:21" outlineLevel="1">
      <c r="A12" s="880"/>
      <c r="B12" s="884">
        <v>304</v>
      </c>
      <c r="C12" s="879" t="s">
        <v>542</v>
      </c>
      <c r="D12" s="877">
        <v>1</v>
      </c>
      <c r="E12" s="877">
        <v>1</v>
      </c>
      <c r="F12" s="877">
        <v>1</v>
      </c>
      <c r="G12" s="877">
        <v>1</v>
      </c>
      <c r="H12" s="877">
        <v>1</v>
      </c>
      <c r="I12" s="877">
        <v>1</v>
      </c>
      <c r="J12" s="877">
        <v>1</v>
      </c>
      <c r="K12" s="877">
        <v>1</v>
      </c>
      <c r="L12" s="877">
        <v>1</v>
      </c>
      <c r="M12" s="877">
        <v>1</v>
      </c>
      <c r="N12" s="877">
        <v>1</v>
      </c>
      <c r="O12" s="877">
        <v>1</v>
      </c>
      <c r="P12" s="877">
        <v>1</v>
      </c>
      <c r="Q12" s="877">
        <v>1</v>
      </c>
      <c r="R12" s="877">
        <v>1</v>
      </c>
      <c r="S12" s="877">
        <v>1</v>
      </c>
      <c r="T12" s="877">
        <v>1</v>
      </c>
      <c r="U12" s="877">
        <v>1</v>
      </c>
    </row>
    <row r="13" spans="1:21" outlineLevel="1">
      <c r="A13" s="880" t="s">
        <v>531</v>
      </c>
      <c r="B13" s="884">
        <v>400</v>
      </c>
      <c r="C13" s="879" t="s">
        <v>543</v>
      </c>
      <c r="D13" s="877">
        <v>1</v>
      </c>
      <c r="E13" s="877">
        <v>1</v>
      </c>
      <c r="F13" s="877">
        <v>1</v>
      </c>
      <c r="G13" s="877">
        <v>1</v>
      </c>
      <c r="H13" s="877">
        <v>1</v>
      </c>
      <c r="I13" s="877">
        <v>1</v>
      </c>
      <c r="J13" s="877">
        <v>1</v>
      </c>
      <c r="K13" s="877">
        <v>1</v>
      </c>
      <c r="L13" s="877">
        <v>1</v>
      </c>
      <c r="M13" s="877">
        <v>1</v>
      </c>
      <c r="N13" s="877">
        <v>1</v>
      </c>
      <c r="O13" s="877">
        <v>1</v>
      </c>
      <c r="P13" s="877">
        <v>1</v>
      </c>
      <c r="Q13" s="877">
        <v>1</v>
      </c>
      <c r="R13" s="877">
        <v>1</v>
      </c>
      <c r="S13" s="877">
        <v>1</v>
      </c>
      <c r="T13" s="877">
        <v>1</v>
      </c>
      <c r="U13" s="877">
        <v>1</v>
      </c>
    </row>
    <row r="14" spans="1:21" ht="192">
      <c r="A14" s="880"/>
      <c r="B14" s="884">
        <v>402</v>
      </c>
      <c r="C14" s="879" t="s">
        <v>544</v>
      </c>
      <c r="D14" s="883" t="s">
        <v>1943</v>
      </c>
      <c r="E14" s="883" t="s">
        <v>1943</v>
      </c>
      <c r="F14" s="883" t="s">
        <v>411</v>
      </c>
      <c r="G14" s="883" t="s">
        <v>411</v>
      </c>
      <c r="H14" s="883" t="s">
        <v>418</v>
      </c>
      <c r="I14" s="883" t="s">
        <v>418</v>
      </c>
      <c r="J14" s="883" t="s">
        <v>35</v>
      </c>
      <c r="K14" s="883" t="s">
        <v>35</v>
      </c>
      <c r="L14" s="883" t="s">
        <v>134</v>
      </c>
      <c r="M14" s="883" t="s">
        <v>134</v>
      </c>
      <c r="N14" s="883" t="s">
        <v>341</v>
      </c>
      <c r="O14" s="883" t="s">
        <v>341</v>
      </c>
      <c r="P14" s="883" t="s">
        <v>345</v>
      </c>
      <c r="Q14" s="883" t="s">
        <v>345</v>
      </c>
      <c r="R14" s="883" t="s">
        <v>345</v>
      </c>
      <c r="S14" s="883" t="s">
        <v>345</v>
      </c>
      <c r="T14" s="883" t="s">
        <v>345</v>
      </c>
      <c r="U14" s="883" t="s">
        <v>345</v>
      </c>
    </row>
    <row r="15" spans="1:21" outlineLevel="1">
      <c r="A15" s="880"/>
      <c r="B15" s="884">
        <v>404</v>
      </c>
      <c r="C15" s="879" t="s">
        <v>545</v>
      </c>
      <c r="D15" s="877">
        <v>1</v>
      </c>
      <c r="E15" s="877">
        <v>1</v>
      </c>
      <c r="F15" s="877">
        <v>1</v>
      </c>
      <c r="G15" s="877">
        <v>1</v>
      </c>
      <c r="H15" s="877">
        <v>1</v>
      </c>
      <c r="I15" s="877">
        <v>1</v>
      </c>
      <c r="J15" s="877">
        <v>1</v>
      </c>
      <c r="K15" s="877">
        <v>1</v>
      </c>
      <c r="L15" s="877">
        <v>1</v>
      </c>
      <c r="M15" s="877">
        <v>1</v>
      </c>
      <c r="N15" s="877">
        <v>1</v>
      </c>
      <c r="O15" s="877">
        <v>1</v>
      </c>
      <c r="P15" s="877">
        <v>1</v>
      </c>
      <c r="Q15" s="877">
        <v>1</v>
      </c>
      <c r="R15" s="877">
        <v>1</v>
      </c>
      <c r="S15" s="877">
        <v>1</v>
      </c>
      <c r="T15" s="877">
        <v>1</v>
      </c>
      <c r="U15" s="877">
        <v>1</v>
      </c>
    </row>
    <row r="16" spans="1:21">
      <c r="A16" s="880"/>
      <c r="B16" s="884">
        <v>490</v>
      </c>
      <c r="C16" s="879" t="s">
        <v>546</v>
      </c>
      <c r="D16" s="877" t="e">
        <f t="shared" ref="D16:U16" ca="1" si="6">INDEX(INDIRECT(names&amp;"Names'!$G:$G"),MATCH(D$1,INDIRECT(names&amp;"Names'!$F:$F"),0),1)</f>
        <v>#REF!</v>
      </c>
      <c r="E16" s="877" t="e">
        <f t="shared" ca="1" si="6"/>
        <v>#REF!</v>
      </c>
      <c r="F16" s="877" t="e">
        <f t="shared" ca="1" si="6"/>
        <v>#REF!</v>
      </c>
      <c r="G16" s="877" t="e">
        <f t="shared" ca="1" si="6"/>
        <v>#REF!</v>
      </c>
      <c r="H16" s="877" t="e">
        <f t="shared" ca="1" si="6"/>
        <v>#REF!</v>
      </c>
      <c r="I16" s="877" t="e">
        <f t="shared" ca="1" si="6"/>
        <v>#REF!</v>
      </c>
      <c r="J16" s="877" t="e">
        <f t="shared" ca="1" si="6"/>
        <v>#REF!</v>
      </c>
      <c r="K16" s="877" t="e">
        <f t="shared" ca="1" si="6"/>
        <v>#REF!</v>
      </c>
      <c r="L16" s="877" t="e">
        <f t="shared" ca="1" si="6"/>
        <v>#REF!</v>
      </c>
      <c r="M16" s="877" t="e">
        <f t="shared" ca="1" si="6"/>
        <v>#REF!</v>
      </c>
      <c r="N16" s="877" t="e">
        <f t="shared" ca="1" si="6"/>
        <v>#REF!</v>
      </c>
      <c r="O16" s="877" t="e">
        <f t="shared" ca="1" si="6"/>
        <v>#REF!</v>
      </c>
      <c r="P16" s="877" t="e">
        <f t="shared" ca="1" si="6"/>
        <v>#REF!</v>
      </c>
      <c r="Q16" s="877" t="e">
        <f t="shared" ca="1" si="6"/>
        <v>#REF!</v>
      </c>
      <c r="R16" s="877" t="e">
        <f t="shared" ca="1" si="6"/>
        <v>#REF!</v>
      </c>
      <c r="S16" s="877" t="e">
        <f t="shared" ca="1" si="6"/>
        <v>#REF!</v>
      </c>
      <c r="T16" s="877" t="e">
        <f t="shared" ca="1" si="6"/>
        <v>#REF!</v>
      </c>
      <c r="U16" s="877" t="e">
        <f t="shared" ca="1" si="6"/>
        <v>#REF!</v>
      </c>
    </row>
    <row r="17" spans="1:21">
      <c r="A17" s="880"/>
      <c r="B17" s="884">
        <v>491</v>
      </c>
      <c r="C17" s="879" t="s">
        <v>547</v>
      </c>
      <c r="D17" s="877" t="e">
        <f t="shared" ref="D17:U17" ca="1" si="7">INDEX(INDIRECT(names&amp;"Names'!$t:$t"),MATCH(D$1,INDIRECT(names&amp;"Names'!$F:$F"),0),1)</f>
        <v>#REF!</v>
      </c>
      <c r="E17" s="877" t="e">
        <f t="shared" ca="1" si="7"/>
        <v>#REF!</v>
      </c>
      <c r="F17" s="877" t="e">
        <f t="shared" ca="1" si="7"/>
        <v>#REF!</v>
      </c>
      <c r="G17" s="877" t="e">
        <f t="shared" ca="1" si="7"/>
        <v>#REF!</v>
      </c>
      <c r="H17" s="877" t="e">
        <f t="shared" ca="1" si="7"/>
        <v>#REF!</v>
      </c>
      <c r="I17" s="877" t="e">
        <f t="shared" ca="1" si="7"/>
        <v>#REF!</v>
      </c>
      <c r="J17" s="877" t="e">
        <f t="shared" ca="1" si="7"/>
        <v>#REF!</v>
      </c>
      <c r="K17" s="877" t="e">
        <f t="shared" ca="1" si="7"/>
        <v>#REF!</v>
      </c>
      <c r="L17" s="877" t="e">
        <f t="shared" ca="1" si="7"/>
        <v>#REF!</v>
      </c>
      <c r="M17" s="877" t="e">
        <f t="shared" ca="1" si="7"/>
        <v>#REF!</v>
      </c>
      <c r="N17" s="877" t="e">
        <f t="shared" ca="1" si="7"/>
        <v>#REF!</v>
      </c>
      <c r="O17" s="877" t="e">
        <f t="shared" ca="1" si="7"/>
        <v>#REF!</v>
      </c>
      <c r="P17" s="877" t="e">
        <f t="shared" ca="1" si="7"/>
        <v>#REF!</v>
      </c>
      <c r="Q17" s="877" t="e">
        <f t="shared" ca="1" si="7"/>
        <v>#REF!</v>
      </c>
      <c r="R17" s="877" t="e">
        <f t="shared" ca="1" si="7"/>
        <v>#REF!</v>
      </c>
      <c r="S17" s="877" t="e">
        <f t="shared" ca="1" si="7"/>
        <v>#REF!</v>
      </c>
      <c r="T17" s="877" t="e">
        <f t="shared" ca="1" si="7"/>
        <v>#REF!</v>
      </c>
      <c r="U17" s="877" t="e">
        <f t="shared" ca="1" si="7"/>
        <v>#REF!</v>
      </c>
    </row>
    <row r="18" spans="1:21" ht="144">
      <c r="A18" s="880"/>
      <c r="B18" s="884">
        <v>492</v>
      </c>
      <c r="C18" s="879" t="s">
        <v>548</v>
      </c>
      <c r="D18" s="883" t="s">
        <v>1942</v>
      </c>
      <c r="E18" s="883" t="s">
        <v>1941</v>
      </c>
      <c r="F18" s="883" t="s">
        <v>1940</v>
      </c>
      <c r="G18" s="883" t="s">
        <v>1939</v>
      </c>
      <c r="H18" s="883" t="s">
        <v>1938</v>
      </c>
      <c r="I18" s="883" t="s">
        <v>1937</v>
      </c>
      <c r="J18" s="883" t="s">
        <v>1936</v>
      </c>
      <c r="K18" s="883" t="s">
        <v>1935</v>
      </c>
      <c r="L18" s="883" t="s">
        <v>1934</v>
      </c>
      <c r="M18" s="883" t="s">
        <v>1933</v>
      </c>
      <c r="N18" s="883" t="s">
        <v>1932</v>
      </c>
      <c r="O18" s="883" t="s">
        <v>1932</v>
      </c>
      <c r="P18" s="883" t="s">
        <v>1931</v>
      </c>
      <c r="Q18" s="883" t="s">
        <v>1931</v>
      </c>
      <c r="R18" s="883" t="s">
        <v>1931</v>
      </c>
      <c r="S18" s="883" t="s">
        <v>1931</v>
      </c>
      <c r="T18" s="883" t="s">
        <v>1931</v>
      </c>
      <c r="U18" s="883" t="s">
        <v>1931</v>
      </c>
    </row>
    <row r="19" spans="1:21">
      <c r="A19" s="880"/>
      <c r="B19" s="884">
        <v>494</v>
      </c>
      <c r="C19" s="879" t="s">
        <v>549</v>
      </c>
      <c r="D19" s="877">
        <v>1</v>
      </c>
      <c r="E19" s="877">
        <v>1</v>
      </c>
      <c r="F19" s="877">
        <v>1</v>
      </c>
      <c r="G19" s="877">
        <v>1</v>
      </c>
      <c r="H19" s="877">
        <v>1</v>
      </c>
      <c r="I19" s="877">
        <v>1</v>
      </c>
      <c r="J19" s="877">
        <v>1</v>
      </c>
      <c r="K19" s="877">
        <v>1</v>
      </c>
      <c r="L19" s="877">
        <v>1</v>
      </c>
      <c r="M19" s="877">
        <v>1</v>
      </c>
      <c r="N19" s="877">
        <v>1</v>
      </c>
      <c r="O19" s="877">
        <v>1</v>
      </c>
      <c r="P19" s="877">
        <v>1</v>
      </c>
      <c r="Q19" s="877">
        <v>1</v>
      </c>
      <c r="R19" s="877">
        <v>1</v>
      </c>
      <c r="S19" s="877">
        <v>1</v>
      </c>
      <c r="T19" s="877">
        <v>1</v>
      </c>
      <c r="U19" s="877">
        <v>1</v>
      </c>
    </row>
    <row r="20" spans="1:21">
      <c r="A20" s="880"/>
      <c r="B20" s="884">
        <v>495</v>
      </c>
      <c r="C20" s="879" t="s">
        <v>518</v>
      </c>
      <c r="D20" s="877" t="e">
        <f t="shared" ref="D20:U20" ca="1" si="8">INDEX(INDIRECT(names&amp;"Names'!$l:$l"),MATCH(D$1,INDIRECT(names&amp;"Names'!$F:$F"),0),1)</f>
        <v>#REF!</v>
      </c>
      <c r="E20" s="877" t="e">
        <f t="shared" ca="1" si="8"/>
        <v>#REF!</v>
      </c>
      <c r="F20" s="877" t="e">
        <f t="shared" ca="1" si="8"/>
        <v>#REF!</v>
      </c>
      <c r="G20" s="877" t="e">
        <f t="shared" ca="1" si="8"/>
        <v>#REF!</v>
      </c>
      <c r="H20" s="877" t="e">
        <f t="shared" ca="1" si="8"/>
        <v>#REF!</v>
      </c>
      <c r="I20" s="877" t="e">
        <f t="shared" ca="1" si="8"/>
        <v>#REF!</v>
      </c>
      <c r="J20" s="877" t="e">
        <f t="shared" ca="1" si="8"/>
        <v>#REF!</v>
      </c>
      <c r="K20" s="877" t="e">
        <f t="shared" ca="1" si="8"/>
        <v>#REF!</v>
      </c>
      <c r="L20" s="877" t="e">
        <f t="shared" ca="1" si="8"/>
        <v>#REF!</v>
      </c>
      <c r="M20" s="877" t="e">
        <f t="shared" ca="1" si="8"/>
        <v>#REF!</v>
      </c>
      <c r="N20" s="877" t="e">
        <f t="shared" ca="1" si="8"/>
        <v>#REF!</v>
      </c>
      <c r="O20" s="877" t="e">
        <f t="shared" ca="1" si="8"/>
        <v>#REF!</v>
      </c>
      <c r="P20" s="877" t="e">
        <f t="shared" ca="1" si="8"/>
        <v>#REF!</v>
      </c>
      <c r="Q20" s="877" t="e">
        <f t="shared" ca="1" si="8"/>
        <v>#REF!</v>
      </c>
      <c r="R20" s="877" t="e">
        <f t="shared" ca="1" si="8"/>
        <v>#REF!</v>
      </c>
      <c r="S20" s="877" t="e">
        <f t="shared" ca="1" si="8"/>
        <v>#REF!</v>
      </c>
      <c r="T20" s="877" t="e">
        <f t="shared" ca="1" si="8"/>
        <v>#REF!</v>
      </c>
      <c r="U20" s="877" t="e">
        <f t="shared" ca="1" si="8"/>
        <v>#REF!</v>
      </c>
    </row>
    <row r="21" spans="1:21">
      <c r="A21" s="880"/>
      <c r="B21" s="884">
        <v>496</v>
      </c>
      <c r="C21" s="879" t="s">
        <v>519</v>
      </c>
      <c r="D21" s="877" t="e">
        <f t="shared" ref="D21:U21" ca="1" si="9">INDEX(INDIRECT(names&amp;"Names'!$m:$m"),MATCH(D$1,INDIRECT(names&amp;"Names'!$F:$F"),0),1)</f>
        <v>#REF!</v>
      </c>
      <c r="E21" s="877" t="e">
        <f t="shared" ca="1" si="9"/>
        <v>#REF!</v>
      </c>
      <c r="F21" s="877" t="e">
        <f t="shared" ca="1" si="9"/>
        <v>#REF!</v>
      </c>
      <c r="G21" s="877" t="e">
        <f t="shared" ca="1" si="9"/>
        <v>#REF!</v>
      </c>
      <c r="H21" s="877" t="e">
        <f t="shared" ca="1" si="9"/>
        <v>#REF!</v>
      </c>
      <c r="I21" s="877" t="e">
        <f t="shared" ca="1" si="9"/>
        <v>#REF!</v>
      </c>
      <c r="J21" s="877" t="e">
        <f t="shared" ca="1" si="9"/>
        <v>#REF!</v>
      </c>
      <c r="K21" s="877" t="e">
        <f t="shared" ca="1" si="9"/>
        <v>#REF!</v>
      </c>
      <c r="L21" s="877" t="e">
        <f t="shared" ca="1" si="9"/>
        <v>#REF!</v>
      </c>
      <c r="M21" s="877" t="e">
        <f t="shared" ca="1" si="9"/>
        <v>#REF!</v>
      </c>
      <c r="N21" s="877" t="e">
        <f t="shared" ca="1" si="9"/>
        <v>#REF!</v>
      </c>
      <c r="O21" s="877" t="e">
        <f t="shared" ca="1" si="9"/>
        <v>#REF!</v>
      </c>
      <c r="P21" s="877" t="e">
        <f t="shared" ca="1" si="9"/>
        <v>#REF!</v>
      </c>
      <c r="Q21" s="877" t="e">
        <f t="shared" ca="1" si="9"/>
        <v>#REF!</v>
      </c>
      <c r="R21" s="877" t="e">
        <f t="shared" ca="1" si="9"/>
        <v>#REF!</v>
      </c>
      <c r="S21" s="877" t="e">
        <f t="shared" ca="1" si="9"/>
        <v>#REF!</v>
      </c>
      <c r="T21" s="877" t="e">
        <f t="shared" ca="1" si="9"/>
        <v>#REF!</v>
      </c>
      <c r="U21" s="877" t="e">
        <f t="shared" ca="1" si="9"/>
        <v>#REF!</v>
      </c>
    </row>
    <row r="22" spans="1:21">
      <c r="A22" s="880"/>
      <c r="B22" s="884">
        <v>497</v>
      </c>
      <c r="C22" s="879" t="s">
        <v>550</v>
      </c>
      <c r="D22" s="877" t="e">
        <f t="shared" ref="D22:U22" ca="1" si="10">INDEX(INDIRECT(names&amp;"Names'!$h:$h"),MATCH(D$1,INDIRECT(names&amp;"Names'!$F:$F"),0),1)</f>
        <v>#REF!</v>
      </c>
      <c r="E22" s="877" t="e">
        <f t="shared" ca="1" si="10"/>
        <v>#REF!</v>
      </c>
      <c r="F22" s="877" t="e">
        <f t="shared" ca="1" si="10"/>
        <v>#REF!</v>
      </c>
      <c r="G22" s="877" t="e">
        <f t="shared" ca="1" si="10"/>
        <v>#REF!</v>
      </c>
      <c r="H22" s="877" t="e">
        <f t="shared" ca="1" si="10"/>
        <v>#REF!</v>
      </c>
      <c r="I22" s="877" t="e">
        <f t="shared" ca="1" si="10"/>
        <v>#REF!</v>
      </c>
      <c r="J22" s="877" t="e">
        <f t="shared" ca="1" si="10"/>
        <v>#REF!</v>
      </c>
      <c r="K22" s="877" t="e">
        <f t="shared" ca="1" si="10"/>
        <v>#REF!</v>
      </c>
      <c r="L22" s="877" t="e">
        <f t="shared" ca="1" si="10"/>
        <v>#REF!</v>
      </c>
      <c r="M22" s="877" t="e">
        <f t="shared" ca="1" si="10"/>
        <v>#REF!</v>
      </c>
      <c r="N22" s="877" t="e">
        <f t="shared" ca="1" si="10"/>
        <v>#REF!</v>
      </c>
      <c r="O22" s="877" t="e">
        <f t="shared" ca="1" si="10"/>
        <v>#REF!</v>
      </c>
      <c r="P22" s="877" t="e">
        <f t="shared" ca="1" si="10"/>
        <v>#REF!</v>
      </c>
      <c r="Q22" s="877" t="e">
        <f t="shared" ca="1" si="10"/>
        <v>#REF!</v>
      </c>
      <c r="R22" s="877" t="e">
        <f t="shared" ca="1" si="10"/>
        <v>#REF!</v>
      </c>
      <c r="S22" s="877" t="e">
        <f t="shared" ca="1" si="10"/>
        <v>#REF!</v>
      </c>
      <c r="T22" s="877" t="e">
        <f t="shared" ca="1" si="10"/>
        <v>#REF!</v>
      </c>
      <c r="U22" s="877" t="e">
        <f t="shared" ca="1" si="10"/>
        <v>#REF!</v>
      </c>
    </row>
    <row r="23" spans="1:21">
      <c r="A23" s="880"/>
      <c r="B23" s="884">
        <v>498</v>
      </c>
      <c r="C23" s="879" t="s">
        <v>551</v>
      </c>
      <c r="D23" s="877" t="e">
        <f t="shared" ref="D23:U23" ca="1" si="11">INDEX(INDIRECT(names&amp;"Names'!$i:$i"),MATCH(D$1,INDIRECT(names&amp;"Names'!$F:$F"),0),1)</f>
        <v>#REF!</v>
      </c>
      <c r="E23" s="877" t="e">
        <f t="shared" ca="1" si="11"/>
        <v>#REF!</v>
      </c>
      <c r="F23" s="877" t="e">
        <f t="shared" ca="1" si="11"/>
        <v>#REF!</v>
      </c>
      <c r="G23" s="877" t="e">
        <f t="shared" ca="1" si="11"/>
        <v>#REF!</v>
      </c>
      <c r="H23" s="877" t="e">
        <f t="shared" ca="1" si="11"/>
        <v>#REF!</v>
      </c>
      <c r="I23" s="877" t="e">
        <f t="shared" ca="1" si="11"/>
        <v>#REF!</v>
      </c>
      <c r="J23" s="877" t="e">
        <f t="shared" ca="1" si="11"/>
        <v>#REF!</v>
      </c>
      <c r="K23" s="877" t="e">
        <f t="shared" ca="1" si="11"/>
        <v>#REF!</v>
      </c>
      <c r="L23" s="877" t="e">
        <f t="shared" ca="1" si="11"/>
        <v>#REF!</v>
      </c>
      <c r="M23" s="877" t="e">
        <f t="shared" ca="1" si="11"/>
        <v>#REF!</v>
      </c>
      <c r="N23" s="877" t="e">
        <f t="shared" ca="1" si="11"/>
        <v>#REF!</v>
      </c>
      <c r="O23" s="877" t="e">
        <f t="shared" ca="1" si="11"/>
        <v>#REF!</v>
      </c>
      <c r="P23" s="877" t="e">
        <f t="shared" ca="1" si="11"/>
        <v>#REF!</v>
      </c>
      <c r="Q23" s="877" t="e">
        <f t="shared" ca="1" si="11"/>
        <v>#REF!</v>
      </c>
      <c r="R23" s="877" t="e">
        <f t="shared" ca="1" si="11"/>
        <v>#REF!</v>
      </c>
      <c r="S23" s="877" t="e">
        <f t="shared" ca="1" si="11"/>
        <v>#REF!</v>
      </c>
      <c r="T23" s="877" t="e">
        <f t="shared" ca="1" si="11"/>
        <v>#REF!</v>
      </c>
      <c r="U23" s="877" t="e">
        <f t="shared" ca="1" si="11"/>
        <v>#REF!</v>
      </c>
    </row>
    <row r="24" spans="1:21">
      <c r="A24" s="880"/>
      <c r="B24" s="884">
        <v>499</v>
      </c>
      <c r="C24" s="879" t="s">
        <v>552</v>
      </c>
      <c r="D24" s="889" t="e">
        <f t="shared" ref="D24:U24" ca="1" si="12">IF(INDEX(INDIRECT(names&amp;"Names'!$S:$S"),MATCH(D$1,INDIRECT(names&amp;"Names'!$F:$F"),0),1)=0,"",INDEX(INDIRECT(names&amp;"Names'!$S:$S"),MATCH(D$1,INDIRECT(names&amp;"Names'!$F:$F"),0),1))</f>
        <v>#REF!</v>
      </c>
      <c r="E24" s="889" t="e">
        <f t="shared" ca="1" si="12"/>
        <v>#REF!</v>
      </c>
      <c r="F24" s="889" t="e">
        <f t="shared" ca="1" si="12"/>
        <v>#REF!</v>
      </c>
      <c r="G24" s="889" t="e">
        <f t="shared" ca="1" si="12"/>
        <v>#REF!</v>
      </c>
      <c r="H24" s="889" t="e">
        <f t="shared" ca="1" si="12"/>
        <v>#REF!</v>
      </c>
      <c r="I24" s="889" t="e">
        <f t="shared" ca="1" si="12"/>
        <v>#REF!</v>
      </c>
      <c r="J24" s="889" t="e">
        <f t="shared" ca="1" si="12"/>
        <v>#REF!</v>
      </c>
      <c r="K24" s="889" t="e">
        <f t="shared" ca="1" si="12"/>
        <v>#REF!</v>
      </c>
      <c r="L24" s="889" t="e">
        <f t="shared" ca="1" si="12"/>
        <v>#REF!</v>
      </c>
      <c r="M24" s="889" t="e">
        <f t="shared" ca="1" si="12"/>
        <v>#REF!</v>
      </c>
      <c r="N24" s="889" t="e">
        <f t="shared" ca="1" si="12"/>
        <v>#REF!</v>
      </c>
      <c r="O24" s="889" t="e">
        <f t="shared" ca="1" si="12"/>
        <v>#REF!</v>
      </c>
      <c r="P24" s="889" t="e">
        <f t="shared" ca="1" si="12"/>
        <v>#REF!</v>
      </c>
      <c r="Q24" s="889" t="e">
        <f t="shared" ca="1" si="12"/>
        <v>#REF!</v>
      </c>
      <c r="R24" s="889" t="e">
        <f t="shared" ca="1" si="12"/>
        <v>#REF!</v>
      </c>
      <c r="S24" s="889" t="e">
        <f t="shared" ca="1" si="12"/>
        <v>#REF!</v>
      </c>
      <c r="T24" s="889" t="e">
        <f t="shared" ca="1" si="12"/>
        <v>#REF!</v>
      </c>
      <c r="U24" s="889" t="e">
        <f t="shared" ca="1" si="12"/>
        <v>#REF!</v>
      </c>
    </row>
    <row r="25" spans="1:21">
      <c r="A25" s="880"/>
      <c r="B25" s="884">
        <v>501</v>
      </c>
      <c r="C25" s="879" t="s">
        <v>553</v>
      </c>
      <c r="D25" s="877"/>
      <c r="E25" s="877"/>
      <c r="F25" s="877"/>
      <c r="G25" s="877"/>
      <c r="H25" s="877"/>
      <c r="I25" s="877"/>
      <c r="J25" s="877"/>
      <c r="K25" s="877"/>
      <c r="L25" s="877"/>
      <c r="M25" s="877"/>
      <c r="N25" s="877"/>
      <c r="O25" s="877"/>
      <c r="P25" s="877"/>
      <c r="Q25" s="877"/>
      <c r="R25" s="877"/>
      <c r="S25" s="877"/>
      <c r="T25" s="877"/>
      <c r="U25" s="877"/>
    </row>
    <row r="26" spans="1:21">
      <c r="A26" s="880"/>
      <c r="B26" s="884">
        <v>502</v>
      </c>
      <c r="C26" s="879" t="s">
        <v>554</v>
      </c>
      <c r="D26" s="889"/>
      <c r="E26" s="889"/>
      <c r="F26" s="889"/>
      <c r="G26" s="889"/>
      <c r="H26" s="889"/>
      <c r="I26" s="889"/>
      <c r="J26" s="889"/>
      <c r="K26" s="889"/>
      <c r="L26" s="889"/>
      <c r="M26" s="889"/>
      <c r="N26" s="889"/>
      <c r="O26" s="889"/>
      <c r="P26" s="889"/>
      <c r="Q26" s="889"/>
      <c r="R26" s="889"/>
      <c r="S26" s="889"/>
      <c r="T26" s="889"/>
      <c r="U26" s="889"/>
    </row>
    <row r="27" spans="1:21">
      <c r="A27" s="880" t="s">
        <v>555</v>
      </c>
      <c r="B27" s="884">
        <v>601</v>
      </c>
      <c r="C27" s="879" t="s">
        <v>556</v>
      </c>
      <c r="D27" s="888" t="e">
        <f t="shared" ref="D27:U27" ca="1" si="13">INDEX(INDIRECT(names&amp;"Names'!$p:$p"),MATCH(D$1,INDIRECT(names&amp;"Names'!$F:$F"),0),1)</f>
        <v>#REF!</v>
      </c>
      <c r="E27" s="888" t="e">
        <f t="shared" ca="1" si="13"/>
        <v>#REF!</v>
      </c>
      <c r="F27" s="888" t="e">
        <f t="shared" ca="1" si="13"/>
        <v>#REF!</v>
      </c>
      <c r="G27" s="888" t="e">
        <f t="shared" ca="1" si="13"/>
        <v>#REF!</v>
      </c>
      <c r="H27" s="888" t="e">
        <f t="shared" ca="1" si="13"/>
        <v>#REF!</v>
      </c>
      <c r="I27" s="888" t="e">
        <f t="shared" ca="1" si="13"/>
        <v>#REF!</v>
      </c>
      <c r="J27" s="888" t="e">
        <f t="shared" ca="1" si="13"/>
        <v>#REF!</v>
      </c>
      <c r="K27" s="888" t="e">
        <f t="shared" ca="1" si="13"/>
        <v>#REF!</v>
      </c>
      <c r="L27" s="888" t="e">
        <f t="shared" ca="1" si="13"/>
        <v>#REF!</v>
      </c>
      <c r="M27" s="888" t="e">
        <f t="shared" ca="1" si="13"/>
        <v>#REF!</v>
      </c>
      <c r="N27" s="888" t="e">
        <f t="shared" ca="1" si="13"/>
        <v>#REF!</v>
      </c>
      <c r="O27" s="888" t="e">
        <f t="shared" ca="1" si="13"/>
        <v>#REF!</v>
      </c>
      <c r="P27" s="888" t="e">
        <f t="shared" ca="1" si="13"/>
        <v>#REF!</v>
      </c>
      <c r="Q27" s="888" t="e">
        <f t="shared" ca="1" si="13"/>
        <v>#REF!</v>
      </c>
      <c r="R27" s="888" t="e">
        <f t="shared" ca="1" si="13"/>
        <v>#REF!</v>
      </c>
      <c r="S27" s="888" t="e">
        <f t="shared" ca="1" si="13"/>
        <v>#REF!</v>
      </c>
      <c r="T27" s="888" t="e">
        <f t="shared" ca="1" si="13"/>
        <v>#REF!</v>
      </c>
      <c r="U27" s="888" t="e">
        <f t="shared" ca="1" si="13"/>
        <v>#REF!</v>
      </c>
    </row>
    <row r="28" spans="1:21">
      <c r="A28" s="880"/>
      <c r="B28" s="884">
        <v>602</v>
      </c>
      <c r="C28" s="879" t="s">
        <v>557</v>
      </c>
      <c r="D28" s="888" t="e">
        <f t="shared" ref="D28:U28" ca="1" si="14">INDEX(INDIRECT(names&amp;"Names'!$q:$q"),MATCH(D$1,INDIRECT(names&amp;"Names'!$F:$F"),0),1)</f>
        <v>#REF!</v>
      </c>
      <c r="E28" s="888" t="e">
        <f t="shared" ca="1" si="14"/>
        <v>#REF!</v>
      </c>
      <c r="F28" s="888" t="e">
        <f t="shared" ca="1" si="14"/>
        <v>#REF!</v>
      </c>
      <c r="G28" s="888" t="e">
        <f t="shared" ca="1" si="14"/>
        <v>#REF!</v>
      </c>
      <c r="H28" s="888" t="e">
        <f t="shared" ca="1" si="14"/>
        <v>#REF!</v>
      </c>
      <c r="I28" s="888" t="e">
        <f t="shared" ca="1" si="14"/>
        <v>#REF!</v>
      </c>
      <c r="J28" s="888" t="e">
        <f t="shared" ca="1" si="14"/>
        <v>#REF!</v>
      </c>
      <c r="K28" s="888" t="e">
        <f t="shared" ca="1" si="14"/>
        <v>#REF!</v>
      </c>
      <c r="L28" s="888" t="e">
        <f t="shared" ca="1" si="14"/>
        <v>#REF!</v>
      </c>
      <c r="M28" s="888" t="e">
        <f t="shared" ca="1" si="14"/>
        <v>#REF!</v>
      </c>
      <c r="N28" s="888" t="e">
        <f t="shared" ca="1" si="14"/>
        <v>#REF!</v>
      </c>
      <c r="O28" s="888" t="e">
        <f t="shared" ca="1" si="14"/>
        <v>#REF!</v>
      </c>
      <c r="P28" s="888" t="e">
        <f t="shared" ca="1" si="14"/>
        <v>#REF!</v>
      </c>
      <c r="Q28" s="888" t="e">
        <f t="shared" ca="1" si="14"/>
        <v>#REF!</v>
      </c>
      <c r="R28" s="888" t="e">
        <f t="shared" ca="1" si="14"/>
        <v>#REF!</v>
      </c>
      <c r="S28" s="888" t="e">
        <f t="shared" ca="1" si="14"/>
        <v>#REF!</v>
      </c>
      <c r="T28" s="888" t="e">
        <f t="shared" ca="1" si="14"/>
        <v>#REF!</v>
      </c>
      <c r="U28" s="888" t="e">
        <f t="shared" ca="1" si="14"/>
        <v>#REF!</v>
      </c>
    </row>
    <row r="29" spans="1:21" ht="11.25" customHeight="1">
      <c r="A29" s="880"/>
      <c r="B29" s="884">
        <v>603</v>
      </c>
      <c r="C29" s="879" t="s">
        <v>558</v>
      </c>
      <c r="D29" s="883">
        <v>1</v>
      </c>
      <c r="E29" s="883">
        <v>1</v>
      </c>
      <c r="F29" s="883">
        <v>1</v>
      </c>
      <c r="G29" s="883">
        <v>1</v>
      </c>
      <c r="H29" s="883">
        <v>1</v>
      </c>
      <c r="I29" s="883">
        <v>1</v>
      </c>
      <c r="J29" s="883">
        <v>1</v>
      </c>
      <c r="K29" s="883">
        <v>1</v>
      </c>
      <c r="L29" s="883">
        <v>1</v>
      </c>
      <c r="M29" s="883">
        <v>1</v>
      </c>
      <c r="N29" s="883">
        <v>1</v>
      </c>
      <c r="O29" s="883">
        <v>1</v>
      </c>
      <c r="P29" s="883">
        <v>1</v>
      </c>
      <c r="Q29" s="883">
        <v>1</v>
      </c>
      <c r="R29" s="883">
        <v>1</v>
      </c>
      <c r="S29" s="883">
        <v>1</v>
      </c>
      <c r="T29" s="883">
        <v>1</v>
      </c>
      <c r="U29" s="883">
        <v>1</v>
      </c>
    </row>
    <row r="30" spans="1:21" ht="48">
      <c r="A30" s="880"/>
      <c r="B30" s="884">
        <v>611</v>
      </c>
      <c r="C30" s="879" t="s">
        <v>233</v>
      </c>
      <c r="D30" s="883"/>
      <c r="E30" s="883"/>
      <c r="F30" s="883"/>
      <c r="G30" s="883"/>
      <c r="H30" s="883"/>
      <c r="I30" s="883"/>
      <c r="J30" s="883"/>
      <c r="K30" s="883"/>
      <c r="L30" s="883"/>
      <c r="M30" s="883"/>
      <c r="N30" s="883" t="s">
        <v>462</v>
      </c>
      <c r="O30" s="883" t="s">
        <v>462</v>
      </c>
      <c r="P30" s="883" t="s">
        <v>625</v>
      </c>
      <c r="Q30" s="883" t="s">
        <v>625</v>
      </c>
      <c r="R30" s="883" t="s">
        <v>625</v>
      </c>
      <c r="S30" s="883" t="s">
        <v>625</v>
      </c>
      <c r="T30" s="883" t="s">
        <v>625</v>
      </c>
      <c r="U30" s="883" t="s">
        <v>625</v>
      </c>
    </row>
    <row r="31" spans="1:21">
      <c r="A31" s="880" t="s">
        <v>392</v>
      </c>
      <c r="B31" s="884">
        <v>663</v>
      </c>
      <c r="C31" s="879" t="s">
        <v>234</v>
      </c>
      <c r="D31" s="883" t="s">
        <v>1930</v>
      </c>
      <c r="E31" s="883" t="s">
        <v>1930</v>
      </c>
      <c r="F31" s="883" t="s">
        <v>1930</v>
      </c>
      <c r="G31" s="883" t="s">
        <v>1930</v>
      </c>
      <c r="H31" s="883" t="s">
        <v>1930</v>
      </c>
      <c r="I31" s="883" t="s">
        <v>1930</v>
      </c>
      <c r="J31" s="883" t="s">
        <v>1930</v>
      </c>
      <c r="K31" s="883" t="s">
        <v>1930</v>
      </c>
      <c r="L31" s="883" t="s">
        <v>1930</v>
      </c>
      <c r="M31" s="883" t="s">
        <v>1930</v>
      </c>
      <c r="N31" s="883" t="s">
        <v>1055</v>
      </c>
      <c r="O31" s="883" t="s">
        <v>1055</v>
      </c>
      <c r="P31" s="883" t="s">
        <v>44</v>
      </c>
      <c r="Q31" s="883" t="s">
        <v>44</v>
      </c>
      <c r="R31" s="883" t="s">
        <v>1929</v>
      </c>
      <c r="S31" s="883" t="s">
        <v>1929</v>
      </c>
      <c r="T31" s="883" t="s">
        <v>1928</v>
      </c>
      <c r="U31" s="883" t="s">
        <v>1928</v>
      </c>
    </row>
    <row r="32" spans="1:21" ht="108">
      <c r="A32" s="880" t="s">
        <v>391</v>
      </c>
      <c r="B32" s="884">
        <v>692</v>
      </c>
      <c r="C32" s="879" t="s">
        <v>234</v>
      </c>
      <c r="D32" s="883" t="s">
        <v>1927</v>
      </c>
      <c r="E32" s="883" t="s">
        <v>1926</v>
      </c>
      <c r="F32" s="883" t="s">
        <v>1927</v>
      </c>
      <c r="G32" s="883" t="s">
        <v>1926</v>
      </c>
      <c r="H32" s="883" t="s">
        <v>1927</v>
      </c>
      <c r="I32" s="883" t="s">
        <v>1926</v>
      </c>
      <c r="J32" s="883" t="s">
        <v>1927</v>
      </c>
      <c r="K32" s="883" t="s">
        <v>1926</v>
      </c>
      <c r="L32" s="883" t="s">
        <v>1927</v>
      </c>
      <c r="M32" s="883" t="s">
        <v>1926</v>
      </c>
      <c r="N32" s="883" t="s">
        <v>342</v>
      </c>
      <c r="O32" s="883" t="s">
        <v>342</v>
      </c>
      <c r="P32" s="883" t="s">
        <v>1925</v>
      </c>
      <c r="Q32" s="883" t="s">
        <v>1924</v>
      </c>
      <c r="R32" s="883" t="s">
        <v>1923</v>
      </c>
      <c r="S32" s="883" t="s">
        <v>1922</v>
      </c>
      <c r="T32" s="883" t="s">
        <v>1921</v>
      </c>
      <c r="U32" s="883" t="s">
        <v>1920</v>
      </c>
    </row>
    <row r="33" spans="1:21">
      <c r="A33" s="887" t="s">
        <v>235</v>
      </c>
      <c r="B33" s="884">
        <v>722</v>
      </c>
      <c r="C33" s="879" t="s">
        <v>236</v>
      </c>
      <c r="D33" s="883">
        <v>0</v>
      </c>
      <c r="E33" s="883">
        <v>0</v>
      </c>
      <c r="F33" s="883">
        <v>0</v>
      </c>
      <c r="G33" s="883">
        <v>0</v>
      </c>
      <c r="H33" s="883">
        <v>0</v>
      </c>
      <c r="I33" s="883">
        <v>0</v>
      </c>
      <c r="J33" s="883">
        <v>0</v>
      </c>
      <c r="K33" s="883">
        <v>0</v>
      </c>
      <c r="L33" s="883">
        <v>0</v>
      </c>
      <c r="M33" s="883">
        <v>0</v>
      </c>
      <c r="N33" s="883">
        <v>0</v>
      </c>
      <c r="O33" s="883">
        <v>0</v>
      </c>
      <c r="P33" s="883">
        <v>0</v>
      </c>
      <c r="Q33" s="883">
        <v>0</v>
      </c>
      <c r="R33" s="883">
        <v>0</v>
      </c>
      <c r="S33" s="883">
        <v>0</v>
      </c>
      <c r="T33" s="883">
        <v>0</v>
      </c>
      <c r="U33" s="883">
        <v>0</v>
      </c>
    </row>
    <row r="34" spans="1:21">
      <c r="A34" s="887"/>
      <c r="B34" s="884">
        <v>724</v>
      </c>
      <c r="C34" s="879" t="s">
        <v>237</v>
      </c>
      <c r="D34" s="883" t="s">
        <v>1919</v>
      </c>
      <c r="E34" s="883" t="s">
        <v>1919</v>
      </c>
      <c r="F34" s="883" t="s">
        <v>1919</v>
      </c>
      <c r="G34" s="883" t="s">
        <v>1919</v>
      </c>
      <c r="H34" s="883" t="s">
        <v>1919</v>
      </c>
      <c r="I34" s="883" t="s">
        <v>1919</v>
      </c>
      <c r="J34" s="883" t="s">
        <v>1919</v>
      </c>
      <c r="K34" s="883" t="s">
        <v>1919</v>
      </c>
      <c r="L34" s="883" t="s">
        <v>1919</v>
      </c>
      <c r="M34" s="883" t="s">
        <v>1919</v>
      </c>
      <c r="N34" s="883" t="s">
        <v>1919</v>
      </c>
      <c r="O34" s="883" t="s">
        <v>1919</v>
      </c>
      <c r="P34" s="883" t="s">
        <v>1919</v>
      </c>
      <c r="Q34" s="883" t="s">
        <v>1919</v>
      </c>
      <c r="R34" s="883" t="s">
        <v>1919</v>
      </c>
      <c r="S34" s="883" t="s">
        <v>1919</v>
      </c>
      <c r="T34" s="883" t="s">
        <v>1919</v>
      </c>
      <c r="U34" s="883" t="s">
        <v>1919</v>
      </c>
    </row>
    <row r="35" spans="1:21">
      <c r="A35" s="887"/>
      <c r="B35" s="884">
        <v>725</v>
      </c>
      <c r="C35" s="879" t="s">
        <v>238</v>
      </c>
      <c r="D35" s="883" t="s">
        <v>1919</v>
      </c>
      <c r="E35" s="883" t="s">
        <v>1919</v>
      </c>
      <c r="F35" s="883" t="s">
        <v>1919</v>
      </c>
      <c r="G35" s="883" t="s">
        <v>1919</v>
      </c>
      <c r="H35" s="883" t="s">
        <v>1919</v>
      </c>
      <c r="I35" s="883" t="s">
        <v>1919</v>
      </c>
      <c r="J35" s="883" t="s">
        <v>1919</v>
      </c>
      <c r="K35" s="883" t="s">
        <v>1919</v>
      </c>
      <c r="L35" s="883" t="s">
        <v>1919</v>
      </c>
      <c r="M35" s="883" t="s">
        <v>1919</v>
      </c>
      <c r="N35" s="883" t="s">
        <v>1919</v>
      </c>
      <c r="O35" s="883" t="s">
        <v>1919</v>
      </c>
      <c r="P35" s="883" t="s">
        <v>1919</v>
      </c>
      <c r="Q35" s="883" t="s">
        <v>1919</v>
      </c>
      <c r="R35" s="883" t="s">
        <v>1919</v>
      </c>
      <c r="S35" s="883" t="s">
        <v>1919</v>
      </c>
      <c r="T35" s="883" t="s">
        <v>1919</v>
      </c>
      <c r="U35" s="883" t="s">
        <v>1919</v>
      </c>
    </row>
    <row r="36" spans="1:21">
      <c r="A36" s="887"/>
      <c r="B36" s="884">
        <v>726</v>
      </c>
      <c r="C36" s="879" t="s">
        <v>239</v>
      </c>
      <c r="D36" s="883" t="s">
        <v>241</v>
      </c>
      <c r="E36" s="883" t="s">
        <v>241</v>
      </c>
      <c r="F36" s="883" t="s">
        <v>241</v>
      </c>
      <c r="G36" s="883" t="s">
        <v>241</v>
      </c>
      <c r="H36" s="883" t="s">
        <v>241</v>
      </c>
      <c r="I36" s="883" t="s">
        <v>241</v>
      </c>
      <c r="J36" s="883" t="s">
        <v>241</v>
      </c>
      <c r="K36" s="883" t="s">
        <v>241</v>
      </c>
      <c r="L36" s="883" t="s">
        <v>241</v>
      </c>
      <c r="M36" s="883" t="s">
        <v>241</v>
      </c>
      <c r="N36" s="883" t="s">
        <v>241</v>
      </c>
      <c r="O36" s="883" t="s">
        <v>241</v>
      </c>
      <c r="P36" s="883" t="s">
        <v>241</v>
      </c>
      <c r="Q36" s="883" t="s">
        <v>241</v>
      </c>
      <c r="R36" s="883" t="s">
        <v>241</v>
      </c>
      <c r="S36" s="883" t="s">
        <v>241</v>
      </c>
      <c r="T36" s="883" t="s">
        <v>241</v>
      </c>
      <c r="U36" s="883" t="s">
        <v>241</v>
      </c>
    </row>
    <row r="37" spans="1:21">
      <c r="A37" s="887"/>
      <c r="B37" s="884">
        <v>727</v>
      </c>
      <c r="C37" s="879" t="s">
        <v>240</v>
      </c>
      <c r="D37" s="877" t="s">
        <v>241</v>
      </c>
      <c r="E37" s="877" t="s">
        <v>241</v>
      </c>
      <c r="F37" s="877" t="s">
        <v>241</v>
      </c>
      <c r="G37" s="877" t="s">
        <v>241</v>
      </c>
      <c r="H37" s="877" t="s">
        <v>241</v>
      </c>
      <c r="I37" s="877" t="s">
        <v>241</v>
      </c>
      <c r="J37" s="877" t="s">
        <v>241</v>
      </c>
      <c r="K37" s="877" t="s">
        <v>241</v>
      </c>
      <c r="L37" s="877" t="s">
        <v>241</v>
      </c>
      <c r="M37" s="877" t="s">
        <v>241</v>
      </c>
      <c r="N37" s="877" t="s">
        <v>241</v>
      </c>
      <c r="O37" s="877" t="s">
        <v>241</v>
      </c>
      <c r="P37" s="877" t="s">
        <v>241</v>
      </c>
      <c r="Q37" s="877" t="s">
        <v>241</v>
      </c>
      <c r="R37" s="877" t="s">
        <v>241</v>
      </c>
      <c r="S37" s="877" t="s">
        <v>241</v>
      </c>
      <c r="T37" s="877" t="s">
        <v>241</v>
      </c>
      <c r="U37" s="877" t="s">
        <v>241</v>
      </c>
    </row>
    <row r="38" spans="1:21" outlineLevel="1">
      <c r="A38" s="880" t="s">
        <v>1918</v>
      </c>
      <c r="B38" s="884">
        <v>751</v>
      </c>
      <c r="C38" s="879" t="s">
        <v>541</v>
      </c>
      <c r="D38" s="886">
        <f t="shared" ref="D38:U38" si="15">generator</f>
        <v>45</v>
      </c>
      <c r="E38" s="886">
        <f t="shared" si="15"/>
        <v>45</v>
      </c>
      <c r="F38" s="886">
        <f t="shared" si="15"/>
        <v>45</v>
      </c>
      <c r="G38" s="886">
        <f t="shared" si="15"/>
        <v>45</v>
      </c>
      <c r="H38" s="886">
        <f t="shared" si="15"/>
        <v>45</v>
      </c>
      <c r="I38" s="886">
        <f t="shared" si="15"/>
        <v>45</v>
      </c>
      <c r="J38" s="886">
        <f t="shared" si="15"/>
        <v>45</v>
      </c>
      <c r="K38" s="886">
        <f t="shared" si="15"/>
        <v>45</v>
      </c>
      <c r="L38" s="886">
        <f t="shared" si="15"/>
        <v>45</v>
      </c>
      <c r="M38" s="886">
        <f t="shared" si="15"/>
        <v>45</v>
      </c>
      <c r="N38" s="886">
        <f t="shared" si="15"/>
        <v>45</v>
      </c>
      <c r="O38" s="886">
        <f t="shared" si="15"/>
        <v>45</v>
      </c>
      <c r="P38" s="886">
        <f t="shared" si="15"/>
        <v>45</v>
      </c>
      <c r="Q38" s="886">
        <f t="shared" si="15"/>
        <v>45</v>
      </c>
      <c r="R38" s="886">
        <f t="shared" si="15"/>
        <v>45</v>
      </c>
      <c r="S38" s="886">
        <f t="shared" si="15"/>
        <v>45</v>
      </c>
      <c r="T38" s="886">
        <f t="shared" si="15"/>
        <v>45</v>
      </c>
      <c r="U38" s="886">
        <f t="shared" si="15"/>
        <v>45</v>
      </c>
    </row>
    <row r="39" spans="1:21" outlineLevel="1">
      <c r="A39" s="880"/>
      <c r="B39" s="884">
        <v>756</v>
      </c>
      <c r="C39" s="879" t="s">
        <v>242</v>
      </c>
      <c r="D39" s="883">
        <v>2</v>
      </c>
      <c r="E39" s="883">
        <v>2</v>
      </c>
      <c r="F39" s="883">
        <v>2</v>
      </c>
      <c r="G39" s="883">
        <v>2</v>
      </c>
      <c r="H39" s="883">
        <v>2</v>
      </c>
      <c r="I39" s="883">
        <v>2</v>
      </c>
      <c r="J39" s="883">
        <v>2</v>
      </c>
      <c r="K39" s="883">
        <v>2</v>
      </c>
      <c r="L39" s="883">
        <v>2</v>
      </c>
      <c r="M39" s="883">
        <v>2</v>
      </c>
      <c r="N39" s="883">
        <v>2</v>
      </c>
      <c r="O39" s="883">
        <v>2</v>
      </c>
      <c r="P39" s="883">
        <v>2</v>
      </c>
      <c r="Q39" s="883">
        <v>2</v>
      </c>
      <c r="R39" s="883">
        <v>2</v>
      </c>
      <c r="S39" s="883">
        <v>2</v>
      </c>
      <c r="T39" s="883">
        <v>2</v>
      </c>
      <c r="U39" s="883">
        <v>2</v>
      </c>
    </row>
    <row r="40" spans="1:21" ht="24" outlineLevel="1">
      <c r="A40" s="880"/>
      <c r="B40" s="884">
        <v>757</v>
      </c>
      <c r="C40" s="879" t="s">
        <v>243</v>
      </c>
      <c r="D40" s="883">
        <f t="shared" ref="D40:U40" si="16">source</f>
        <v>41</v>
      </c>
      <c r="E40" s="883">
        <f t="shared" si="16"/>
        <v>41</v>
      </c>
      <c r="F40" s="883">
        <f t="shared" si="16"/>
        <v>41</v>
      </c>
      <c r="G40" s="883">
        <f t="shared" si="16"/>
        <v>41</v>
      </c>
      <c r="H40" s="883">
        <f t="shared" si="16"/>
        <v>41</v>
      </c>
      <c r="I40" s="883">
        <f t="shared" si="16"/>
        <v>41</v>
      </c>
      <c r="J40" s="883">
        <f t="shared" si="16"/>
        <v>41</v>
      </c>
      <c r="K40" s="883">
        <f t="shared" si="16"/>
        <v>41</v>
      </c>
      <c r="L40" s="883">
        <f t="shared" si="16"/>
        <v>41</v>
      </c>
      <c r="M40" s="883">
        <f t="shared" si="16"/>
        <v>41</v>
      </c>
      <c r="N40" s="883">
        <f t="shared" si="16"/>
        <v>41</v>
      </c>
      <c r="O40" s="883">
        <f t="shared" si="16"/>
        <v>41</v>
      </c>
      <c r="P40" s="883">
        <f t="shared" si="16"/>
        <v>41</v>
      </c>
      <c r="Q40" s="883">
        <f t="shared" si="16"/>
        <v>41</v>
      </c>
      <c r="R40" s="883">
        <f t="shared" si="16"/>
        <v>41</v>
      </c>
      <c r="S40" s="883">
        <f t="shared" si="16"/>
        <v>41</v>
      </c>
      <c r="T40" s="883">
        <f t="shared" si="16"/>
        <v>41</v>
      </c>
      <c r="U40" s="883">
        <f t="shared" si="16"/>
        <v>41</v>
      </c>
    </row>
    <row r="41" spans="1:21" outlineLevel="1">
      <c r="A41" s="880"/>
      <c r="B41" s="884">
        <v>758</v>
      </c>
      <c r="C41" s="879" t="s">
        <v>244</v>
      </c>
      <c r="D41" s="877">
        <v>1</v>
      </c>
      <c r="E41" s="877">
        <v>1</v>
      </c>
      <c r="F41" s="877">
        <v>1</v>
      </c>
      <c r="G41" s="877">
        <v>1</v>
      </c>
      <c r="H41" s="877">
        <v>1</v>
      </c>
      <c r="I41" s="877">
        <v>1</v>
      </c>
      <c r="J41" s="877">
        <v>1</v>
      </c>
      <c r="K41" s="877">
        <v>1</v>
      </c>
      <c r="L41" s="877">
        <v>1</v>
      </c>
      <c r="M41" s="877">
        <v>1</v>
      </c>
      <c r="N41" s="877">
        <v>1</v>
      </c>
      <c r="O41" s="877">
        <v>1</v>
      </c>
      <c r="P41" s="877">
        <v>1</v>
      </c>
      <c r="Q41" s="877">
        <v>1</v>
      </c>
      <c r="R41" s="877">
        <v>1</v>
      </c>
      <c r="S41" s="877">
        <v>1</v>
      </c>
      <c r="T41" s="877">
        <v>1</v>
      </c>
      <c r="U41" s="877">
        <v>1</v>
      </c>
    </row>
    <row r="42" spans="1:21" outlineLevel="1">
      <c r="A42" s="880"/>
      <c r="B42" s="884">
        <v>759</v>
      </c>
      <c r="C42" s="879" t="s">
        <v>245</v>
      </c>
      <c r="D42" s="885">
        <v>0</v>
      </c>
      <c r="E42" s="885">
        <v>0</v>
      </c>
      <c r="F42" s="885">
        <v>0</v>
      </c>
      <c r="G42" s="885">
        <v>0</v>
      </c>
      <c r="H42" s="885">
        <v>0</v>
      </c>
      <c r="I42" s="885">
        <v>0</v>
      </c>
      <c r="J42" s="885">
        <v>0</v>
      </c>
      <c r="K42" s="885">
        <v>0</v>
      </c>
      <c r="L42" s="885">
        <v>0</v>
      </c>
      <c r="M42" s="885">
        <v>0</v>
      </c>
      <c r="N42" s="885">
        <v>0</v>
      </c>
      <c r="O42" s="885">
        <v>0</v>
      </c>
      <c r="P42" s="885">
        <v>0</v>
      </c>
      <c r="Q42" s="885">
        <v>0</v>
      </c>
      <c r="R42" s="885">
        <v>0</v>
      </c>
      <c r="S42" s="885">
        <v>0</v>
      </c>
      <c r="T42" s="885">
        <v>0</v>
      </c>
      <c r="U42" s="885">
        <v>0</v>
      </c>
    </row>
    <row r="43" spans="1:21" outlineLevel="1">
      <c r="A43" s="880"/>
      <c r="B43" s="884">
        <v>760</v>
      </c>
      <c r="C43" s="879" t="s">
        <v>246</v>
      </c>
      <c r="D43" s="877"/>
      <c r="E43" s="877"/>
      <c r="F43" s="877"/>
      <c r="G43" s="877"/>
      <c r="H43" s="877"/>
      <c r="I43" s="877"/>
      <c r="J43" s="877"/>
      <c r="K43" s="877"/>
      <c r="L43" s="877"/>
      <c r="M43" s="877"/>
      <c r="N43" s="877"/>
      <c r="O43" s="877"/>
      <c r="P43" s="877"/>
      <c r="Q43" s="877"/>
      <c r="R43" s="877"/>
      <c r="S43" s="877"/>
      <c r="T43" s="877"/>
      <c r="U43" s="877"/>
    </row>
    <row r="44" spans="1:21" outlineLevel="1">
      <c r="A44" s="880"/>
      <c r="B44" s="884">
        <v>761</v>
      </c>
      <c r="C44" s="879" t="s">
        <v>247</v>
      </c>
      <c r="D44" s="877" t="str">
        <f t="shared" ref="D44:U44" si="17">IF(D42=0,"","CH")</f>
        <v/>
      </c>
      <c r="E44" s="877" t="str">
        <f t="shared" si="17"/>
        <v/>
      </c>
      <c r="F44" s="877" t="str">
        <f t="shared" si="17"/>
        <v/>
      </c>
      <c r="G44" s="877" t="str">
        <f t="shared" si="17"/>
        <v/>
      </c>
      <c r="H44" s="877" t="str">
        <f t="shared" si="17"/>
        <v/>
      </c>
      <c r="I44" s="877" t="str">
        <f t="shared" si="17"/>
        <v/>
      </c>
      <c r="J44" s="877" t="str">
        <f t="shared" si="17"/>
        <v/>
      </c>
      <c r="K44" s="877" t="str">
        <f t="shared" si="17"/>
        <v/>
      </c>
      <c r="L44" s="877" t="str">
        <f t="shared" si="17"/>
        <v/>
      </c>
      <c r="M44" s="877" t="str">
        <f t="shared" si="17"/>
        <v/>
      </c>
      <c r="N44" s="877" t="str">
        <f t="shared" si="17"/>
        <v/>
      </c>
      <c r="O44" s="877" t="str">
        <f t="shared" si="17"/>
        <v/>
      </c>
      <c r="P44" s="877" t="str">
        <f t="shared" si="17"/>
        <v/>
      </c>
      <c r="Q44" s="877" t="str">
        <f t="shared" si="17"/>
        <v/>
      </c>
      <c r="R44" s="877" t="str">
        <f t="shared" si="17"/>
        <v/>
      </c>
      <c r="S44" s="877" t="str">
        <f t="shared" si="17"/>
        <v/>
      </c>
      <c r="T44" s="877" t="str">
        <f t="shared" si="17"/>
        <v/>
      </c>
      <c r="U44" s="877" t="str">
        <f t="shared" si="17"/>
        <v/>
      </c>
    </row>
    <row r="45" spans="1:21" outlineLevel="1">
      <c r="A45" s="880"/>
      <c r="B45" s="884">
        <v>762</v>
      </c>
      <c r="C45" s="879" t="s">
        <v>248</v>
      </c>
      <c r="D45" s="883"/>
      <c r="E45" s="883"/>
      <c r="F45" s="883"/>
      <c r="G45" s="883"/>
      <c r="H45" s="883"/>
      <c r="I45" s="883"/>
      <c r="J45" s="883"/>
      <c r="K45" s="883"/>
      <c r="L45" s="883"/>
      <c r="M45" s="883"/>
      <c r="N45" s="883"/>
      <c r="O45" s="883"/>
      <c r="P45" s="883"/>
      <c r="Q45" s="883"/>
      <c r="R45" s="883"/>
      <c r="S45" s="883"/>
      <c r="T45" s="883"/>
      <c r="U45" s="883"/>
    </row>
    <row r="46" spans="1:21" outlineLevel="1">
      <c r="A46" s="880" t="s">
        <v>733</v>
      </c>
      <c r="B46" s="782">
        <v>5616</v>
      </c>
      <c r="C46" s="879" t="s">
        <v>734</v>
      </c>
      <c r="D46" s="882">
        <f t="shared" ref="D46:U46" si="18">Validator</f>
        <v>41</v>
      </c>
      <c r="E46" s="882">
        <f t="shared" si="18"/>
        <v>41</v>
      </c>
      <c r="F46" s="882">
        <f t="shared" si="18"/>
        <v>41</v>
      </c>
      <c r="G46" s="882">
        <f t="shared" si="18"/>
        <v>41</v>
      </c>
      <c r="H46" s="882">
        <f t="shared" si="18"/>
        <v>41</v>
      </c>
      <c r="I46" s="882">
        <f t="shared" si="18"/>
        <v>41</v>
      </c>
      <c r="J46" s="882">
        <f t="shared" si="18"/>
        <v>41</v>
      </c>
      <c r="K46" s="882">
        <f t="shared" si="18"/>
        <v>41</v>
      </c>
      <c r="L46" s="882">
        <f t="shared" si="18"/>
        <v>41</v>
      </c>
      <c r="M46" s="882">
        <f t="shared" si="18"/>
        <v>41</v>
      </c>
      <c r="N46" s="882">
        <f t="shared" si="18"/>
        <v>41</v>
      </c>
      <c r="O46" s="882">
        <f t="shared" si="18"/>
        <v>41</v>
      </c>
      <c r="P46" s="882">
        <f t="shared" si="18"/>
        <v>41</v>
      </c>
      <c r="Q46" s="882">
        <f t="shared" si="18"/>
        <v>41</v>
      </c>
      <c r="R46" s="882">
        <f t="shared" si="18"/>
        <v>41</v>
      </c>
      <c r="S46" s="882">
        <f t="shared" si="18"/>
        <v>41</v>
      </c>
      <c r="T46" s="882">
        <f t="shared" si="18"/>
        <v>41</v>
      </c>
      <c r="U46" s="882">
        <f t="shared" si="18"/>
        <v>41</v>
      </c>
    </row>
    <row r="47" spans="1:21">
      <c r="A47" s="880"/>
      <c r="B47" s="782">
        <v>5615</v>
      </c>
      <c r="C47" s="879" t="s">
        <v>735</v>
      </c>
      <c r="D47" s="881">
        <f t="shared" ref="D47:U47" ca="1" si="19">TODAY()</f>
        <v>41943</v>
      </c>
      <c r="E47" s="881">
        <f t="shared" ca="1" si="19"/>
        <v>41943</v>
      </c>
      <c r="F47" s="881">
        <f t="shared" ca="1" si="19"/>
        <v>41943</v>
      </c>
      <c r="G47" s="881">
        <f t="shared" ca="1" si="19"/>
        <v>41943</v>
      </c>
      <c r="H47" s="881">
        <f t="shared" ca="1" si="19"/>
        <v>41943</v>
      </c>
      <c r="I47" s="881">
        <f t="shared" ca="1" si="19"/>
        <v>41943</v>
      </c>
      <c r="J47" s="881">
        <f t="shared" ca="1" si="19"/>
        <v>41943</v>
      </c>
      <c r="K47" s="881">
        <f t="shared" ca="1" si="19"/>
        <v>41943</v>
      </c>
      <c r="L47" s="881">
        <f t="shared" ca="1" si="19"/>
        <v>41943</v>
      </c>
      <c r="M47" s="881">
        <f t="shared" ca="1" si="19"/>
        <v>41943</v>
      </c>
      <c r="N47" s="881">
        <f t="shared" ca="1" si="19"/>
        <v>41943</v>
      </c>
      <c r="O47" s="881">
        <f t="shared" ca="1" si="19"/>
        <v>41943</v>
      </c>
      <c r="P47" s="881">
        <f t="shared" ca="1" si="19"/>
        <v>41943</v>
      </c>
      <c r="Q47" s="881">
        <f t="shared" ca="1" si="19"/>
        <v>41943</v>
      </c>
      <c r="R47" s="881">
        <f t="shared" ca="1" si="19"/>
        <v>41943</v>
      </c>
      <c r="S47" s="881">
        <f t="shared" ca="1" si="19"/>
        <v>41943</v>
      </c>
      <c r="T47" s="881">
        <f t="shared" ca="1" si="19"/>
        <v>41943</v>
      </c>
      <c r="U47" s="881">
        <f t="shared" ca="1" si="19"/>
        <v>41943</v>
      </c>
    </row>
    <row r="48" spans="1:21" ht="84">
      <c r="A48" s="880"/>
      <c r="B48" s="782">
        <v>5619</v>
      </c>
      <c r="C48" s="879" t="s">
        <v>736</v>
      </c>
      <c r="D48" s="878" t="str">
        <f t="shared" ref="D48:U48" ca="1" si="20">CELL("filename",D55)</f>
        <v>C:\Users\Public\Documents\First Solar\IEA Task12\LCI\[Section 5 Updated Tables.xlsx]X-Process (2)</v>
      </c>
      <c r="E48" s="878" t="str">
        <f t="shared" ca="1" si="20"/>
        <v>C:\Users\Public\Documents\First Solar\IEA Task12\LCI\[Section 5 Updated Tables.xlsx]X-Process (2)</v>
      </c>
      <c r="F48" s="878" t="str">
        <f t="shared" ca="1" si="20"/>
        <v>C:\Users\Public\Documents\First Solar\IEA Task12\LCI\[Section 5 Updated Tables.xlsx]X-Process (2)</v>
      </c>
      <c r="G48" s="878" t="str">
        <f t="shared" ca="1" si="20"/>
        <v>C:\Users\Public\Documents\First Solar\IEA Task12\LCI\[Section 5 Updated Tables.xlsx]X-Process (2)</v>
      </c>
      <c r="H48" s="878" t="str">
        <f t="shared" ca="1" si="20"/>
        <v>C:\Users\Public\Documents\First Solar\IEA Task12\LCI\[Section 5 Updated Tables.xlsx]X-Process (2)</v>
      </c>
      <c r="I48" s="878" t="str">
        <f t="shared" ca="1" si="20"/>
        <v>C:\Users\Public\Documents\First Solar\IEA Task12\LCI\[Section 5 Updated Tables.xlsx]X-Process (2)</v>
      </c>
      <c r="J48" s="878" t="str">
        <f t="shared" ca="1" si="20"/>
        <v>C:\Users\Public\Documents\First Solar\IEA Task12\LCI\[Section 5 Updated Tables.xlsx]X-Process (2)</v>
      </c>
      <c r="K48" s="878" t="str">
        <f t="shared" ca="1" si="20"/>
        <v>C:\Users\Public\Documents\First Solar\IEA Task12\LCI\[Section 5 Updated Tables.xlsx]X-Process (2)</v>
      </c>
      <c r="L48" s="878" t="str">
        <f t="shared" ca="1" si="20"/>
        <v>C:\Users\Public\Documents\First Solar\IEA Task12\LCI\[Section 5 Updated Tables.xlsx]X-Process (2)</v>
      </c>
      <c r="M48" s="878" t="str">
        <f t="shared" ca="1" si="20"/>
        <v>C:\Users\Public\Documents\First Solar\IEA Task12\LCI\[Section 5 Updated Tables.xlsx]X-Process (2)</v>
      </c>
      <c r="N48" s="878" t="str">
        <f t="shared" ca="1" si="20"/>
        <v>C:\Users\Public\Documents\First Solar\IEA Task12\LCI\[Section 5 Updated Tables.xlsx]X-Process (2)</v>
      </c>
      <c r="O48" s="878" t="str">
        <f t="shared" ca="1" si="20"/>
        <v>C:\Users\Public\Documents\First Solar\IEA Task12\LCI\[Section 5 Updated Tables.xlsx]X-Process (2)</v>
      </c>
      <c r="P48" s="878" t="str">
        <f t="shared" ca="1" si="20"/>
        <v>C:\Users\Public\Documents\First Solar\IEA Task12\LCI\[Section 5 Updated Tables.xlsx]X-Process (2)</v>
      </c>
      <c r="Q48" s="878" t="str">
        <f t="shared" ca="1" si="20"/>
        <v>C:\Users\Public\Documents\First Solar\IEA Task12\LCI\[Section 5 Updated Tables.xlsx]X-Process (2)</v>
      </c>
      <c r="R48" s="878" t="str">
        <f t="shared" ca="1" si="20"/>
        <v>C:\Users\Public\Documents\First Solar\IEA Task12\LCI\[Section 5 Updated Tables.xlsx]X-Process (2)</v>
      </c>
      <c r="S48" s="878" t="str">
        <f t="shared" ca="1" si="20"/>
        <v>C:\Users\Public\Documents\First Solar\IEA Task12\LCI\[Section 5 Updated Tables.xlsx]X-Process (2)</v>
      </c>
      <c r="T48" s="878" t="str">
        <f t="shared" ca="1" si="20"/>
        <v>C:\Users\Public\Documents\First Solar\IEA Task12\LCI\[Section 5 Updated Tables.xlsx]X-Process (2)</v>
      </c>
      <c r="U48" s="878" t="str">
        <f t="shared" ca="1" si="20"/>
        <v>C:\Users\Public\Documents\First Solar\IEA Task12\LCI\[Section 5 Updated Tables.xlsx]X-Process (2)</v>
      </c>
    </row>
    <row r="49" spans="1:21">
      <c r="D49" s="877"/>
      <c r="E49" s="877"/>
      <c r="F49" s="877"/>
      <c r="G49" s="877"/>
      <c r="H49" s="877"/>
      <c r="I49" s="877"/>
      <c r="J49" s="877"/>
      <c r="K49" s="877"/>
      <c r="L49" s="877"/>
      <c r="M49" s="877"/>
      <c r="N49" s="877"/>
      <c r="O49" s="877"/>
      <c r="P49" s="877"/>
      <c r="Q49" s="877"/>
      <c r="R49" s="877"/>
      <c r="S49" s="877"/>
      <c r="T49" s="877"/>
      <c r="U49" s="877"/>
    </row>
    <row r="50" spans="1:21">
      <c r="A50" s="876" t="s">
        <v>218</v>
      </c>
      <c r="D50" s="875" t="str">
        <f t="shared" ref="D50:U50" si="21">IF(LEN(D34)&gt;79,79-LEN(D34),"OK")</f>
        <v>OK</v>
      </c>
      <c r="E50" s="875" t="str">
        <f t="shared" si="21"/>
        <v>OK</v>
      </c>
      <c r="F50" s="875" t="str">
        <f t="shared" si="21"/>
        <v>OK</v>
      </c>
      <c r="G50" s="875" t="str">
        <f t="shared" si="21"/>
        <v>OK</v>
      </c>
      <c r="H50" s="875" t="str">
        <f t="shared" si="21"/>
        <v>OK</v>
      </c>
      <c r="I50" s="875" t="str">
        <f t="shared" si="21"/>
        <v>OK</v>
      </c>
      <c r="J50" s="875" t="str">
        <f t="shared" si="21"/>
        <v>OK</v>
      </c>
      <c r="K50" s="875" t="str">
        <f t="shared" si="21"/>
        <v>OK</v>
      </c>
      <c r="L50" s="875" t="str">
        <f t="shared" si="21"/>
        <v>OK</v>
      </c>
      <c r="M50" s="875" t="str">
        <f t="shared" si="21"/>
        <v>OK</v>
      </c>
      <c r="N50" s="875" t="str">
        <f t="shared" si="21"/>
        <v>OK</v>
      </c>
      <c r="O50" s="875" t="str">
        <f t="shared" si="21"/>
        <v>OK</v>
      </c>
      <c r="P50" s="875" t="str">
        <f t="shared" si="21"/>
        <v>OK</v>
      </c>
      <c r="Q50" s="875" t="str">
        <f t="shared" si="21"/>
        <v>OK</v>
      </c>
      <c r="R50" s="875" t="str">
        <f t="shared" si="21"/>
        <v>OK</v>
      </c>
      <c r="S50" s="875" t="str">
        <f t="shared" si="21"/>
        <v>OK</v>
      </c>
      <c r="T50" s="875" t="str">
        <f t="shared" si="21"/>
        <v>OK</v>
      </c>
      <c r="U50" s="875" t="str">
        <f t="shared" si="21"/>
        <v>OK</v>
      </c>
    </row>
    <row r="51" spans="1:21">
      <c r="D51" s="874"/>
      <c r="E51" s="874"/>
      <c r="F51" s="874"/>
      <c r="G51" s="874"/>
      <c r="H51" s="874"/>
      <c r="I51" s="874"/>
      <c r="J51" s="874"/>
      <c r="K51" s="874"/>
      <c r="L51" s="874"/>
      <c r="M51" s="874"/>
      <c r="N51" s="874"/>
      <c r="O51" s="874"/>
      <c r="P51" s="874"/>
      <c r="Q51" s="874"/>
      <c r="R51" s="874"/>
      <c r="S51" s="874"/>
      <c r="T51" s="874"/>
      <c r="U51" s="874"/>
    </row>
    <row r="52" spans="1:21">
      <c r="D52" s="874"/>
      <c r="E52" s="874"/>
      <c r="F52" s="874"/>
      <c r="G52" s="874"/>
      <c r="H52" s="874"/>
      <c r="I52" s="874"/>
      <c r="J52" s="874"/>
      <c r="K52" s="874"/>
      <c r="L52" s="874"/>
      <c r="M52" s="874"/>
      <c r="N52" s="874"/>
      <c r="O52" s="874"/>
      <c r="P52" s="874"/>
      <c r="Q52" s="874"/>
      <c r="R52" s="874"/>
      <c r="S52" s="874"/>
      <c r="T52" s="874"/>
      <c r="U52" s="874"/>
    </row>
    <row r="53" spans="1:21">
      <c r="D53" s="874"/>
      <c r="E53" s="874"/>
      <c r="F53" s="874"/>
      <c r="G53" s="874"/>
      <c r="H53" s="874"/>
      <c r="I53" s="874"/>
      <c r="J53" s="874"/>
      <c r="K53" s="874"/>
      <c r="L53" s="874"/>
      <c r="M53" s="874"/>
      <c r="N53" s="874"/>
      <c r="O53" s="874"/>
      <c r="P53" s="874"/>
      <c r="Q53" s="874"/>
      <c r="R53" s="874"/>
      <c r="S53" s="874"/>
      <c r="T53" s="874"/>
      <c r="U53" s="874"/>
    </row>
    <row r="54" spans="1:21">
      <c r="D54" s="874"/>
      <c r="E54" s="874"/>
      <c r="F54" s="874"/>
      <c r="G54" s="874"/>
      <c r="H54" s="874"/>
      <c r="I54" s="874"/>
      <c r="J54" s="874"/>
      <c r="K54" s="874"/>
      <c r="L54" s="874"/>
      <c r="M54" s="874"/>
      <c r="N54" s="874"/>
      <c r="O54" s="874"/>
      <c r="P54" s="874"/>
      <c r="Q54" s="874"/>
      <c r="R54" s="874"/>
      <c r="S54" s="874"/>
      <c r="T54" s="874"/>
      <c r="U54" s="874"/>
    </row>
    <row r="55" spans="1:21">
      <c r="D55" s="874"/>
      <c r="E55" s="874"/>
      <c r="F55" s="874"/>
      <c r="G55" s="874"/>
      <c r="H55" s="874"/>
      <c r="I55" s="874"/>
      <c r="J55" s="874"/>
      <c r="K55" s="874"/>
      <c r="L55" s="874"/>
      <c r="M55" s="874"/>
      <c r="N55" s="874"/>
      <c r="O55" s="874"/>
      <c r="P55" s="874"/>
      <c r="Q55" s="874"/>
      <c r="R55" s="874"/>
      <c r="S55" s="874"/>
      <c r="T55" s="874"/>
      <c r="U55" s="874"/>
    </row>
    <row r="56" spans="1:21">
      <c r="D56" s="874"/>
      <c r="E56" s="874"/>
      <c r="F56" s="874"/>
      <c r="G56" s="874"/>
      <c r="H56" s="874"/>
      <c r="I56" s="874"/>
      <c r="J56" s="874"/>
      <c r="K56" s="874"/>
      <c r="L56" s="874"/>
      <c r="M56" s="874"/>
      <c r="N56" s="874"/>
      <c r="O56" s="874"/>
      <c r="P56" s="874"/>
      <c r="Q56" s="874"/>
      <c r="R56" s="874"/>
      <c r="S56" s="874"/>
      <c r="T56" s="874"/>
      <c r="U56" s="874"/>
    </row>
    <row r="57" spans="1:21">
      <c r="D57" s="874"/>
      <c r="E57" s="874"/>
      <c r="F57" s="874"/>
      <c r="G57" s="874"/>
      <c r="H57" s="874"/>
      <c r="I57" s="874"/>
      <c r="J57" s="874"/>
      <c r="K57" s="874"/>
      <c r="L57" s="874"/>
      <c r="M57" s="874"/>
      <c r="N57" s="874"/>
      <c r="O57" s="874"/>
      <c r="P57" s="874"/>
      <c r="Q57" s="874"/>
      <c r="R57" s="874"/>
      <c r="S57" s="874"/>
      <c r="T57" s="874"/>
      <c r="U57" s="874"/>
    </row>
    <row r="58" spans="1:21">
      <c r="D58" s="874"/>
      <c r="E58" s="874"/>
      <c r="F58" s="874"/>
      <c r="G58" s="874"/>
      <c r="H58" s="874"/>
      <c r="I58" s="874"/>
      <c r="J58" s="874"/>
      <c r="K58" s="874"/>
      <c r="L58" s="874"/>
      <c r="M58" s="874"/>
      <c r="N58" s="874"/>
      <c r="O58" s="874"/>
      <c r="P58" s="874"/>
      <c r="Q58" s="874"/>
      <c r="R58" s="874"/>
      <c r="S58" s="874"/>
      <c r="T58" s="874"/>
      <c r="U58" s="874"/>
    </row>
    <row r="59" spans="1:21">
      <c r="D59" s="874"/>
      <c r="E59" s="874"/>
      <c r="F59" s="874"/>
      <c r="G59" s="874"/>
      <c r="H59" s="874"/>
      <c r="I59" s="874"/>
      <c r="J59" s="874"/>
      <c r="K59" s="874"/>
      <c r="L59" s="874"/>
      <c r="M59" s="874"/>
      <c r="N59" s="874"/>
      <c r="O59" s="874"/>
      <c r="P59" s="874"/>
      <c r="Q59" s="874"/>
      <c r="R59" s="874"/>
      <c r="S59" s="874"/>
      <c r="T59" s="874"/>
      <c r="U59" s="874"/>
    </row>
    <row r="60" spans="1:21">
      <c r="D60" s="874"/>
      <c r="E60" s="874"/>
      <c r="F60" s="874"/>
      <c r="G60" s="874"/>
      <c r="H60" s="874"/>
      <c r="I60" s="874"/>
      <c r="J60" s="874"/>
      <c r="K60" s="874"/>
      <c r="L60" s="874"/>
      <c r="M60" s="874"/>
      <c r="N60" s="874"/>
      <c r="O60" s="874"/>
      <c r="P60" s="874"/>
      <c r="Q60" s="874"/>
      <c r="R60" s="874"/>
      <c r="S60" s="874"/>
      <c r="T60" s="874"/>
      <c r="U60" s="874"/>
    </row>
    <row r="61" spans="1:21">
      <c r="D61" s="874"/>
      <c r="E61" s="874"/>
      <c r="F61" s="874"/>
      <c r="G61" s="874"/>
      <c r="H61" s="874"/>
      <c r="I61" s="874"/>
      <c r="J61" s="874"/>
      <c r="K61" s="874"/>
      <c r="L61" s="874"/>
      <c r="M61" s="874"/>
      <c r="N61" s="874"/>
      <c r="O61" s="874"/>
      <c r="P61" s="874"/>
      <c r="Q61" s="874"/>
      <c r="R61" s="874"/>
      <c r="S61" s="874"/>
      <c r="T61" s="874"/>
      <c r="U61" s="874"/>
    </row>
    <row r="62" spans="1:21">
      <c r="D62" s="874"/>
      <c r="E62" s="874"/>
      <c r="F62" s="874"/>
      <c r="G62" s="874"/>
      <c r="H62" s="874"/>
      <c r="I62" s="874"/>
      <c r="J62" s="874"/>
      <c r="K62" s="874"/>
      <c r="L62" s="874"/>
      <c r="M62" s="874"/>
      <c r="N62" s="874"/>
      <c r="O62" s="874"/>
      <c r="P62" s="874"/>
      <c r="Q62" s="874"/>
      <c r="R62" s="874"/>
      <c r="S62" s="874"/>
      <c r="T62" s="874"/>
      <c r="U62" s="874"/>
    </row>
    <row r="63" spans="1:21">
      <c r="D63" s="874"/>
      <c r="E63" s="874"/>
      <c r="F63" s="874"/>
      <c r="G63" s="874"/>
      <c r="H63" s="874"/>
      <c r="I63" s="874"/>
      <c r="J63" s="874"/>
      <c r="K63" s="874"/>
      <c r="L63" s="874"/>
      <c r="M63" s="874"/>
      <c r="N63" s="874"/>
      <c r="O63" s="874"/>
      <c r="P63" s="874"/>
      <c r="Q63" s="874"/>
      <c r="R63" s="874"/>
      <c r="S63" s="874"/>
      <c r="T63" s="874"/>
      <c r="U63" s="874"/>
    </row>
    <row r="64" spans="1:21">
      <c r="D64" s="874"/>
      <c r="E64" s="874"/>
      <c r="F64" s="874"/>
      <c r="G64" s="874"/>
      <c r="H64" s="874"/>
      <c r="I64" s="874"/>
      <c r="J64" s="874"/>
      <c r="K64" s="874"/>
      <c r="L64" s="874"/>
      <c r="M64" s="874"/>
      <c r="N64" s="874"/>
      <c r="O64" s="874"/>
      <c r="P64" s="874"/>
      <c r="Q64" s="874"/>
      <c r="R64" s="874"/>
      <c r="S64" s="874"/>
      <c r="T64" s="874"/>
      <c r="U64" s="874"/>
    </row>
    <row r="65" spans="4:21">
      <c r="D65" s="874"/>
      <c r="E65" s="874"/>
      <c r="F65" s="874"/>
      <c r="G65" s="874"/>
      <c r="H65" s="874"/>
      <c r="I65" s="874"/>
      <c r="J65" s="874"/>
      <c r="K65" s="874"/>
      <c r="L65" s="874"/>
      <c r="M65" s="874"/>
      <c r="N65" s="874"/>
      <c r="O65" s="874"/>
      <c r="P65" s="874"/>
      <c r="Q65" s="874"/>
      <c r="R65" s="874"/>
      <c r="S65" s="874"/>
      <c r="T65" s="874"/>
      <c r="U65" s="874"/>
    </row>
    <row r="66" spans="4:21">
      <c r="D66" s="874"/>
      <c r="E66" s="874"/>
      <c r="F66" s="874"/>
      <c r="G66" s="874"/>
      <c r="H66" s="874"/>
      <c r="I66" s="874"/>
      <c r="J66" s="874"/>
      <c r="K66" s="874"/>
      <c r="L66" s="874"/>
      <c r="M66" s="874"/>
      <c r="N66" s="874"/>
      <c r="O66" s="874"/>
      <c r="P66" s="874"/>
      <c r="Q66" s="874"/>
      <c r="R66" s="874"/>
      <c r="S66" s="874"/>
      <c r="T66" s="874"/>
      <c r="U66" s="874"/>
    </row>
    <row r="67" spans="4:21">
      <c r="D67" s="874"/>
      <c r="E67" s="874"/>
      <c r="F67" s="874"/>
      <c r="G67" s="874"/>
      <c r="H67" s="874"/>
      <c r="I67" s="874"/>
      <c r="J67" s="874"/>
      <c r="K67" s="874"/>
      <c r="L67" s="874"/>
      <c r="M67" s="874"/>
      <c r="N67" s="874"/>
      <c r="O67" s="874"/>
      <c r="P67" s="874"/>
      <c r="Q67" s="874"/>
      <c r="R67" s="874"/>
      <c r="S67" s="874"/>
      <c r="T67" s="874"/>
      <c r="U67" s="874"/>
    </row>
    <row r="68" spans="4:21">
      <c r="D68" s="874"/>
      <c r="E68" s="874"/>
      <c r="F68" s="874"/>
      <c r="G68" s="874"/>
      <c r="H68" s="874"/>
      <c r="I68" s="874"/>
      <c r="J68" s="874"/>
      <c r="K68" s="874"/>
      <c r="L68" s="874"/>
      <c r="M68" s="874"/>
      <c r="N68" s="874"/>
      <c r="O68" s="874"/>
      <c r="P68" s="874"/>
      <c r="Q68" s="874"/>
      <c r="R68" s="874"/>
      <c r="S68" s="874"/>
      <c r="T68" s="874"/>
      <c r="U68" s="874"/>
    </row>
    <row r="69" spans="4:21">
      <c r="D69" s="874"/>
      <c r="E69" s="874"/>
      <c r="F69" s="874"/>
      <c r="G69" s="874"/>
      <c r="H69" s="874"/>
      <c r="I69" s="874"/>
      <c r="J69" s="874"/>
      <c r="K69" s="874"/>
      <c r="L69" s="874"/>
      <c r="M69" s="874"/>
      <c r="N69" s="874"/>
      <c r="O69" s="874"/>
      <c r="P69" s="874"/>
      <c r="Q69" s="874"/>
      <c r="R69" s="874"/>
      <c r="S69" s="874"/>
      <c r="T69" s="874"/>
      <c r="U69" s="874"/>
    </row>
  </sheetData>
  <conditionalFormatting sqref="D50:E50">
    <cfRule type="cellIs" dxfId="21" priority="9" stopIfTrue="1" operator="notEqual">
      <formula>"OK"</formula>
    </cfRule>
  </conditionalFormatting>
  <conditionalFormatting sqref="F50:G50">
    <cfRule type="cellIs" dxfId="20" priority="8" stopIfTrue="1" operator="notEqual">
      <formula>"OK"</formula>
    </cfRule>
  </conditionalFormatting>
  <conditionalFormatting sqref="H50:I50">
    <cfRule type="cellIs" dxfId="19" priority="7" stopIfTrue="1" operator="notEqual">
      <formula>"OK"</formula>
    </cfRule>
  </conditionalFormatting>
  <conditionalFormatting sqref="J50:K50">
    <cfRule type="cellIs" dxfId="18" priority="6" stopIfTrue="1" operator="notEqual">
      <formula>"OK"</formula>
    </cfRule>
  </conditionalFormatting>
  <conditionalFormatting sqref="L50:M50">
    <cfRule type="cellIs" dxfId="17" priority="5" stopIfTrue="1" operator="notEqual">
      <formula>"OK"</formula>
    </cfRule>
  </conditionalFormatting>
  <conditionalFormatting sqref="N50:O50">
    <cfRule type="cellIs" dxfId="16" priority="4" stopIfTrue="1" operator="notEqual">
      <formula>"OK"</formula>
    </cfRule>
  </conditionalFormatting>
  <conditionalFormatting sqref="P50:Q50">
    <cfRule type="cellIs" dxfId="15" priority="3" stopIfTrue="1" operator="notEqual">
      <formula>"OK"</formula>
    </cfRule>
  </conditionalFormatting>
  <conditionalFormatting sqref="R50:S50">
    <cfRule type="cellIs" dxfId="14" priority="2" stopIfTrue="1" operator="notEqual">
      <formula>"OK"</formula>
    </cfRule>
  </conditionalFormatting>
  <conditionalFormatting sqref="T50:U50">
    <cfRule type="cellIs" dxfId="13" priority="1" stopIfTrue="1" operator="notEqual">
      <formula>"OK"</formula>
    </cfRule>
  </conditionalFormatting>
  <dataValidations count="48">
    <dataValidation allowBlank="1" showInputMessage="1" showErrorMessage="1" promptTitle="LocalName" prompt="do not change._x000a__x000a_The field is updated from the names list." sqref="D20:U23 D17:U17 D27:U28 A16:XFD16"/>
    <dataValidation allowBlank="1" showInputMessage="1" showErrorMessage="1" promptTitle="Name" prompt="Name of the unit process,_x000a__x000a_do not change._x000a__x000a_The field is updated from the names list." sqref="A2:C2 V2:IU2"/>
    <dataValidation allowBlank="1" showInputMessage="1" showErrorMessage="1" promptTitle="Category" prompt="do not change._x000a__x000a_The field is updated from the names list._x000a__x000a_The location in the hierachical tree where the process will be placed" sqref="A20:C20 V20:IU20"/>
    <dataValidation allowBlank="1" showInputMessage="1" showErrorMessage="1" promptTitle="IndexNumber" prompt="Index Number from the names list (sheet &quot;names&quot;). _x000a__x000a_For every newly defined process a description is needed. You can copy/paste the columns to duplicate the template (no empty columns allowed in between)_x000a_" sqref="A1:C1 V1:IU1"/>
    <dataValidation allowBlank="1" showInputMessage="1" showErrorMessage="1" promptTitle="Unit" prompt="do not change._x000a__x000a_The field is updated from the names list._x000a__x000a_It is the unit of the process." sqref="A5:C5 V5:IU5"/>
    <dataValidation allowBlank="1" showInputMessage="1" showErrorMessage="1" promptTitle="InfrastructureProcess" prompt="do not change._x000a__x000a_The field is updated from the names list._x000a__x000a_0= no Infrastructure Process_x000a_1= an Infrastructure Process" sqref="A4:C4 V4:IU4"/>
    <dataValidation allowBlank="1" showInputMessage="1" showErrorMessage="1" promptTitle="Location" prompt="do not change._x000a__x000a_The field is updated from the names list._x000a__x000a_ISO-Letter Codes designating the country or region of the process" sqref="A3:C3 V3:IU3"/>
    <dataValidation allowBlank="1" showInputMessage="1" showErrorMessage="1" promptTitle="Formula" prompt="The field is normally updated automatically from the names list. You can enter the formula manually - if necessary. But it is recommended to update the names list._x000a__x000a_The chemical formula if the process is a chemical substance" sqref="D26:U26 A24:XFD24"/>
    <dataValidation allowBlank="1" showInputMessage="1" showErrorMessage="1" promptTitle="LocalSubCategory" prompt="do not change._x000a__x000a_The field is updated from the names list._x000a__x000a_The location in the hierachical tree where the process will be placed" sqref="A23:C23 V23:IU23"/>
    <dataValidation allowBlank="1" showInputMessage="1" showErrorMessage="1" promptTitle="LocalCategory" prompt="do not change._x000a__x000a_The field is updated from the names list._x000a__x000a_The location in the hierachical tree where the process will be placed (in the local language, see LocalLanguageCode)" sqref="A22:C22 V22:IU22"/>
    <dataValidation allowBlank="1" showInputMessage="1" showErrorMessage="1" promptTitle="SubCategory" prompt="do not change._x000a__x000a_The field is updated from the names list._x000a__x000a_The location in the hierachical tree where the process will be placed (in the local language, see LocalLanguageCode)" sqref="A21:C21 V21:IU21"/>
    <dataValidation allowBlank="1" showInputMessage="1" showErrorMessage="1" promptTitle="Synonyms" prompt="The field is normally updated from the names list, but you can - if necessary - write the synonyms directly in this field (max. length 80 characters). _x000a__x000a_The synonyms are separated by &quot;//&quot;, e.g.: _x000a_Synonym 1//Synonym 2//Synonym 3" sqref="A17:C17 V17:IU17"/>
    <dataValidation allowBlank="1" showInputMessage="1" showErrorMessage="1" promptTitle="ProofReadingDetails" prompt="Contains the comment of the reviewer of the dataset._x000a__x000a_Often &quot;passed.&quot; is used, when the review comments are in a separate document._x000a__x000a_If there was no full review, the type of review process (e.g. internal, not reviewed,...) shall be mentioned here. " sqref="A47:C47 V47:IU47"/>
    <dataValidation allowBlank="1" showInputMessage="1" showErrorMessage="1" promptTitle="OtherProofReadingDetails" prompt="Contains further information from the review process, especially comments received from third parties once the dataset has been published." sqref="A48:C48 D47:U47 V48:IU48"/>
    <dataValidation allowBlank="1" showInputMessage="1" showErrorMessage="1" promptTitle="CASNumber" prompt="do not change._x000a__x000a_The field is updated from the names list._x000a__x000a_The Chemical Abstract Number if the process output is a chemical, metal or another substance with a CAS-number." sqref="A26:C26 V26:IU26"/>
    <dataValidation allowBlank="1" showInputMessage="1" showErrorMessage="1" promptTitle="StartDate" prompt="Start date of the time period for which the dataset is valid, presented as_x000a_- a complete date (year-month-day)_x000a_- a year (0000) _x000a_- a year-month (0000-00)_x000a__x000a_Often the project start year is used here." sqref="A27:C27 V27:IU27"/>
    <dataValidation allowBlank="1" showInputMessage="1" showErrorMessage="1" promptTitle="EndDate" prompt="End date of the time period for which the dataset is valid, presented as_x000a_- a complete date (year-month-day)_x000a_- a year (0000) _x000a_- a year-month (0000-00)_x000a__x000a_Often the project end year is used here." sqref="A28:C28 V28:IU28"/>
    <dataValidation allowBlank="1" showInputMessage="1" showErrorMessage="1" prompt="This cell is automatically updated from the names List according to the index number in L1. It needs to be identical to the output product." sqref="D2:U5"/>
    <dataValidation allowBlank="1" showInputMessage="1" showErrorMessage="1" promptTitle="Copyright" prompt="Indicates whether or not a copyright exists._x000a_ '1' (Yes) or '0' (No) should be entered correspondingly." sqref="A41:XFD41"/>
    <dataValidation allowBlank="1" showInputMessage="1" showErrorMessage="1" promptTitle="Person" prompt="ID number of the person who generated the dataset. It must correspond to an ID number of a person listed in the sheet X-Person." sqref="A38:XFD38"/>
    <dataValidation allowBlank="1" showInputMessage="1" showErrorMessage="1" promptTitle="DataPublishedIN" prompt="Indicates whether and where the dataset has been published._x000a_The codes are:_x000a__x000a_0=Data as such not published (default)_x000a_1=The data of some unit processes or subsystems are published_x000a_2=Data has been published entirely in 'referenceToPublishedSource'._x000a_" sqref="A39:XFD39"/>
    <dataValidation allowBlank="1" showInputMessage="1" showErrorMessage="1" promptTitle="ReferenceToPublishedSource" prompt="ID number for the report in which the dataset is documented. It must correspond to an ID number of a source listed in X-Source." sqref="A40:XFD40"/>
    <dataValidation allowBlank="1" showInputMessage="1" showErrorMessage="1" promptTitle="Geography text" prompt="Text comprises additional aspects of the location, namely whether:_x000a_- certain areas are exempted from the location indicated_x000a_- data are only valid for certain regions within the location indicated_x000a_- some exchanges are extrapolated from other geog. areas" sqref="A31:XFD31"/>
    <dataValidation allowBlank="1" showInputMessage="1" showErrorMessage="1" promptTitle="Technology Text" prompt="Describes the technological properties of the unit process. If the process comprises several subprocesses, the corresponding technologies should be reported as well. Professional nomenclature should be used for the description. " sqref="A32:XFD32"/>
    <dataValidation allowBlank="1" showInputMessage="1" showErrorMessage="1" promptTitle="DataValidForEntirePeriod" prompt="Indicates whether or not the process data (elementary and intermediate product flows reported under flow data) are valid for the entire time period stated. If not, explanations may be given under 'OtherPeriodText'._x000a_1=Yes_x000a_2=No" sqref="A29:XFD29"/>
    <dataValidation allowBlank="1" showInputMessage="1" showErrorMessage="1" promptTitle="OtherPeriodText" prompt="Additional explanations concerning the temporal validity of the flow data reported. It may comprise information about:_x000a_- how strong the temporal correlation is for the unit process at issue _x000a_- why data is not valid for the entire period_x000a_- ..._x000a_" sqref="A30:XFD30"/>
    <dataValidation allowBlank="1" showInputMessage="1" showErrorMessage="1" promptTitle="Type" prompt="do not change._x000a__x000a_updated automaticaly from the names list._x000a__x000a_Indicates the kind of data that is represented by this dataset. The code is: _x000a_1=Unit process_x000a_5=Multioutput process." sqref="A6:XFD6"/>
    <dataValidation allowBlank="1" showInputMessage="1" showErrorMessage="1" promptTitle="energyValues" prompt="not used" sqref="A8:XFD8"/>
    <dataValidation allowBlank="1" showInputMessage="1" showErrorMessage="1" promptTitle="LanguageCode" prompt="2 letter ISO language codes are used. Default language is English. Lower case letters are used." sqref="A9:XFD9"/>
    <dataValidation allowBlank="1" showInputMessage="1" showErrorMessage="1" promptTitle="LocalLanguageCode" prompt="2 letter ISO language codes are used. Default localLanguage is German. Lower case letters are used." sqref="A10:XFD10"/>
    <dataValidation allowBlank="1" showInputMessage="1" showErrorMessage="1" promptTitle="Person" prompt="ID number of the person who prepared the dataset and entered the dataset into the database. It must correspond to an ID number of a person listed in the sheet X-Person." sqref="A11:XFD11"/>
    <dataValidation allowBlank="1" showInputMessage="1" showErrorMessage="1" promptTitle="DataSetRelatesToProduct" prompt="Indicates whether the dataset relates to a process/service or not._x000a_1=Yes" sqref="A13:XFD13"/>
    <dataValidation allowBlank="1" showInputMessage="1" showErrorMessage="1" promptTitle="IncludedProcesses" prompt="Contains a description of the (sub-)processes which are combined to form one unit process. As far as possible and feasible, data should be reported on the level of detail it has been received. " sqref="A14:XFD14"/>
    <dataValidation allowBlank="1" showInputMessage="1" showErrorMessage="1" promptTitle="Amount" prompt="Indicates the amount of reference flow (product/service, elementary flow, impact category). _x000a__x000a_Always 1." sqref="A15:XFD15"/>
    <dataValidation allowBlank="1" showInputMessage="1" showErrorMessage="1" promptTitle="GeneralComment" prompt="Free text for general information about the dataset. It may contain information about:_x000a_- the intended application of the dataset_x000a_- modelling choices (inclusions/exclusions, lifetime, capacity)_x000a_- information sources used_x000a_- data selection principles_x000a_" sqref="A18:XFD18"/>
    <dataValidation allowBlank="1" showInputMessage="1" showErrorMessage="1" promptTitle="Percent" prompt="Indicates the share in market supply in the geographical area of the production data considered for this assessment." sqref="A33:XFD33"/>
    <dataValidation allowBlank="1" showInputMessage="1" showErrorMessage="1" promptTitle="PageNumbers" prompt="Indicates the page numbers in the publication where the table with the unit process raw data, and the characterisation, damage or weighting factors of the impact category are documented._x000a__x000a_If the page is not known, indicate the Chapter or Header instead." sqref="A45:XFD45"/>
    <dataValidation allowBlank="1" showInputMessage="1" showErrorMessage="1" promptTitle="InfrastructureIncluded" prompt="Should always be 1._x000a__x000a_I.e. the dataset has to consider the infrastructure._x000a_" sqref="A19:XFD19"/>
    <dataValidation allowBlank="1" showInputMessage="1" showErrorMessage="1" promptTitle="StatisticalClassification" prompt="not used" sqref="A25:XFD25"/>
    <dataValidation allowBlank="1" showInputMessage="1" showErrorMessage="1" promptTitle="ProductionVolume" prompt="Indicates the market area consumption volume (NOT necessarily identical with the production volume) in the geographical area indicated of the product/service at issue. _x000a__x000a_The market volume should be given in absolute terms per year and in common units. " sqref="A34:XFD34"/>
    <dataValidation allowBlank="1" showInputMessage="1" showErrorMessage="1" promptTitle="Sampling Procedure" prompt="Indicates the sampling procedure applied for quantifying the exchanges. It should be reported whether the sampling procedure for particular elementary and intermediate product flows differ from the general procedure." sqref="A35:XFD35"/>
    <dataValidation allowBlank="1" showInputMessage="1" showErrorMessage="1" promptTitle="Extrapolations" prompt="Describes extrapolations of data from another time period, another geographical area or another technology and the way these extrapolations have been carried out." sqref="A36:XFD36"/>
    <dataValidation allowBlank="1" showInputMessage="1" showErrorMessage="1" promptTitle="AccessRestrictedTo" prompt="Indicates possible access restrictions for the dataset. _x000a_0=Public (Default)_x000a_1=ETH Domain_x000a_2=ecoinvent 2000_x000a_3=Institute_x000a_If access is restricted to a particular institute, 'companyCode' and 'countryCode' indicates the institute that has access to the data." sqref="A42:XFD42"/>
    <dataValidation allowBlank="1" showInputMessage="1" showErrorMessage="1" promptTitle="CompanyCode" prompt="Only required when AccessRestrictedTo=3,_x000a_otherwise it MUST be EMPTY._x000a__x000a_7 letter code with which organisations/institutes that co-operate within one of the database quality networks are characterised and identified. 'countryCode' is required additionally._x000a_" sqref="A43:XFD43"/>
    <dataValidation allowBlank="1" showInputMessage="1" showErrorMessage="1" promptTitle="CountryCode" prompt="Only required when AccessRestrictedTo=3,_x000a_otherwise it MUST be EMPTY._x000a__x000a_2 letter ISO-country codes are used to indicate the country where organisations/institutes are located which co-operate within one of the database quality networks" sqref="A44:XFD44"/>
    <dataValidation allowBlank="1" showInputMessage="1" showErrorMessage="1" promptTitle="Validator" prompt="Indicates the person who carried out the review. ID number must correspond to an ID number of a person listed in the respective dataset (X-Person)._x000a__x000a_DEFAULT value is empty_x000a__x000a_If no review is conducted, this value has to be identical to DataGenerator." sqref="A46:XFD46"/>
    <dataValidation allowBlank="1" showInputMessage="1" showErrorMessage="1" promptTitle="UncertaintyAdjustments" prompt="For datasets where the additional uncertainty from lacking representativeness has been included in the quantified uncertainty values ('minValue' and 'maxValue'), this field reports the original representativeness as well as the calculation procedure." sqref="A37:XFD37"/>
    <dataValidation allowBlank="1" showInputMessage="1" showErrorMessage="1" promptTitle="Version" prompt="The digits after the decimal point (e.g., 1.01, 1.02, etc.) are used for minor updates (corrected errors) within the period of two major updates (increase of the first digit from e.g. 1.xx to 2.00). The version number is placed manually." sqref="A7:XFD7"/>
  </dataValidations>
  <printOptions horizontalCentered="1" verticalCentered="1" gridLines="1"/>
  <pageMargins left="0.78740157480314965" right="0.55118110236220474" top="0.78740157480314965" bottom="0.78740157480314965" header="0.51181102362204722" footer="0.51181102362204722"/>
  <pageSetup paperSize="9" scale="89" fitToWidth="0" orientation="portrait" r:id="rId1"/>
  <headerFooter alignWithMargins="0">
    <oddHeader>&amp;C&amp;A&amp;R&amp;F</oddHeader>
    <oddFooter>&amp;LESU-services&amp;C&amp;D&amp;RSeite &amp;P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workbookViewId="0">
      <selection activeCell="C40" sqref="C40"/>
    </sheetView>
  </sheetViews>
  <sheetFormatPr defaultColWidth="8.85546875" defaultRowHeight="12"/>
  <cols>
    <col min="1" max="1" width="23.42578125" style="904" customWidth="1"/>
    <col min="2" max="2" width="5.140625" style="903" customWidth="1"/>
    <col min="3" max="3" width="27" style="901" customWidth="1"/>
    <col min="4" max="5" width="22" style="902" customWidth="1"/>
    <col min="6" max="16384" width="8.85546875" style="901"/>
  </cols>
  <sheetData>
    <row r="1" spans="1:7" s="920" customFormat="1">
      <c r="A1" s="910" t="s">
        <v>529</v>
      </c>
      <c r="B1" s="924" t="s">
        <v>511</v>
      </c>
      <c r="C1" s="923" t="s">
        <v>274</v>
      </c>
      <c r="D1" s="922"/>
      <c r="E1" s="921"/>
    </row>
    <row r="2" spans="1:7">
      <c r="A2" s="910" t="s">
        <v>275</v>
      </c>
      <c r="B2" s="909">
        <v>801</v>
      </c>
      <c r="C2" s="908" t="s">
        <v>276</v>
      </c>
      <c r="D2" s="919">
        <v>41</v>
      </c>
      <c r="E2" s="918">
        <v>42</v>
      </c>
    </row>
    <row r="3" spans="1:7">
      <c r="A3" s="910" t="s">
        <v>275</v>
      </c>
      <c r="B3" s="909">
        <v>802</v>
      </c>
      <c r="C3" s="908" t="s">
        <v>277</v>
      </c>
      <c r="D3" s="878">
        <v>3</v>
      </c>
      <c r="E3" s="907">
        <v>3</v>
      </c>
    </row>
    <row r="4" spans="1:7">
      <c r="A4" s="910" t="s">
        <v>275</v>
      </c>
      <c r="B4" s="909">
        <v>803</v>
      </c>
      <c r="C4" s="908" t="s">
        <v>234</v>
      </c>
      <c r="D4" s="878" t="s">
        <v>947</v>
      </c>
      <c r="E4" s="907" t="s">
        <v>947</v>
      </c>
    </row>
    <row r="5" spans="1:7">
      <c r="A5" s="910" t="s">
        <v>275</v>
      </c>
      <c r="B5" s="909">
        <v>1002</v>
      </c>
      <c r="C5" s="917" t="s">
        <v>278</v>
      </c>
      <c r="D5" s="916" t="s">
        <v>1952</v>
      </c>
      <c r="E5" s="915" t="s">
        <v>1951</v>
      </c>
      <c r="G5" s="901" t="s">
        <v>1946</v>
      </c>
    </row>
    <row r="6" spans="1:7" ht="36">
      <c r="A6" s="910" t="s">
        <v>275</v>
      </c>
      <c r="B6" s="909">
        <v>1003</v>
      </c>
      <c r="C6" s="916" t="s">
        <v>279</v>
      </c>
      <c r="D6" s="916" t="s">
        <v>1950</v>
      </c>
      <c r="E6" s="916" t="s">
        <v>1949</v>
      </c>
      <c r="G6" s="901" t="s">
        <v>1946</v>
      </c>
    </row>
    <row r="7" spans="1:7">
      <c r="A7" s="910" t="s">
        <v>275</v>
      </c>
      <c r="B7" s="909">
        <v>1004</v>
      </c>
      <c r="C7" s="917" t="s">
        <v>280</v>
      </c>
      <c r="D7" s="916">
        <v>2014</v>
      </c>
      <c r="E7" s="916">
        <v>2012</v>
      </c>
      <c r="G7" s="901" t="s">
        <v>1946</v>
      </c>
    </row>
    <row r="8" spans="1:7" ht="48">
      <c r="A8" s="910" t="s">
        <v>275</v>
      </c>
      <c r="B8" s="909">
        <v>1005</v>
      </c>
      <c r="C8" s="917" t="s">
        <v>281</v>
      </c>
      <c r="D8" s="916" t="s">
        <v>1948</v>
      </c>
      <c r="E8" s="915" t="s">
        <v>1947</v>
      </c>
      <c r="G8" s="901" t="s">
        <v>1946</v>
      </c>
    </row>
    <row r="9" spans="1:7">
      <c r="A9" s="910"/>
      <c r="B9" s="909">
        <v>1006</v>
      </c>
      <c r="C9" s="908" t="s">
        <v>248</v>
      </c>
      <c r="D9" s="914" t="s">
        <v>525</v>
      </c>
      <c r="E9" s="913" t="s">
        <v>525</v>
      </c>
    </row>
    <row r="10" spans="1:7">
      <c r="A10" s="910" t="s">
        <v>275</v>
      </c>
      <c r="B10" s="909">
        <v>1007</v>
      </c>
      <c r="C10" s="908" t="s">
        <v>282</v>
      </c>
      <c r="D10" s="878" t="s">
        <v>525</v>
      </c>
      <c r="E10" s="907" t="s">
        <v>525</v>
      </c>
    </row>
    <row r="11" spans="1:7">
      <c r="A11" s="910" t="s">
        <v>275</v>
      </c>
      <c r="B11" s="909">
        <v>1008</v>
      </c>
      <c r="C11" s="908" t="s">
        <v>283</v>
      </c>
      <c r="D11" s="878" t="s">
        <v>948</v>
      </c>
      <c r="E11" s="907" t="s">
        <v>948</v>
      </c>
    </row>
    <row r="12" spans="1:7">
      <c r="A12" s="910" t="s">
        <v>275</v>
      </c>
      <c r="B12" s="909">
        <v>1009</v>
      </c>
      <c r="C12" s="908" t="s">
        <v>284</v>
      </c>
      <c r="D12" s="878" t="s">
        <v>949</v>
      </c>
      <c r="E12" s="907" t="s">
        <v>949</v>
      </c>
    </row>
    <row r="13" spans="1:7">
      <c r="A13" s="910" t="s">
        <v>275</v>
      </c>
      <c r="B13" s="909">
        <v>1010</v>
      </c>
      <c r="C13" s="908" t="s">
        <v>285</v>
      </c>
      <c r="D13" s="878" t="s">
        <v>946</v>
      </c>
      <c r="E13" s="907" t="s">
        <v>299</v>
      </c>
    </row>
    <row r="14" spans="1:7">
      <c r="A14" s="910" t="s">
        <v>275</v>
      </c>
      <c r="B14" s="909">
        <v>1011</v>
      </c>
      <c r="C14" s="908" t="s">
        <v>286</v>
      </c>
      <c r="D14" s="878" t="s">
        <v>402</v>
      </c>
      <c r="E14" s="907" t="s">
        <v>402</v>
      </c>
    </row>
    <row r="15" spans="1:7" ht="24">
      <c r="A15" s="910" t="s">
        <v>275</v>
      </c>
      <c r="B15" s="909">
        <v>1012</v>
      </c>
      <c r="C15" s="908" t="s">
        <v>287</v>
      </c>
      <c r="D15" s="912">
        <v>174</v>
      </c>
      <c r="E15" s="912" t="s">
        <v>1945</v>
      </c>
      <c r="G15" s="911" t="s">
        <v>1944</v>
      </c>
    </row>
    <row r="16" spans="1:7">
      <c r="A16" s="910" t="s">
        <v>275</v>
      </c>
      <c r="B16" s="909">
        <v>1013</v>
      </c>
      <c r="C16" s="908" t="s">
        <v>288</v>
      </c>
      <c r="D16" s="878" t="s">
        <v>402</v>
      </c>
      <c r="E16" s="907" t="s">
        <v>402</v>
      </c>
    </row>
    <row r="17" spans="4:5">
      <c r="D17" s="906"/>
      <c r="E17" s="905"/>
    </row>
  </sheetData>
  <dataValidations count="3">
    <dataValidation allowBlank="1" showInputMessage="1" showErrorMessage="1" promptTitle="Sources Number" prompt="It is used to identify the source within one dataset. The numbers are used in X-Process &quot;ReferenceToPublishedSource&quot;." sqref="A2:XFD2"/>
    <dataValidation allowBlank="1" showInputMessage="1" showErrorMessage="1" promptTitle="SourceType" prompt="The codes are: _x000a_0=Undefined (default)_x000a_1=Article_x000a_2=Chapters in anthology_x000a_3=Seperate publication" sqref="A3:XFD3"/>
    <dataValidation allowBlank="1" showInputMessage="1" showErrorMessage="1" promptTitle="Sources Text" prompt="Free text for additional description of the source. It may contain a brief summary of the publication and the kind of medium used (e.g. CD-ROM, hard copy)" sqref="A4:XFD4"/>
  </dataValidations>
  <printOptions horizontalCentered="1" verticalCentered="1"/>
  <pageMargins left="0.78740157480314965" right="0.55118110236220474" top="0.9055118110236221" bottom="1.0629921259842521" header="0.51181102362204722" footer="0.51181102362204722"/>
  <pageSetup orientation="landscape" r:id="rId1"/>
  <headerFooter alignWithMargins="0">
    <oddHeader>&amp;A</oddHeader>
    <oddFooter>Erstellt von Niels Jungbluth &amp;D&amp;RSeite &amp;P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zoomScale="75" zoomScaleNormal="75" workbookViewId="0">
      <selection activeCell="C40" sqref="C40"/>
    </sheetView>
  </sheetViews>
  <sheetFormatPr defaultColWidth="8.85546875" defaultRowHeight="12"/>
  <cols>
    <col min="1" max="1" width="7.42578125" style="904" bestFit="1" customWidth="1"/>
    <col min="2" max="2" width="5.140625" style="903" customWidth="1"/>
    <col min="3" max="3" width="13.28515625" style="901" bestFit="1" customWidth="1"/>
    <col min="4" max="4" width="23.85546875" style="925" customWidth="1"/>
    <col min="5" max="5" width="26" style="901" bestFit="1" customWidth="1"/>
    <col min="6" max="7" width="27.5703125" style="925" customWidth="1"/>
    <col min="8" max="16384" width="8.85546875" style="901"/>
  </cols>
  <sheetData>
    <row r="1" spans="1:7" s="920" customFormat="1">
      <c r="A1" s="930" t="s">
        <v>529</v>
      </c>
      <c r="B1" s="940" t="s">
        <v>511</v>
      </c>
      <c r="C1" s="939" t="s">
        <v>274</v>
      </c>
      <c r="D1" s="938"/>
      <c r="F1" s="938"/>
      <c r="G1" s="938"/>
    </row>
    <row r="2" spans="1:7">
      <c r="A2" s="930" t="s">
        <v>289</v>
      </c>
      <c r="B2" s="929">
        <v>5800</v>
      </c>
      <c r="C2" s="928" t="s">
        <v>276</v>
      </c>
      <c r="D2" s="936">
        <v>43</v>
      </c>
      <c r="E2" s="937">
        <v>42</v>
      </c>
      <c r="F2" s="936">
        <v>45</v>
      </c>
      <c r="G2" s="936">
        <v>47</v>
      </c>
    </row>
    <row r="3" spans="1:7">
      <c r="A3" s="930" t="s">
        <v>289</v>
      </c>
      <c r="B3" s="935">
        <v>5802</v>
      </c>
      <c r="C3" s="934" t="s">
        <v>516</v>
      </c>
      <c r="D3" s="932" t="s">
        <v>1961</v>
      </c>
      <c r="E3" s="933" t="s">
        <v>940</v>
      </c>
      <c r="F3" s="933" t="s">
        <v>936</v>
      </c>
      <c r="G3" s="933" t="s">
        <v>1960</v>
      </c>
    </row>
    <row r="4" spans="1:7" ht="24">
      <c r="A4" s="930" t="s">
        <v>289</v>
      </c>
      <c r="B4" s="935">
        <v>5803</v>
      </c>
      <c r="C4" s="934" t="s">
        <v>292</v>
      </c>
      <c r="D4" s="932" t="s">
        <v>293</v>
      </c>
      <c r="E4" s="933" t="s">
        <v>293</v>
      </c>
      <c r="F4" s="932" t="s">
        <v>293</v>
      </c>
      <c r="G4" s="932" t="s">
        <v>293</v>
      </c>
    </row>
    <row r="5" spans="1:7">
      <c r="A5" s="930" t="s">
        <v>289</v>
      </c>
      <c r="B5" s="929">
        <v>5804</v>
      </c>
      <c r="C5" s="928" t="s">
        <v>294</v>
      </c>
      <c r="D5" s="926" t="s">
        <v>1959</v>
      </c>
      <c r="E5" s="927" t="s">
        <v>941</v>
      </c>
      <c r="F5" s="926" t="s">
        <v>1958</v>
      </c>
      <c r="G5" s="926" t="s">
        <v>1957</v>
      </c>
    </row>
    <row r="6" spans="1:7">
      <c r="A6" s="930" t="s">
        <v>289</v>
      </c>
      <c r="B6" s="929">
        <v>5805</v>
      </c>
      <c r="C6" s="928" t="s">
        <v>295</v>
      </c>
      <c r="D6" s="926" t="s">
        <v>354</v>
      </c>
      <c r="E6" s="927" t="s">
        <v>1956</v>
      </c>
      <c r="F6" s="926" t="s">
        <v>354</v>
      </c>
      <c r="G6" s="926" t="s">
        <v>354</v>
      </c>
    </row>
    <row r="7" spans="1:7" ht="12.75">
      <c r="A7" s="930" t="s">
        <v>289</v>
      </c>
      <c r="B7" s="929">
        <v>5806</v>
      </c>
      <c r="C7" s="928" t="s">
        <v>296</v>
      </c>
      <c r="D7" s="931" t="s">
        <v>1955</v>
      </c>
      <c r="E7" s="931" t="s">
        <v>942</v>
      </c>
      <c r="F7" s="931" t="s">
        <v>939</v>
      </c>
      <c r="G7" s="931" t="s">
        <v>1954</v>
      </c>
    </row>
    <row r="8" spans="1:7">
      <c r="A8" s="930" t="s">
        <v>289</v>
      </c>
      <c r="B8" s="929">
        <v>5807</v>
      </c>
      <c r="C8" s="928" t="s">
        <v>298</v>
      </c>
      <c r="D8" s="926" t="s">
        <v>1953</v>
      </c>
      <c r="E8" s="927" t="s">
        <v>1953</v>
      </c>
      <c r="F8" s="926" t="s">
        <v>1953</v>
      </c>
      <c r="G8" s="926" t="s">
        <v>1953</v>
      </c>
    </row>
    <row r="9" spans="1:7">
      <c r="A9" s="930" t="s">
        <v>289</v>
      </c>
      <c r="B9" s="929">
        <v>5808</v>
      </c>
      <c r="C9" s="928" t="s">
        <v>247</v>
      </c>
      <c r="D9" s="926" t="s">
        <v>393</v>
      </c>
      <c r="E9" s="927" t="s">
        <v>393</v>
      </c>
      <c r="F9" s="926" t="s">
        <v>393</v>
      </c>
      <c r="G9" s="926" t="s">
        <v>393</v>
      </c>
    </row>
  </sheetData>
  <dataValidations count="1">
    <dataValidation allowBlank="1" showInputMessage="1" showErrorMessage="1" promptTitle="Person Number" prompt="It is used to identify persons cited within one dataset. The numbers are used in X-Process &quot;DataEntryBy&quot; and &quot;DataGenerator&quot;." sqref="A2:D2 F2:IS2"/>
  </dataValidations>
  <hyperlinks>
    <hyperlink ref="D7" r:id="rId1" display="buesser@esu-services.ch"/>
    <hyperlink ref="E7" r:id="rId2" display="frischknecht@esu-services.ch"/>
    <hyperlink ref="F7" r:id="rId3" display="itten@esu-services.ch"/>
    <hyperlink ref="G7" r:id="rId4" display="wyss@esu-services.ch"/>
  </hyperlinks>
  <printOptions horizontalCentered="1" verticalCentered="1"/>
  <pageMargins left="0.78740157480314965" right="0.55118110236220474" top="0.78" bottom="1.04" header="0.51181102362204722" footer="0.51181102362204722"/>
  <pageSetup orientation="landscape" r:id="rId5"/>
  <headerFooter alignWithMargins="0">
    <oddHeader>&amp;A</oddHeader>
    <oddFooter>Erstellt von Niels Jungbluth &amp;D&amp;RSeite &amp;P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workbookViewId="0">
      <selection activeCell="K41" sqref="K41"/>
    </sheetView>
  </sheetViews>
  <sheetFormatPr defaultRowHeight="1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AA45"/>
  <sheetViews>
    <sheetView zoomScale="70" zoomScaleNormal="70" workbookViewId="0">
      <selection activeCell="J46" sqref="J46"/>
    </sheetView>
  </sheetViews>
  <sheetFormatPr defaultColWidth="11.42578125" defaultRowHeight="12" outlineLevelRow="1" outlineLevelCol="1"/>
  <cols>
    <col min="1" max="1" width="9.42578125" style="7" customWidth="1"/>
    <col min="2" max="2" width="12.140625" style="158" bestFit="1" customWidth="1"/>
    <col min="3" max="3" width="3.7109375" style="159" hidden="1" customWidth="1"/>
    <col min="4" max="4" width="3.140625" style="7" hidden="1" customWidth="1"/>
    <col min="5" max="5" width="2.7109375" style="7" hidden="1" customWidth="1"/>
    <col min="6" max="6" width="39.28515625" style="8" customWidth="1"/>
    <col min="7" max="7" width="6" style="7" customWidth="1"/>
    <col min="8" max="8" width="5.7109375" style="7" hidden="1" customWidth="1" outlineLevel="1"/>
    <col min="9" max="9" width="19.42578125" style="7" hidden="1" customWidth="1" outlineLevel="1"/>
    <col min="10" max="10" width="4.140625" style="7" bestFit="1" customWidth="1" collapsed="1"/>
    <col min="11" max="11" width="5.140625" style="7" customWidth="1"/>
    <col min="12" max="12" width="15.5703125" style="7" customWidth="1"/>
    <col min="13" max="13" width="4.42578125" style="32" hidden="1" customWidth="1" outlineLevel="1"/>
    <col min="14" max="14" width="6.85546875" style="32" hidden="1" customWidth="1" outlineLevel="1"/>
    <col min="15" max="15" width="43.7109375" style="33" hidden="1" customWidth="1" outlineLevel="1"/>
    <col min="16" max="16" width="15" style="7" customWidth="1" collapsed="1"/>
    <col min="17" max="17" width="2.42578125" style="32" hidden="1" customWidth="1" outlineLevel="1"/>
    <col min="18" max="18" width="4.28515625" style="32" hidden="1" customWidth="1" outlineLevel="1"/>
    <col min="19" max="19" width="33.85546875" style="33" hidden="1" customWidth="1" outlineLevel="1"/>
    <col min="20" max="20" width="15" style="7" customWidth="1" collapsed="1"/>
    <col min="21" max="21" width="2.42578125" style="32" hidden="1" customWidth="1" outlineLevel="1"/>
    <col min="22" max="22" width="4.28515625" style="32" hidden="1" customWidth="1" outlineLevel="1"/>
    <col min="23" max="23" width="33.85546875" style="33" hidden="1" customWidth="1" outlineLevel="1"/>
    <col min="24" max="24" width="15" style="7" customWidth="1" collapsed="1"/>
    <col min="25" max="25" width="2.42578125" style="32" customWidth="1" outlineLevel="1"/>
    <col min="26" max="26" width="6.5703125" style="32" customWidth="1" outlineLevel="1"/>
    <col min="27" max="27" width="33.85546875" style="33" customWidth="1" outlineLevel="1"/>
    <col min="28" max="16384" width="11.42578125" style="7"/>
  </cols>
  <sheetData>
    <row r="1" spans="1:27">
      <c r="A1" s="36"/>
      <c r="B1" s="34"/>
      <c r="C1" s="35"/>
      <c r="D1" s="36"/>
      <c r="E1" s="36"/>
      <c r="F1" s="37" t="s">
        <v>510</v>
      </c>
      <c r="G1" s="36"/>
      <c r="H1" s="36"/>
      <c r="I1" s="36"/>
      <c r="J1" s="36"/>
      <c r="K1" s="36"/>
      <c r="L1" s="146">
        <v>1709</v>
      </c>
      <c r="M1" s="22"/>
      <c r="N1" s="22"/>
      <c r="O1" s="22"/>
      <c r="P1" s="146" t="s">
        <v>754</v>
      </c>
      <c r="Q1" s="22"/>
      <c r="R1" s="22"/>
      <c r="S1" s="22"/>
      <c r="T1" s="615" t="s">
        <v>868</v>
      </c>
      <c r="U1" s="22"/>
      <c r="V1" s="22"/>
      <c r="W1" s="22"/>
      <c r="X1" s="615" t="s">
        <v>869</v>
      </c>
      <c r="Y1" s="22"/>
      <c r="Z1" s="22"/>
      <c r="AA1" s="22"/>
    </row>
    <row r="2" spans="1:27">
      <c r="A2" s="36"/>
      <c r="B2" s="147"/>
      <c r="C2" s="35" t="s">
        <v>511</v>
      </c>
      <c r="D2" s="147">
        <v>3503</v>
      </c>
      <c r="E2" s="147">
        <v>3504</v>
      </c>
      <c r="F2" s="147">
        <v>3702</v>
      </c>
      <c r="G2" s="147">
        <v>3703</v>
      </c>
      <c r="H2" s="147">
        <v>3506</v>
      </c>
      <c r="I2" s="147">
        <v>3507</v>
      </c>
      <c r="J2" s="147">
        <v>3508</v>
      </c>
      <c r="K2" s="147">
        <v>3706</v>
      </c>
      <c r="L2" s="147">
        <v>3707</v>
      </c>
      <c r="M2" s="23">
        <v>3708</v>
      </c>
      <c r="N2" s="23">
        <v>3709</v>
      </c>
      <c r="O2" s="24">
        <v>3792</v>
      </c>
      <c r="P2" s="147">
        <v>3707</v>
      </c>
      <c r="Q2" s="23">
        <v>3708</v>
      </c>
      <c r="R2" s="23">
        <v>3709</v>
      </c>
      <c r="S2" s="24">
        <v>3792</v>
      </c>
      <c r="T2" s="147">
        <v>3707</v>
      </c>
      <c r="U2" s="23">
        <v>3708</v>
      </c>
      <c r="V2" s="23">
        <v>3709</v>
      </c>
      <c r="W2" s="24">
        <v>3792</v>
      </c>
      <c r="X2" s="147">
        <v>3707</v>
      </c>
      <c r="Y2" s="23">
        <v>3708</v>
      </c>
      <c r="Z2" s="23">
        <v>3709</v>
      </c>
      <c r="AA2" s="24">
        <v>3792</v>
      </c>
    </row>
    <row r="3" spans="1:27" ht="53.25" customHeight="1">
      <c r="A3" s="36" t="s">
        <v>398</v>
      </c>
      <c r="B3" s="166"/>
      <c r="C3" s="35">
        <v>401</v>
      </c>
      <c r="D3" s="167" t="s">
        <v>514</v>
      </c>
      <c r="E3" s="167" t="s">
        <v>515</v>
      </c>
      <c r="F3" s="132" t="s">
        <v>516</v>
      </c>
      <c r="G3" s="41" t="s">
        <v>517</v>
      </c>
      <c r="H3" s="41" t="s">
        <v>518</v>
      </c>
      <c r="I3" s="41" t="s">
        <v>519</v>
      </c>
      <c r="J3" s="41" t="s">
        <v>520</v>
      </c>
      <c r="K3" s="41" t="s">
        <v>394</v>
      </c>
      <c r="L3" s="178" t="s">
        <v>1189</v>
      </c>
      <c r="M3" s="25" t="s">
        <v>265</v>
      </c>
      <c r="N3" s="25" t="s">
        <v>266</v>
      </c>
      <c r="O3" s="128" t="s">
        <v>548</v>
      </c>
      <c r="P3" s="178" t="s">
        <v>1189</v>
      </c>
      <c r="Q3" s="25" t="s">
        <v>265</v>
      </c>
      <c r="R3" s="25" t="s">
        <v>266</v>
      </c>
      <c r="S3" s="128" t="s">
        <v>548</v>
      </c>
      <c r="T3" s="178" t="s">
        <v>1189</v>
      </c>
      <c r="U3" s="25" t="s">
        <v>265</v>
      </c>
      <c r="V3" s="25" t="s">
        <v>266</v>
      </c>
      <c r="W3" s="128" t="s">
        <v>548</v>
      </c>
      <c r="X3" s="178" t="s">
        <v>1189</v>
      </c>
      <c r="Y3" s="25" t="s">
        <v>265</v>
      </c>
      <c r="Z3" s="25" t="s">
        <v>266</v>
      </c>
      <c r="AA3" s="128" t="s">
        <v>548</v>
      </c>
    </row>
    <row r="4" spans="1:27" ht="12.75" customHeight="1">
      <c r="A4" s="36"/>
      <c r="B4" s="166"/>
      <c r="C4" s="35">
        <v>662</v>
      </c>
      <c r="D4" s="9"/>
      <c r="E4" s="9"/>
      <c r="F4" s="132" t="s">
        <v>517</v>
      </c>
      <c r="G4" s="132"/>
      <c r="H4" s="132"/>
      <c r="I4" s="132"/>
      <c r="J4" s="132"/>
      <c r="K4" s="132"/>
      <c r="L4" s="178" t="s">
        <v>521</v>
      </c>
      <c r="M4" s="129"/>
      <c r="N4" s="129"/>
      <c r="O4" s="130"/>
      <c r="P4" s="178" t="s">
        <v>1105</v>
      </c>
      <c r="Q4" s="129"/>
      <c r="R4" s="129"/>
      <c r="S4" s="130"/>
      <c r="T4" s="178" t="s">
        <v>465</v>
      </c>
      <c r="U4" s="129"/>
      <c r="V4" s="129"/>
      <c r="W4" s="130"/>
      <c r="X4" s="178" t="s">
        <v>956</v>
      </c>
      <c r="Y4" s="129"/>
      <c r="Z4" s="129"/>
      <c r="AA4" s="130"/>
    </row>
    <row r="5" spans="1:27">
      <c r="A5" s="36"/>
      <c r="B5" s="166"/>
      <c r="C5" s="35">
        <v>493</v>
      </c>
      <c r="D5" s="9"/>
      <c r="E5" s="9"/>
      <c r="F5" s="132" t="s">
        <v>520</v>
      </c>
      <c r="G5" s="132"/>
      <c r="H5" s="132"/>
      <c r="I5" s="132"/>
      <c r="J5" s="132"/>
      <c r="K5" s="132"/>
      <c r="L5" s="178">
        <v>0</v>
      </c>
      <c r="M5" s="129"/>
      <c r="N5" s="129"/>
      <c r="O5" s="130"/>
      <c r="P5" s="178">
        <v>0</v>
      </c>
      <c r="Q5" s="129"/>
      <c r="R5" s="129"/>
      <c r="S5" s="130"/>
      <c r="T5" s="178">
        <v>0</v>
      </c>
      <c r="U5" s="129"/>
      <c r="V5" s="129"/>
      <c r="W5" s="130"/>
      <c r="X5" s="178">
        <v>0</v>
      </c>
      <c r="Y5" s="129"/>
      <c r="Z5" s="129"/>
      <c r="AA5" s="130"/>
    </row>
    <row r="6" spans="1:27" ht="12.75" customHeight="1">
      <c r="A6" s="36"/>
      <c r="B6" s="166"/>
      <c r="C6" s="35">
        <v>403</v>
      </c>
      <c r="D6" s="9"/>
      <c r="E6" s="9"/>
      <c r="F6" s="132" t="s">
        <v>394</v>
      </c>
      <c r="G6" s="352"/>
      <c r="H6" s="132"/>
      <c r="I6" s="132"/>
      <c r="J6" s="132"/>
      <c r="K6" s="132"/>
      <c r="L6" s="178" t="s">
        <v>395</v>
      </c>
      <c r="M6" s="129"/>
      <c r="N6" s="129"/>
      <c r="O6" s="130"/>
      <c r="P6" s="178" t="s">
        <v>395</v>
      </c>
      <c r="Q6" s="129"/>
      <c r="R6" s="129"/>
      <c r="S6" s="130"/>
      <c r="T6" s="178" t="s">
        <v>395</v>
      </c>
      <c r="U6" s="129"/>
      <c r="V6" s="129"/>
      <c r="W6" s="130"/>
      <c r="X6" s="178" t="s">
        <v>395</v>
      </c>
      <c r="Y6" s="129"/>
      <c r="Z6" s="129"/>
      <c r="AA6" s="130"/>
    </row>
    <row r="7" spans="1:27" ht="24">
      <c r="A7" s="8">
        <v>1709</v>
      </c>
      <c r="B7" s="168" t="s">
        <v>523</v>
      </c>
      <c r="C7" s="169"/>
      <c r="D7" s="11" t="s">
        <v>402</v>
      </c>
      <c r="E7" s="170">
        <v>0</v>
      </c>
      <c r="F7" s="145" t="s">
        <v>1189</v>
      </c>
      <c r="G7" s="16" t="s">
        <v>521</v>
      </c>
      <c r="H7" s="14" t="s">
        <v>402</v>
      </c>
      <c r="I7" s="14" t="s">
        <v>402</v>
      </c>
      <c r="J7" s="15">
        <v>0</v>
      </c>
      <c r="K7" s="16" t="s">
        <v>395</v>
      </c>
      <c r="L7" s="606">
        <v>1</v>
      </c>
      <c r="M7" s="29"/>
      <c r="N7" s="1"/>
      <c r="O7" s="31"/>
      <c r="P7" s="606">
        <v>0</v>
      </c>
      <c r="Q7" s="29"/>
      <c r="R7" s="1"/>
      <c r="S7" s="31"/>
      <c r="T7" s="606">
        <v>0</v>
      </c>
      <c r="U7" s="29"/>
      <c r="V7" s="1"/>
      <c r="W7" s="31"/>
      <c r="X7" s="606">
        <v>0</v>
      </c>
      <c r="Y7" s="29"/>
      <c r="Z7" s="1"/>
      <c r="AA7" s="31"/>
    </row>
    <row r="8" spans="1:27" ht="24">
      <c r="A8" s="471" t="s">
        <v>754</v>
      </c>
      <c r="B8" s="168" t="s">
        <v>523</v>
      </c>
      <c r="C8" s="169"/>
      <c r="D8" s="11" t="s">
        <v>402</v>
      </c>
      <c r="E8" s="170">
        <v>0</v>
      </c>
      <c r="F8" s="145" t="s">
        <v>1189</v>
      </c>
      <c r="G8" s="16" t="s">
        <v>1105</v>
      </c>
      <c r="H8" s="14" t="s">
        <v>402</v>
      </c>
      <c r="I8" s="14" t="s">
        <v>402</v>
      </c>
      <c r="J8" s="15">
        <v>0</v>
      </c>
      <c r="K8" s="16" t="s">
        <v>395</v>
      </c>
      <c r="L8" s="606">
        <v>0</v>
      </c>
      <c r="M8" s="29"/>
      <c r="N8" s="1"/>
      <c r="O8" s="31"/>
      <c r="P8" s="606">
        <v>1</v>
      </c>
      <c r="Q8" s="29"/>
      <c r="R8" s="1"/>
      <c r="S8" s="31"/>
      <c r="T8" s="606">
        <v>0</v>
      </c>
      <c r="U8" s="29"/>
      <c r="V8" s="1"/>
      <c r="W8" s="31"/>
      <c r="X8" s="606">
        <v>0</v>
      </c>
      <c r="Y8" s="29"/>
      <c r="Z8" s="1"/>
      <c r="AA8" s="31"/>
    </row>
    <row r="9" spans="1:27" ht="24">
      <c r="A9" s="471" t="s">
        <v>868</v>
      </c>
      <c r="B9" s="168" t="s">
        <v>523</v>
      </c>
      <c r="C9" s="169"/>
      <c r="D9" s="11" t="s">
        <v>402</v>
      </c>
      <c r="E9" s="170">
        <v>0</v>
      </c>
      <c r="F9" s="145" t="s">
        <v>1189</v>
      </c>
      <c r="G9" s="16" t="s">
        <v>465</v>
      </c>
      <c r="H9" s="14" t="s">
        <v>402</v>
      </c>
      <c r="I9" s="14" t="s">
        <v>402</v>
      </c>
      <c r="J9" s="15">
        <v>0</v>
      </c>
      <c r="K9" s="16" t="s">
        <v>395</v>
      </c>
      <c r="L9" s="606">
        <v>0</v>
      </c>
      <c r="M9" s="29"/>
      <c r="N9" s="1"/>
      <c r="O9" s="31"/>
      <c r="P9" s="606">
        <v>0</v>
      </c>
      <c r="Q9" s="29"/>
      <c r="R9" s="1"/>
      <c r="S9" s="31"/>
      <c r="T9" s="606">
        <v>1</v>
      </c>
      <c r="U9" s="29"/>
      <c r="V9" s="1"/>
      <c r="W9" s="31"/>
      <c r="X9" s="606">
        <v>0</v>
      </c>
      <c r="Y9" s="29"/>
      <c r="Z9" s="1"/>
      <c r="AA9" s="31"/>
    </row>
    <row r="10" spans="1:27" ht="24">
      <c r="A10" s="471" t="s">
        <v>869</v>
      </c>
      <c r="B10" s="168" t="s">
        <v>523</v>
      </c>
      <c r="C10" s="169"/>
      <c r="D10" s="11" t="s">
        <v>402</v>
      </c>
      <c r="E10" s="170">
        <v>0</v>
      </c>
      <c r="F10" s="145" t="s">
        <v>1189</v>
      </c>
      <c r="G10" s="16" t="s">
        <v>956</v>
      </c>
      <c r="H10" s="14" t="s">
        <v>402</v>
      </c>
      <c r="I10" s="14" t="s">
        <v>402</v>
      </c>
      <c r="J10" s="15">
        <v>0</v>
      </c>
      <c r="K10" s="16" t="s">
        <v>395</v>
      </c>
      <c r="L10" s="606">
        <v>0</v>
      </c>
      <c r="M10" s="29"/>
      <c r="N10" s="1"/>
      <c r="O10" s="31"/>
      <c r="P10" s="606">
        <v>0</v>
      </c>
      <c r="Q10" s="29"/>
      <c r="R10" s="1"/>
      <c r="S10" s="31"/>
      <c r="T10" s="606">
        <v>0</v>
      </c>
      <c r="U10" s="29"/>
      <c r="V10" s="1"/>
      <c r="W10" s="31"/>
      <c r="X10" s="606">
        <v>1</v>
      </c>
      <c r="Y10" s="29"/>
      <c r="Z10" s="1"/>
      <c r="AA10" s="31"/>
    </row>
    <row r="11" spans="1:27" ht="12.75">
      <c r="A11" s="3">
        <v>1620</v>
      </c>
      <c r="B11" s="168" t="s">
        <v>524</v>
      </c>
      <c r="C11" s="169" t="s">
        <v>525</v>
      </c>
      <c r="D11" s="50" t="s">
        <v>526</v>
      </c>
      <c r="E11" s="10" t="s">
        <v>402</v>
      </c>
      <c r="F11" s="144" t="s">
        <v>1132</v>
      </c>
      <c r="G11" s="125" t="s">
        <v>578</v>
      </c>
      <c r="H11" s="164" t="s">
        <v>402</v>
      </c>
      <c r="I11" s="123" t="s">
        <v>402</v>
      </c>
      <c r="J11" s="124">
        <v>0</v>
      </c>
      <c r="K11" s="125" t="s">
        <v>395</v>
      </c>
      <c r="L11" s="171">
        <v>1.1299999999999999</v>
      </c>
      <c r="M11" s="29">
        <v>1</v>
      </c>
      <c r="N11" s="1">
        <v>1.1030580160363783</v>
      </c>
      <c r="O11" s="31" t="s">
        <v>1190</v>
      </c>
      <c r="P11" s="171">
        <v>0</v>
      </c>
      <c r="Q11" s="29">
        <v>1</v>
      </c>
      <c r="R11" s="1">
        <v>1.1030580160363783</v>
      </c>
      <c r="S11" s="31" t="s">
        <v>1190</v>
      </c>
      <c r="T11" s="171">
        <v>0</v>
      </c>
      <c r="U11" s="29">
        <v>1</v>
      </c>
      <c r="V11" s="1">
        <v>1.1030580160363783</v>
      </c>
      <c r="W11" s="31" t="s">
        <v>1190</v>
      </c>
      <c r="X11" s="171">
        <v>0</v>
      </c>
      <c r="Y11" s="29">
        <v>1</v>
      </c>
      <c r="Z11" s="1">
        <v>1.1030580160363783</v>
      </c>
      <c r="AA11" s="31" t="s">
        <v>1190</v>
      </c>
    </row>
    <row r="12" spans="1:27" ht="12.75" outlineLevel="1">
      <c r="A12" s="3" t="s">
        <v>751</v>
      </c>
      <c r="B12" s="168"/>
      <c r="C12" s="169" t="s">
        <v>525</v>
      </c>
      <c r="D12" s="50" t="s">
        <v>526</v>
      </c>
      <c r="E12" s="10" t="s">
        <v>402</v>
      </c>
      <c r="F12" s="144" t="s">
        <v>1132</v>
      </c>
      <c r="G12" s="125" t="s">
        <v>1105</v>
      </c>
      <c r="H12" s="164" t="s">
        <v>402</v>
      </c>
      <c r="I12" s="123" t="s">
        <v>402</v>
      </c>
      <c r="J12" s="124">
        <v>0</v>
      </c>
      <c r="K12" s="125" t="s">
        <v>395</v>
      </c>
      <c r="L12" s="171">
        <v>0</v>
      </c>
      <c r="M12" s="29">
        <v>1</v>
      </c>
      <c r="N12" s="1">
        <v>1.1030580160363783</v>
      </c>
      <c r="O12" s="31" t="s">
        <v>1190</v>
      </c>
      <c r="P12" s="171">
        <v>1.1299999999999999</v>
      </c>
      <c r="Q12" s="29">
        <v>1</v>
      </c>
      <c r="R12" s="1">
        <v>1.1030580160363783</v>
      </c>
      <c r="S12" s="31" t="s">
        <v>1190</v>
      </c>
      <c r="T12" s="171">
        <v>0</v>
      </c>
      <c r="U12" s="29">
        <v>1</v>
      </c>
      <c r="V12" s="1">
        <v>1.1030580160363783</v>
      </c>
      <c r="W12" s="31" t="s">
        <v>1190</v>
      </c>
      <c r="X12" s="171">
        <v>0</v>
      </c>
      <c r="Y12" s="29">
        <v>1</v>
      </c>
      <c r="Z12" s="1">
        <v>1.1030580160363783</v>
      </c>
      <c r="AA12" s="31" t="s">
        <v>1190</v>
      </c>
    </row>
    <row r="13" spans="1:27" ht="12.75">
      <c r="A13" s="3" t="s">
        <v>864</v>
      </c>
      <c r="B13" s="168"/>
      <c r="C13" s="169" t="s">
        <v>525</v>
      </c>
      <c r="D13" s="50" t="s">
        <v>526</v>
      </c>
      <c r="E13" s="10" t="s">
        <v>402</v>
      </c>
      <c r="F13" s="144" t="s">
        <v>1132</v>
      </c>
      <c r="G13" s="125" t="s">
        <v>465</v>
      </c>
      <c r="H13" s="164" t="s">
        <v>402</v>
      </c>
      <c r="I13" s="123" t="s">
        <v>402</v>
      </c>
      <c r="J13" s="124">
        <v>0</v>
      </c>
      <c r="K13" s="125" t="s">
        <v>395</v>
      </c>
      <c r="L13" s="171">
        <v>0</v>
      </c>
      <c r="M13" s="29">
        <v>1</v>
      </c>
      <c r="N13" s="1">
        <v>1.1030580160363783</v>
      </c>
      <c r="O13" s="31" t="s">
        <v>1190</v>
      </c>
      <c r="P13" s="171">
        <v>0</v>
      </c>
      <c r="Q13" s="29">
        <v>1</v>
      </c>
      <c r="R13" s="1">
        <v>1.1030580160363783</v>
      </c>
      <c r="S13" s="31" t="s">
        <v>1190</v>
      </c>
      <c r="T13" s="171">
        <v>1.1299999999999999</v>
      </c>
      <c r="U13" s="29">
        <v>1</v>
      </c>
      <c r="V13" s="1">
        <v>1.1030580160363783</v>
      </c>
      <c r="W13" s="31" t="s">
        <v>1190</v>
      </c>
      <c r="X13" s="171">
        <v>0</v>
      </c>
      <c r="Y13" s="29">
        <v>1</v>
      </c>
      <c r="Z13" s="1">
        <v>1.1030580160363783</v>
      </c>
      <c r="AA13" s="31" t="s">
        <v>1190</v>
      </c>
    </row>
    <row r="14" spans="1:27" ht="12.75" outlineLevel="1">
      <c r="A14" s="3" t="s">
        <v>865</v>
      </c>
      <c r="B14" s="168"/>
      <c r="C14" s="169" t="s">
        <v>525</v>
      </c>
      <c r="D14" s="50" t="s">
        <v>526</v>
      </c>
      <c r="E14" s="10" t="s">
        <v>402</v>
      </c>
      <c r="F14" s="144" t="s">
        <v>1132</v>
      </c>
      <c r="G14" s="125" t="s">
        <v>956</v>
      </c>
      <c r="H14" s="164" t="s">
        <v>402</v>
      </c>
      <c r="I14" s="123" t="s">
        <v>402</v>
      </c>
      <c r="J14" s="124">
        <v>0</v>
      </c>
      <c r="K14" s="125" t="s">
        <v>395</v>
      </c>
      <c r="L14" s="171">
        <v>0</v>
      </c>
      <c r="M14" s="29">
        <v>1</v>
      </c>
      <c r="N14" s="1">
        <v>1.1030580160363783</v>
      </c>
      <c r="O14" s="31" t="s">
        <v>1190</v>
      </c>
      <c r="P14" s="171">
        <v>0</v>
      </c>
      <c r="Q14" s="29">
        <v>1</v>
      </c>
      <c r="R14" s="1">
        <v>1.1030580160363783</v>
      </c>
      <c r="S14" s="31" t="s">
        <v>1190</v>
      </c>
      <c r="T14" s="171">
        <v>0</v>
      </c>
      <c r="U14" s="29">
        <v>1</v>
      </c>
      <c r="V14" s="1">
        <v>1.1030580160363783</v>
      </c>
      <c r="W14" s="31" t="s">
        <v>1190</v>
      </c>
      <c r="X14" s="171">
        <v>1.1299999999999999</v>
      </c>
      <c r="Y14" s="29">
        <v>1</v>
      </c>
      <c r="Z14" s="1">
        <v>1.1030580160363783</v>
      </c>
      <c r="AA14" s="31" t="s">
        <v>1190</v>
      </c>
    </row>
    <row r="15" spans="1:27" ht="36">
      <c r="A15" s="3">
        <v>1216</v>
      </c>
      <c r="B15" s="168" t="s">
        <v>525</v>
      </c>
      <c r="C15" s="169" t="s">
        <v>525</v>
      </c>
      <c r="D15" s="50" t="s">
        <v>526</v>
      </c>
      <c r="E15" s="10" t="s">
        <v>402</v>
      </c>
      <c r="F15" s="144" t="s">
        <v>1168</v>
      </c>
      <c r="G15" s="125" t="s">
        <v>521</v>
      </c>
      <c r="H15" s="164" t="s">
        <v>402</v>
      </c>
      <c r="I15" s="123" t="s">
        <v>402</v>
      </c>
      <c r="J15" s="124">
        <v>0</v>
      </c>
      <c r="K15" s="125" t="s">
        <v>395</v>
      </c>
      <c r="L15" s="171">
        <v>1.6016713091922004</v>
      </c>
      <c r="M15" s="29">
        <v>1</v>
      </c>
      <c r="N15" s="1">
        <v>1.1362885436563739</v>
      </c>
      <c r="O15" s="31" t="s">
        <v>1191</v>
      </c>
      <c r="P15" s="171">
        <v>1.6016713091922004</v>
      </c>
      <c r="Q15" s="29">
        <v>1</v>
      </c>
      <c r="R15" s="1">
        <v>1.1362885436563739</v>
      </c>
      <c r="S15" s="31" t="s">
        <v>1191</v>
      </c>
      <c r="T15" s="171">
        <v>1.6016713091922004</v>
      </c>
      <c r="U15" s="29">
        <v>1</v>
      </c>
      <c r="V15" s="1">
        <v>1.1362885436563739</v>
      </c>
      <c r="W15" s="31" t="s">
        <v>1191</v>
      </c>
      <c r="X15" s="171">
        <v>1.6016713091922004</v>
      </c>
      <c r="Y15" s="29">
        <v>1</v>
      </c>
      <c r="Z15" s="1">
        <v>1.1362885436563739</v>
      </c>
      <c r="AA15" s="31" t="s">
        <v>1191</v>
      </c>
    </row>
    <row r="16" spans="1:27" ht="36">
      <c r="A16" s="3">
        <v>1217</v>
      </c>
      <c r="B16" s="168" t="s">
        <v>525</v>
      </c>
      <c r="C16" s="169" t="s">
        <v>525</v>
      </c>
      <c r="D16" s="50" t="s">
        <v>526</v>
      </c>
      <c r="E16" s="10" t="s">
        <v>402</v>
      </c>
      <c r="F16" s="144" t="s">
        <v>1109</v>
      </c>
      <c r="G16" s="125" t="s">
        <v>521</v>
      </c>
      <c r="H16" s="164" t="s">
        <v>402</v>
      </c>
      <c r="I16" s="123" t="s">
        <v>402</v>
      </c>
      <c r="J16" s="124">
        <v>0</v>
      </c>
      <c r="K16" s="125" t="s">
        <v>395</v>
      </c>
      <c r="L16" s="171">
        <v>5.0139275766016712E-2</v>
      </c>
      <c r="M16" s="29">
        <v>1</v>
      </c>
      <c r="N16" s="1">
        <v>1.1362885436563739</v>
      </c>
      <c r="O16" s="31" t="s">
        <v>1191</v>
      </c>
      <c r="P16" s="171">
        <v>5.0139275766016712E-2</v>
      </c>
      <c r="Q16" s="29">
        <v>1</v>
      </c>
      <c r="R16" s="1">
        <v>1.1362885436563739</v>
      </c>
      <c r="S16" s="31" t="s">
        <v>1191</v>
      </c>
      <c r="T16" s="171">
        <v>5.0139275766016712E-2</v>
      </c>
      <c r="U16" s="29">
        <v>1</v>
      </c>
      <c r="V16" s="1">
        <v>1.1362885436563739</v>
      </c>
      <c r="W16" s="31" t="s">
        <v>1191</v>
      </c>
      <c r="X16" s="171">
        <v>5.0139275766016712E-2</v>
      </c>
      <c r="Y16" s="29">
        <v>1</v>
      </c>
      <c r="Z16" s="1">
        <v>1.1362885436563739</v>
      </c>
      <c r="AA16" s="31" t="s">
        <v>1191</v>
      </c>
    </row>
    <row r="17" spans="1:27" ht="36">
      <c r="A17" s="3">
        <v>1280</v>
      </c>
      <c r="B17" s="168" t="s">
        <v>525</v>
      </c>
      <c r="C17" s="169" t="s">
        <v>525</v>
      </c>
      <c r="D17" s="50" t="s">
        <v>526</v>
      </c>
      <c r="E17" s="10" t="s">
        <v>402</v>
      </c>
      <c r="F17" s="144" t="s">
        <v>1173</v>
      </c>
      <c r="G17" s="125" t="s">
        <v>521</v>
      </c>
      <c r="H17" s="164" t="s">
        <v>402</v>
      </c>
      <c r="I17" s="123" t="s">
        <v>402</v>
      </c>
      <c r="J17" s="124">
        <v>0</v>
      </c>
      <c r="K17" s="125" t="s">
        <v>395</v>
      </c>
      <c r="L17" s="171">
        <v>0.34818941504178275</v>
      </c>
      <c r="M17" s="29">
        <v>1</v>
      </c>
      <c r="N17" s="1">
        <v>1.1362885436563739</v>
      </c>
      <c r="O17" s="31" t="s">
        <v>1191</v>
      </c>
      <c r="P17" s="171">
        <v>0.34818941504178275</v>
      </c>
      <c r="Q17" s="29">
        <v>1</v>
      </c>
      <c r="R17" s="1">
        <v>1.1362885436563739</v>
      </c>
      <c r="S17" s="31" t="s">
        <v>1191</v>
      </c>
      <c r="T17" s="171">
        <v>0.34818941504178275</v>
      </c>
      <c r="U17" s="29">
        <v>1</v>
      </c>
      <c r="V17" s="1">
        <v>1.1362885436563739</v>
      </c>
      <c r="W17" s="31" t="s">
        <v>1191</v>
      </c>
      <c r="X17" s="171">
        <v>0.34818941504178275</v>
      </c>
      <c r="Y17" s="29">
        <v>1</v>
      </c>
      <c r="Z17" s="1">
        <v>1.1362885436563739</v>
      </c>
      <c r="AA17" s="31" t="s">
        <v>1191</v>
      </c>
    </row>
    <row r="18" spans="1:27" ht="24">
      <c r="A18" s="157">
        <v>2987</v>
      </c>
      <c r="B18" s="168" t="s">
        <v>525</v>
      </c>
      <c r="C18" s="169" t="s">
        <v>525</v>
      </c>
      <c r="D18" s="50" t="s">
        <v>526</v>
      </c>
      <c r="E18" s="10" t="s">
        <v>402</v>
      </c>
      <c r="F18" s="144" t="s">
        <v>59</v>
      </c>
      <c r="G18" s="125" t="s">
        <v>521</v>
      </c>
      <c r="H18" s="164" t="s">
        <v>402</v>
      </c>
      <c r="I18" s="123" t="s">
        <v>402</v>
      </c>
      <c r="J18" s="124">
        <v>0</v>
      </c>
      <c r="K18" s="125" t="s">
        <v>397</v>
      </c>
      <c r="L18" s="171">
        <v>2.6599999999999997</v>
      </c>
      <c r="M18" s="29">
        <v>1</v>
      </c>
      <c r="N18" s="1">
        <v>2.0949941301068096</v>
      </c>
      <c r="O18" s="31" t="s">
        <v>1192</v>
      </c>
      <c r="P18" s="171">
        <v>2.6599999999999997</v>
      </c>
      <c r="Q18" s="29">
        <v>1</v>
      </c>
      <c r="R18" s="1">
        <v>2.0949941301068096</v>
      </c>
      <c r="S18" s="31" t="s">
        <v>1192</v>
      </c>
      <c r="T18" s="171">
        <v>2.6599999999999997</v>
      </c>
      <c r="U18" s="29">
        <v>1</v>
      </c>
      <c r="V18" s="1">
        <v>2.0949941301068096</v>
      </c>
      <c r="W18" s="31" t="s">
        <v>1192</v>
      </c>
      <c r="X18" s="171">
        <v>2.6599999999999997</v>
      </c>
      <c r="Y18" s="29">
        <v>1</v>
      </c>
      <c r="Z18" s="1">
        <v>2.0949941301068096</v>
      </c>
      <c r="AA18" s="31" t="s">
        <v>1192</v>
      </c>
    </row>
    <row r="19" spans="1:27" ht="24">
      <c r="A19" s="157">
        <v>1841</v>
      </c>
      <c r="B19" s="168" t="s">
        <v>525</v>
      </c>
      <c r="C19" s="169" t="s">
        <v>525</v>
      </c>
      <c r="D19" s="50" t="s">
        <v>526</v>
      </c>
      <c r="E19" s="10" t="s">
        <v>402</v>
      </c>
      <c r="F19" s="144" t="s">
        <v>62</v>
      </c>
      <c r="G19" s="125" t="s">
        <v>521</v>
      </c>
      <c r="H19" s="164" t="s">
        <v>402</v>
      </c>
      <c r="I19" s="123" t="s">
        <v>402</v>
      </c>
      <c r="J19" s="124">
        <v>0</v>
      </c>
      <c r="K19" s="125" t="s">
        <v>397</v>
      </c>
      <c r="L19" s="171">
        <v>2.3999999999999995</v>
      </c>
      <c r="M19" s="29">
        <v>1</v>
      </c>
      <c r="N19" s="1">
        <v>2.0949941301068096</v>
      </c>
      <c r="O19" s="31" t="s">
        <v>1193</v>
      </c>
      <c r="P19" s="171">
        <v>2.3999999999999995</v>
      </c>
      <c r="Q19" s="29">
        <v>1</v>
      </c>
      <c r="R19" s="1">
        <v>2.0949941301068096</v>
      </c>
      <c r="S19" s="31" t="s">
        <v>1193</v>
      </c>
      <c r="T19" s="171">
        <v>2.3999999999999995</v>
      </c>
      <c r="U19" s="29">
        <v>1</v>
      </c>
      <c r="V19" s="1">
        <v>2.0949941301068096</v>
      </c>
      <c r="W19" s="31" t="s">
        <v>1193</v>
      </c>
      <c r="X19" s="171">
        <v>2.3999999999999995</v>
      </c>
      <c r="Y19" s="29">
        <v>1</v>
      </c>
      <c r="Z19" s="1">
        <v>2.0949941301068096</v>
      </c>
      <c r="AA19" s="31" t="s">
        <v>1193</v>
      </c>
    </row>
    <row r="20" spans="1:27" ht="24">
      <c r="A20" s="2">
        <v>1824</v>
      </c>
      <c r="B20" s="168" t="s">
        <v>525</v>
      </c>
      <c r="C20" s="169" t="s">
        <v>525</v>
      </c>
      <c r="D20" s="50" t="s">
        <v>526</v>
      </c>
      <c r="E20" s="10" t="s">
        <v>402</v>
      </c>
      <c r="F20" s="144" t="s">
        <v>85</v>
      </c>
      <c r="G20" s="125" t="s">
        <v>86</v>
      </c>
      <c r="H20" s="164" t="s">
        <v>402</v>
      </c>
      <c r="I20" s="123" t="s">
        <v>402</v>
      </c>
      <c r="J20" s="124">
        <v>0</v>
      </c>
      <c r="K20" s="125" t="s">
        <v>397</v>
      </c>
      <c r="L20" s="171">
        <v>5.2986418867924527</v>
      </c>
      <c r="M20" s="29">
        <v>1</v>
      </c>
      <c r="N20" s="1">
        <v>2.0564587226807345</v>
      </c>
      <c r="O20" s="31" t="s">
        <v>1194</v>
      </c>
      <c r="P20" s="171">
        <v>0</v>
      </c>
      <c r="Q20" s="29">
        <v>1</v>
      </c>
      <c r="R20" s="1">
        <v>2.0564587226807345</v>
      </c>
      <c r="S20" s="31" t="s">
        <v>1194</v>
      </c>
      <c r="T20" s="171">
        <v>0</v>
      </c>
      <c r="U20" s="29">
        <v>1</v>
      </c>
      <c r="V20" s="1">
        <v>2.0564587226807345</v>
      </c>
      <c r="W20" s="31" t="s">
        <v>1194</v>
      </c>
      <c r="X20" s="171">
        <v>0</v>
      </c>
      <c r="Y20" s="29">
        <v>1</v>
      </c>
      <c r="Z20" s="1">
        <v>2.0564587226807345</v>
      </c>
      <c r="AA20" s="31" t="s">
        <v>1194</v>
      </c>
    </row>
    <row r="21" spans="1:27" ht="24">
      <c r="A21" s="120">
        <v>5104</v>
      </c>
      <c r="B21" s="168" t="s">
        <v>525</v>
      </c>
      <c r="C21" s="169" t="s">
        <v>525</v>
      </c>
      <c r="D21" s="50" t="s">
        <v>526</v>
      </c>
      <c r="E21" s="10" t="s">
        <v>402</v>
      </c>
      <c r="F21" s="144" t="s">
        <v>1182</v>
      </c>
      <c r="G21" s="125" t="s">
        <v>521</v>
      </c>
      <c r="H21" s="164" t="s">
        <v>402</v>
      </c>
      <c r="I21" s="123" t="s">
        <v>402</v>
      </c>
      <c r="J21" s="124">
        <v>0</v>
      </c>
      <c r="K21" s="125" t="s">
        <v>678</v>
      </c>
      <c r="L21" s="171">
        <v>35.849402066721787</v>
      </c>
      <c r="M21" s="29">
        <v>1</v>
      </c>
      <c r="N21" s="1">
        <v>1.1030580160363783</v>
      </c>
      <c r="O21" s="31" t="s">
        <v>1195</v>
      </c>
      <c r="P21" s="171">
        <v>0</v>
      </c>
      <c r="Q21" s="29">
        <v>1</v>
      </c>
      <c r="R21" s="1">
        <v>1.1030580160363783</v>
      </c>
      <c r="S21" s="31" t="s">
        <v>1195</v>
      </c>
      <c r="T21" s="171">
        <v>0</v>
      </c>
      <c r="U21" s="29">
        <v>1</v>
      </c>
      <c r="V21" s="1">
        <v>1.1030580160363783</v>
      </c>
      <c r="W21" s="31" t="s">
        <v>1195</v>
      </c>
      <c r="X21" s="171">
        <v>0</v>
      </c>
      <c r="Y21" s="29">
        <v>1</v>
      </c>
      <c r="Z21" s="1">
        <v>1.1030580160363783</v>
      </c>
      <c r="AA21" s="31" t="s">
        <v>1195</v>
      </c>
    </row>
    <row r="22" spans="1:27" ht="24">
      <c r="A22" s="120">
        <v>5287</v>
      </c>
      <c r="B22" s="168" t="s">
        <v>525</v>
      </c>
      <c r="C22" s="169" t="s">
        <v>525</v>
      </c>
      <c r="D22" s="50" t="s">
        <v>526</v>
      </c>
      <c r="E22" s="10" t="s">
        <v>402</v>
      </c>
      <c r="F22" s="144" t="s">
        <v>1183</v>
      </c>
      <c r="G22" s="125" t="s">
        <v>521</v>
      </c>
      <c r="H22" s="164" t="s">
        <v>402</v>
      </c>
      <c r="I22" s="123" t="s">
        <v>402</v>
      </c>
      <c r="J22" s="124">
        <v>0</v>
      </c>
      <c r="K22" s="125" t="s">
        <v>678</v>
      </c>
      <c r="L22" s="171">
        <v>61.697767744598956</v>
      </c>
      <c r="M22" s="29">
        <v>1</v>
      </c>
      <c r="N22" s="1">
        <v>1.1030580160363783</v>
      </c>
      <c r="O22" s="31" t="s">
        <v>1196</v>
      </c>
      <c r="P22" s="171">
        <v>0</v>
      </c>
      <c r="Q22" s="29">
        <v>1</v>
      </c>
      <c r="R22" s="1">
        <v>1.1030580160363783</v>
      </c>
      <c r="S22" s="31" t="s">
        <v>1196</v>
      </c>
      <c r="T22" s="171">
        <v>110</v>
      </c>
      <c r="U22" s="29">
        <v>1</v>
      </c>
      <c r="V22" s="1">
        <v>1.1030580160363783</v>
      </c>
      <c r="W22" s="31" t="s">
        <v>1196</v>
      </c>
      <c r="X22" s="171">
        <v>0</v>
      </c>
      <c r="Y22" s="29">
        <v>1</v>
      </c>
      <c r="Z22" s="1">
        <v>1.1030580160363783</v>
      </c>
      <c r="AA22" s="31" t="s">
        <v>1196</v>
      </c>
    </row>
    <row r="23" spans="1:27" ht="24">
      <c r="A23" s="2" t="s">
        <v>959</v>
      </c>
      <c r="B23" s="168" t="s">
        <v>525</v>
      </c>
      <c r="C23" s="169" t="s">
        <v>525</v>
      </c>
      <c r="D23" s="50" t="s">
        <v>526</v>
      </c>
      <c r="E23" s="10" t="s">
        <v>402</v>
      </c>
      <c r="F23" s="144" t="s">
        <v>1133</v>
      </c>
      <c r="G23" s="125" t="s">
        <v>578</v>
      </c>
      <c r="H23" s="164" t="s">
        <v>402</v>
      </c>
      <c r="I23" s="123" t="s">
        <v>402</v>
      </c>
      <c r="J23" s="124">
        <v>0</v>
      </c>
      <c r="K23" s="125" t="s">
        <v>678</v>
      </c>
      <c r="L23" s="171">
        <v>12.452830188679245</v>
      </c>
      <c r="M23" s="29">
        <v>1</v>
      </c>
      <c r="N23" s="1">
        <v>1.1030580160363783</v>
      </c>
      <c r="O23" s="31" t="s">
        <v>1197</v>
      </c>
      <c r="P23" s="171">
        <v>0</v>
      </c>
      <c r="Q23" s="29">
        <v>1</v>
      </c>
      <c r="R23" s="1">
        <v>1.1030580160363783</v>
      </c>
      <c r="S23" s="31" t="s">
        <v>1197</v>
      </c>
      <c r="T23" s="171">
        <v>0</v>
      </c>
      <c r="U23" s="29">
        <v>1</v>
      </c>
      <c r="V23" s="1">
        <v>1.1030580160363783</v>
      </c>
      <c r="W23" s="31" t="s">
        <v>1197</v>
      </c>
      <c r="X23" s="171">
        <v>0</v>
      </c>
      <c r="Y23" s="29">
        <v>1</v>
      </c>
      <c r="Z23" s="1">
        <v>1.1030580160363783</v>
      </c>
      <c r="AA23" s="31" t="s">
        <v>1197</v>
      </c>
    </row>
    <row r="24" spans="1:27" ht="24" outlineLevel="1">
      <c r="A24" s="226">
        <v>32004</v>
      </c>
      <c r="B24" s="168" t="s">
        <v>525</v>
      </c>
      <c r="C24" s="169" t="s">
        <v>525</v>
      </c>
      <c r="D24" s="50" t="s">
        <v>526</v>
      </c>
      <c r="E24" s="10" t="s">
        <v>402</v>
      </c>
      <c r="F24" s="144" t="s">
        <v>1133</v>
      </c>
      <c r="G24" s="125" t="s">
        <v>1105</v>
      </c>
      <c r="H24" s="164" t="s">
        <v>402</v>
      </c>
      <c r="I24" s="123" t="s">
        <v>402</v>
      </c>
      <c r="J24" s="124">
        <v>0</v>
      </c>
      <c r="K24" s="125" t="s">
        <v>678</v>
      </c>
      <c r="L24" s="171">
        <v>0</v>
      </c>
      <c r="M24" s="29">
        <v>2</v>
      </c>
      <c r="N24" s="1">
        <v>1.1030580160363783</v>
      </c>
      <c r="O24" s="31" t="s">
        <v>1198</v>
      </c>
      <c r="P24" s="171">
        <v>110</v>
      </c>
      <c r="Q24" s="29">
        <v>1</v>
      </c>
      <c r="R24" s="1">
        <v>1.1030580160363783</v>
      </c>
      <c r="S24" s="31" t="s">
        <v>1196</v>
      </c>
      <c r="T24" s="171">
        <v>0</v>
      </c>
      <c r="U24" s="29">
        <v>1</v>
      </c>
      <c r="V24" s="1">
        <v>1.1030580160363783</v>
      </c>
      <c r="W24" s="31" t="s">
        <v>1196</v>
      </c>
      <c r="X24" s="171">
        <v>0</v>
      </c>
      <c r="Y24" s="29">
        <v>1</v>
      </c>
      <c r="Z24" s="1">
        <v>1.1030580160363783</v>
      </c>
      <c r="AA24" s="31" t="s">
        <v>1198</v>
      </c>
    </row>
    <row r="25" spans="1:27" ht="24" outlineLevel="1">
      <c r="A25" s="226" t="s">
        <v>866</v>
      </c>
      <c r="B25" s="168" t="s">
        <v>525</v>
      </c>
      <c r="C25" s="169" t="s">
        <v>525</v>
      </c>
      <c r="D25" s="50" t="s">
        <v>526</v>
      </c>
      <c r="E25" s="10" t="s">
        <v>402</v>
      </c>
      <c r="F25" s="144" t="s">
        <v>1133</v>
      </c>
      <c r="G25" s="125" t="s">
        <v>465</v>
      </c>
      <c r="H25" s="164" t="s">
        <v>402</v>
      </c>
      <c r="I25" s="123" t="s">
        <v>402</v>
      </c>
      <c r="J25" s="124">
        <v>0</v>
      </c>
      <c r="K25" s="125" t="s">
        <v>678</v>
      </c>
      <c r="L25" s="171">
        <v>0</v>
      </c>
      <c r="M25" s="29">
        <v>2</v>
      </c>
      <c r="N25" s="1">
        <v>1.1030580160363783</v>
      </c>
      <c r="O25" s="31" t="s">
        <v>1199</v>
      </c>
      <c r="P25" s="171">
        <v>0</v>
      </c>
      <c r="Q25" s="29">
        <v>1</v>
      </c>
      <c r="R25" s="1">
        <v>1.1030580160363783</v>
      </c>
      <c r="S25" s="31" t="s">
        <v>1197</v>
      </c>
      <c r="T25" s="171">
        <v>0</v>
      </c>
      <c r="U25" s="29">
        <v>1</v>
      </c>
      <c r="V25" s="1">
        <v>1.1030580160363783</v>
      </c>
      <c r="W25" s="31" t="s">
        <v>1197</v>
      </c>
      <c r="X25" s="171">
        <v>0</v>
      </c>
      <c r="Y25" s="29">
        <v>1</v>
      </c>
      <c r="Z25" s="1">
        <v>1.1030580160363783</v>
      </c>
      <c r="AA25" s="31" t="s">
        <v>1199</v>
      </c>
    </row>
    <row r="26" spans="1:27" ht="24" outlineLevel="1">
      <c r="A26" s="226" t="s">
        <v>867</v>
      </c>
      <c r="B26" s="168" t="s">
        <v>525</v>
      </c>
      <c r="C26" s="169" t="s">
        <v>525</v>
      </c>
      <c r="D26" s="50" t="s">
        <v>526</v>
      </c>
      <c r="E26" s="10" t="s">
        <v>402</v>
      </c>
      <c r="F26" s="144" t="s">
        <v>1133</v>
      </c>
      <c r="G26" s="125" t="s">
        <v>497</v>
      </c>
      <c r="H26" s="164" t="s">
        <v>402</v>
      </c>
      <c r="I26" s="123" t="s">
        <v>402</v>
      </c>
      <c r="J26" s="124">
        <v>0</v>
      </c>
      <c r="K26" s="125" t="s">
        <v>678</v>
      </c>
      <c r="L26" s="171">
        <v>0</v>
      </c>
      <c r="M26" s="29">
        <v>2</v>
      </c>
      <c r="N26" s="1">
        <v>1.1030580160363783</v>
      </c>
      <c r="O26" s="31" t="s">
        <v>1200</v>
      </c>
      <c r="P26" s="171">
        <v>0</v>
      </c>
      <c r="Q26" s="29">
        <v>1</v>
      </c>
      <c r="R26" s="1">
        <v>1.1030580160363783</v>
      </c>
      <c r="S26" s="31" t="s">
        <v>1196</v>
      </c>
      <c r="T26" s="171">
        <v>0</v>
      </c>
      <c r="U26" s="29">
        <v>1</v>
      </c>
      <c r="V26" s="1">
        <v>1.1030580160363783</v>
      </c>
      <c r="W26" s="31" t="s">
        <v>1196</v>
      </c>
      <c r="X26" s="171">
        <v>110</v>
      </c>
      <c r="Y26" s="29">
        <v>1</v>
      </c>
      <c r="Z26" s="1">
        <v>1.1030580160363783</v>
      </c>
      <c r="AA26" s="31" t="s">
        <v>1200</v>
      </c>
    </row>
    <row r="27" spans="1:27" ht="24">
      <c r="A27" s="120">
        <v>5101</v>
      </c>
      <c r="B27" s="168" t="s">
        <v>525</v>
      </c>
      <c r="C27" s="169" t="s">
        <v>525</v>
      </c>
      <c r="D27" s="50" t="s">
        <v>526</v>
      </c>
      <c r="E27" s="10" t="s">
        <v>402</v>
      </c>
      <c r="F27" s="144" t="s">
        <v>1180</v>
      </c>
      <c r="G27" s="125" t="s">
        <v>521</v>
      </c>
      <c r="H27" s="164" t="s">
        <v>402</v>
      </c>
      <c r="I27" s="123" t="s">
        <v>402</v>
      </c>
      <c r="J27" s="124">
        <v>0</v>
      </c>
      <c r="K27" s="125" t="s">
        <v>677</v>
      </c>
      <c r="L27" s="171">
        <v>185</v>
      </c>
      <c r="M27" s="29">
        <v>1</v>
      </c>
      <c r="N27" s="1">
        <v>1.1030580160363783</v>
      </c>
      <c r="O27" s="31" t="s">
        <v>1201</v>
      </c>
      <c r="P27" s="171">
        <v>185</v>
      </c>
      <c r="Q27" s="29">
        <v>1</v>
      </c>
      <c r="R27" s="1">
        <v>1.1030580160363783</v>
      </c>
      <c r="S27" s="31" t="s">
        <v>1201</v>
      </c>
      <c r="T27" s="171">
        <v>185</v>
      </c>
      <c r="U27" s="29">
        <v>1</v>
      </c>
      <c r="V27" s="1">
        <v>1.1030580160363783</v>
      </c>
      <c r="W27" s="31" t="s">
        <v>1201</v>
      </c>
      <c r="X27" s="171">
        <v>185</v>
      </c>
      <c r="Y27" s="29">
        <v>1</v>
      </c>
      <c r="Z27" s="1">
        <v>1.1030580160363783</v>
      </c>
      <c r="AA27" s="31" t="s">
        <v>1201</v>
      </c>
    </row>
    <row r="28" spans="1:27" ht="12.75">
      <c r="A28" s="172">
        <v>3820</v>
      </c>
      <c r="B28" s="168" t="s">
        <v>525</v>
      </c>
      <c r="C28" s="169" t="s">
        <v>525</v>
      </c>
      <c r="D28" s="50" t="s">
        <v>526</v>
      </c>
      <c r="E28" s="10" t="s">
        <v>402</v>
      </c>
      <c r="F28" s="144" t="s">
        <v>1147</v>
      </c>
      <c r="G28" s="125" t="s">
        <v>521</v>
      </c>
      <c r="H28" s="164" t="s">
        <v>402</v>
      </c>
      <c r="I28" s="123" t="s">
        <v>402</v>
      </c>
      <c r="J28" s="124">
        <v>1</v>
      </c>
      <c r="K28" s="125" t="s">
        <v>522</v>
      </c>
      <c r="L28" s="171">
        <v>1.0000000000000001E-11</v>
      </c>
      <c r="M28" s="29">
        <v>1</v>
      </c>
      <c r="N28" s="1">
        <v>3.0520641172448602</v>
      </c>
      <c r="O28" s="31" t="s">
        <v>1202</v>
      </c>
      <c r="P28" s="171">
        <v>1.0000000000000001E-11</v>
      </c>
      <c r="Q28" s="29">
        <v>1</v>
      </c>
      <c r="R28" s="1">
        <v>3.0520641172448602</v>
      </c>
      <c r="S28" s="31" t="s">
        <v>1202</v>
      </c>
      <c r="T28" s="171">
        <v>1.0000000000000001E-11</v>
      </c>
      <c r="U28" s="29">
        <v>1</v>
      </c>
      <c r="V28" s="1">
        <v>3.0520641172448602</v>
      </c>
      <c r="W28" s="31" t="s">
        <v>1202</v>
      </c>
      <c r="X28" s="171">
        <v>1.0000000000000001E-11</v>
      </c>
      <c r="Y28" s="29">
        <v>1</v>
      </c>
      <c r="Z28" s="1">
        <v>3.0520641172448602</v>
      </c>
      <c r="AA28" s="31" t="s">
        <v>1202</v>
      </c>
    </row>
    <row r="29" spans="1:27" ht="12.75">
      <c r="A29" s="214">
        <v>490</v>
      </c>
      <c r="B29" s="168" t="s">
        <v>692</v>
      </c>
      <c r="C29" s="169" t="s">
        <v>525</v>
      </c>
      <c r="D29" s="50" t="s">
        <v>402</v>
      </c>
      <c r="E29" s="10" t="s">
        <v>527</v>
      </c>
      <c r="F29" s="144" t="s">
        <v>324</v>
      </c>
      <c r="G29" s="125" t="s">
        <v>402</v>
      </c>
      <c r="H29" s="164" t="s">
        <v>325</v>
      </c>
      <c r="I29" s="123" t="s">
        <v>685</v>
      </c>
      <c r="J29" s="124" t="s">
        <v>402</v>
      </c>
      <c r="K29" s="125" t="s">
        <v>677</v>
      </c>
      <c r="L29" s="171">
        <v>351.16981132075466</v>
      </c>
      <c r="M29" s="29">
        <v>1</v>
      </c>
      <c r="N29" s="1">
        <v>1.1030580160363783</v>
      </c>
      <c r="O29" s="31" t="s">
        <v>1203</v>
      </c>
      <c r="P29" s="171">
        <v>351.16981132075466</v>
      </c>
      <c r="Q29" s="29">
        <v>1</v>
      </c>
      <c r="R29" s="1">
        <v>1.1030580160363783</v>
      </c>
      <c r="S29" s="31" t="s">
        <v>1203</v>
      </c>
      <c r="T29" s="171">
        <v>351.16981132075466</v>
      </c>
      <c r="U29" s="29">
        <v>1</v>
      </c>
      <c r="V29" s="1">
        <v>1.1030580160363783</v>
      </c>
      <c r="W29" s="31" t="s">
        <v>1203</v>
      </c>
      <c r="X29" s="171">
        <v>351.16981132075466</v>
      </c>
      <c r="Y29" s="29">
        <v>1</v>
      </c>
      <c r="Z29" s="1">
        <v>1.1030580160363783</v>
      </c>
      <c r="AA29" s="31" t="s">
        <v>1203</v>
      </c>
    </row>
    <row r="30" spans="1:27" ht="24">
      <c r="A30" s="214">
        <v>0</v>
      </c>
      <c r="B30" s="168" t="s">
        <v>399</v>
      </c>
      <c r="C30" s="169" t="s">
        <v>525</v>
      </c>
      <c r="D30" s="50" t="s">
        <v>402</v>
      </c>
      <c r="E30" s="10" t="s">
        <v>527</v>
      </c>
      <c r="F30" s="144" t="s">
        <v>331</v>
      </c>
      <c r="G30" s="125" t="s">
        <v>402</v>
      </c>
      <c r="H30" s="164" t="s">
        <v>211</v>
      </c>
      <c r="I30" s="123" t="s">
        <v>212</v>
      </c>
      <c r="J30" s="124" t="s">
        <v>402</v>
      </c>
      <c r="K30" s="125" t="s">
        <v>395</v>
      </c>
      <c r="L30" s="171">
        <v>1.2619134897360705E-5</v>
      </c>
      <c r="M30" s="29">
        <v>1</v>
      </c>
      <c r="N30" s="1">
        <v>1.5646750276965706</v>
      </c>
      <c r="O30" s="31" t="s">
        <v>1188</v>
      </c>
      <c r="P30" s="171">
        <v>1.2619134897360705E-5</v>
      </c>
      <c r="Q30" s="29">
        <v>1</v>
      </c>
      <c r="R30" s="1">
        <v>1.5646750276965706</v>
      </c>
      <c r="S30" s="31" t="s">
        <v>1188</v>
      </c>
      <c r="T30" s="171">
        <v>1.2619134897360705E-5</v>
      </c>
      <c r="U30" s="29">
        <v>1</v>
      </c>
      <c r="V30" s="1">
        <v>1.5646750276965706</v>
      </c>
      <c r="W30" s="31" t="s">
        <v>1188</v>
      </c>
      <c r="X30" s="171">
        <v>1.2619134897360705E-5</v>
      </c>
      <c r="Y30" s="29">
        <v>1</v>
      </c>
      <c r="Z30" s="1">
        <v>1.5646750276965706</v>
      </c>
      <c r="AA30" s="31" t="s">
        <v>1188</v>
      </c>
    </row>
    <row r="31" spans="1:27" ht="24">
      <c r="A31" s="214">
        <v>1876</v>
      </c>
      <c r="B31" s="168"/>
      <c r="C31" s="169" t="s">
        <v>525</v>
      </c>
      <c r="D31" s="50" t="s">
        <v>402</v>
      </c>
      <c r="E31" s="10" t="s">
        <v>527</v>
      </c>
      <c r="F31" s="144" t="s">
        <v>683</v>
      </c>
      <c r="G31" s="125" t="s">
        <v>402</v>
      </c>
      <c r="H31" s="164" t="s">
        <v>211</v>
      </c>
      <c r="I31" s="123" t="s">
        <v>212</v>
      </c>
      <c r="J31" s="124" t="s">
        <v>402</v>
      </c>
      <c r="K31" s="125" t="s">
        <v>395</v>
      </c>
      <c r="L31" s="171">
        <v>2.047104105571848E-4</v>
      </c>
      <c r="M31" s="29">
        <v>1</v>
      </c>
      <c r="N31" s="1">
        <v>1.5646750276965706</v>
      </c>
      <c r="O31" s="31" t="s">
        <v>1188</v>
      </c>
      <c r="P31" s="171">
        <v>2.047104105571848E-4</v>
      </c>
      <c r="Q31" s="29">
        <v>1</v>
      </c>
      <c r="R31" s="1">
        <v>1.5646750276965706</v>
      </c>
      <c r="S31" s="31" t="s">
        <v>1188</v>
      </c>
      <c r="T31" s="171">
        <v>2.047104105571848E-4</v>
      </c>
      <c r="U31" s="29">
        <v>1</v>
      </c>
      <c r="V31" s="1">
        <v>1.5646750276965706</v>
      </c>
      <c r="W31" s="31" t="s">
        <v>1188</v>
      </c>
      <c r="X31" s="171">
        <v>2.047104105571848E-4</v>
      </c>
      <c r="Y31" s="29">
        <v>1</v>
      </c>
      <c r="Z31" s="1">
        <v>1.5646750276965706</v>
      </c>
      <c r="AA31" s="31" t="s">
        <v>1188</v>
      </c>
    </row>
    <row r="32" spans="1:27" ht="24">
      <c r="A32" s="214">
        <v>0</v>
      </c>
      <c r="B32" s="168"/>
      <c r="C32" s="169" t="s">
        <v>525</v>
      </c>
      <c r="D32" s="50" t="s">
        <v>402</v>
      </c>
      <c r="E32" s="10" t="s">
        <v>527</v>
      </c>
      <c r="F32" s="144" t="s">
        <v>213</v>
      </c>
      <c r="G32" s="125" t="s">
        <v>402</v>
      </c>
      <c r="H32" s="164" t="s">
        <v>211</v>
      </c>
      <c r="I32" s="123" t="s">
        <v>212</v>
      </c>
      <c r="J32" s="124" t="s">
        <v>402</v>
      </c>
      <c r="K32" s="125" t="s">
        <v>395</v>
      </c>
      <c r="L32" s="171">
        <v>2.0199799761730203E-3</v>
      </c>
      <c r="M32" s="29">
        <v>1</v>
      </c>
      <c r="N32" s="1">
        <v>1.5646750276965706</v>
      </c>
      <c r="O32" s="31" t="s">
        <v>1188</v>
      </c>
      <c r="P32" s="171">
        <v>2.0199799761730203E-3</v>
      </c>
      <c r="Q32" s="29">
        <v>1</v>
      </c>
      <c r="R32" s="1">
        <v>1.5646750276965706</v>
      </c>
      <c r="S32" s="31" t="s">
        <v>1188</v>
      </c>
      <c r="T32" s="171">
        <v>2.0199799761730203E-3</v>
      </c>
      <c r="U32" s="29">
        <v>1</v>
      </c>
      <c r="V32" s="1">
        <v>1.5646750276965706</v>
      </c>
      <c r="W32" s="31" t="s">
        <v>1188</v>
      </c>
      <c r="X32" s="171">
        <v>2.0199799761730203E-3</v>
      </c>
      <c r="Y32" s="29">
        <v>1</v>
      </c>
      <c r="Z32" s="1">
        <v>1.5646750276965706</v>
      </c>
      <c r="AA32" s="31" t="s">
        <v>1188</v>
      </c>
    </row>
    <row r="33" spans="1:27" ht="24">
      <c r="A33" s="214">
        <v>1993</v>
      </c>
      <c r="B33" s="168"/>
      <c r="C33" s="169" t="s">
        <v>525</v>
      </c>
      <c r="D33" s="50" t="s">
        <v>402</v>
      </c>
      <c r="E33" s="10" t="s">
        <v>527</v>
      </c>
      <c r="F33" s="144" t="s">
        <v>5</v>
      </c>
      <c r="G33" s="125" t="s">
        <v>402</v>
      </c>
      <c r="H33" s="164" t="s">
        <v>211</v>
      </c>
      <c r="I33" s="123" t="s">
        <v>212</v>
      </c>
      <c r="J33" s="124" t="s">
        <v>402</v>
      </c>
      <c r="K33" s="125" t="s">
        <v>395</v>
      </c>
      <c r="L33" s="171">
        <v>3.5991174853372436E-2</v>
      </c>
      <c r="M33" s="29">
        <v>1</v>
      </c>
      <c r="N33" s="1">
        <v>3.0492095289625252</v>
      </c>
      <c r="O33" s="31" t="s">
        <v>1188</v>
      </c>
      <c r="P33" s="171">
        <v>3.5991174853372436E-2</v>
      </c>
      <c r="Q33" s="29">
        <v>1</v>
      </c>
      <c r="R33" s="1">
        <v>3.0492095289625252</v>
      </c>
      <c r="S33" s="31" t="s">
        <v>1188</v>
      </c>
      <c r="T33" s="171">
        <v>3.5991174853372436E-2</v>
      </c>
      <c r="U33" s="29">
        <v>1</v>
      </c>
      <c r="V33" s="1">
        <v>3.0492095289625252</v>
      </c>
      <c r="W33" s="31" t="s">
        <v>1188</v>
      </c>
      <c r="X33" s="171">
        <v>3.5991174853372436E-2</v>
      </c>
      <c r="Y33" s="29">
        <v>1</v>
      </c>
      <c r="Z33" s="1">
        <v>3.0492095289625252</v>
      </c>
      <c r="AA33" s="31" t="s">
        <v>1188</v>
      </c>
    </row>
    <row r="34" spans="1:27" ht="24">
      <c r="A34" s="214">
        <v>0</v>
      </c>
      <c r="B34" s="168"/>
      <c r="C34" s="169" t="s">
        <v>525</v>
      </c>
      <c r="D34" s="50" t="s">
        <v>402</v>
      </c>
      <c r="E34" s="10" t="s">
        <v>527</v>
      </c>
      <c r="F34" s="144" t="s">
        <v>332</v>
      </c>
      <c r="G34" s="125" t="s">
        <v>402</v>
      </c>
      <c r="H34" s="164" t="s">
        <v>211</v>
      </c>
      <c r="I34" s="123" t="s">
        <v>212</v>
      </c>
      <c r="J34" s="124" t="s">
        <v>402</v>
      </c>
      <c r="K34" s="125" t="s">
        <v>395</v>
      </c>
      <c r="L34" s="171">
        <v>1.0235520527859239E-7</v>
      </c>
      <c r="M34" s="29">
        <v>1</v>
      </c>
      <c r="N34" s="1">
        <v>5.0560603833099531</v>
      </c>
      <c r="O34" s="31" t="s">
        <v>1188</v>
      </c>
      <c r="P34" s="171">
        <v>1.0235520527859239E-7</v>
      </c>
      <c r="Q34" s="29">
        <v>1</v>
      </c>
      <c r="R34" s="1">
        <v>5.0560603833099531</v>
      </c>
      <c r="S34" s="31" t="s">
        <v>1188</v>
      </c>
      <c r="T34" s="171">
        <v>1.0235520527859239E-7</v>
      </c>
      <c r="U34" s="29">
        <v>1</v>
      </c>
      <c r="V34" s="1">
        <v>5.0560603833099531</v>
      </c>
      <c r="W34" s="31" t="s">
        <v>1188</v>
      </c>
      <c r="X34" s="171">
        <v>1.0235520527859239E-7</v>
      </c>
      <c r="Y34" s="29">
        <v>1</v>
      </c>
      <c r="Z34" s="1">
        <v>5.0560603833099531</v>
      </c>
      <c r="AA34" s="31" t="s">
        <v>1188</v>
      </c>
    </row>
    <row r="35" spans="1:27" ht="24">
      <c r="A35" s="214">
        <v>0</v>
      </c>
      <c r="B35" s="168"/>
      <c r="C35" s="169" t="s">
        <v>525</v>
      </c>
      <c r="D35" s="50" t="s">
        <v>402</v>
      </c>
      <c r="E35" s="10" t="s">
        <v>527</v>
      </c>
      <c r="F35" s="144" t="s">
        <v>333</v>
      </c>
      <c r="G35" s="125" t="s">
        <v>402</v>
      </c>
      <c r="H35" s="164" t="s">
        <v>211</v>
      </c>
      <c r="I35" s="123" t="s">
        <v>212</v>
      </c>
      <c r="J35" s="124" t="s">
        <v>402</v>
      </c>
      <c r="K35" s="125" t="s">
        <v>395</v>
      </c>
      <c r="L35" s="171">
        <v>2.0751466275659822E-4</v>
      </c>
      <c r="M35" s="29">
        <v>1</v>
      </c>
      <c r="N35" s="1">
        <v>1.5646750276965706</v>
      </c>
      <c r="O35" s="31" t="s">
        <v>1188</v>
      </c>
      <c r="P35" s="171">
        <v>2.0751466275659822E-4</v>
      </c>
      <c r="Q35" s="29">
        <v>1</v>
      </c>
      <c r="R35" s="1">
        <v>1.5646750276965706</v>
      </c>
      <c r="S35" s="31" t="s">
        <v>1188</v>
      </c>
      <c r="T35" s="171">
        <v>2.0751466275659822E-4</v>
      </c>
      <c r="U35" s="29">
        <v>1</v>
      </c>
      <c r="V35" s="1">
        <v>1.5646750276965706</v>
      </c>
      <c r="W35" s="31" t="s">
        <v>1188</v>
      </c>
      <c r="X35" s="171">
        <v>2.0751466275659822E-4</v>
      </c>
      <c r="Y35" s="29">
        <v>1</v>
      </c>
      <c r="Z35" s="1">
        <v>1.5646750276965706</v>
      </c>
      <c r="AA35" s="31" t="s">
        <v>1188</v>
      </c>
    </row>
    <row r="36" spans="1:27" ht="24">
      <c r="A36" s="214">
        <v>0</v>
      </c>
      <c r="B36" s="168"/>
      <c r="C36" s="169" t="s">
        <v>525</v>
      </c>
      <c r="D36" s="50" t="s">
        <v>402</v>
      </c>
      <c r="E36" s="10" t="s">
        <v>527</v>
      </c>
      <c r="F36" s="144" t="s">
        <v>334</v>
      </c>
      <c r="G36" s="125" t="s">
        <v>402</v>
      </c>
      <c r="H36" s="164" t="s">
        <v>211</v>
      </c>
      <c r="I36" s="123" t="s">
        <v>212</v>
      </c>
      <c r="J36" s="124" t="s">
        <v>402</v>
      </c>
      <c r="K36" s="125" t="s">
        <v>395</v>
      </c>
      <c r="L36" s="171">
        <v>2.8042521994134892E-6</v>
      </c>
      <c r="M36" s="29">
        <v>1</v>
      </c>
      <c r="N36" s="1">
        <v>1.5646750276965706</v>
      </c>
      <c r="O36" s="31" t="s">
        <v>1188</v>
      </c>
      <c r="P36" s="171">
        <v>2.8042521994134892E-6</v>
      </c>
      <c r="Q36" s="29">
        <v>1</v>
      </c>
      <c r="R36" s="1">
        <v>1.5646750276965706</v>
      </c>
      <c r="S36" s="31" t="s">
        <v>1188</v>
      </c>
      <c r="T36" s="171">
        <v>2.8042521994134892E-6</v>
      </c>
      <c r="U36" s="29">
        <v>1</v>
      </c>
      <c r="V36" s="1">
        <v>1.5646750276965706</v>
      </c>
      <c r="W36" s="31" t="s">
        <v>1188</v>
      </c>
      <c r="X36" s="171">
        <v>2.8042521994134892E-6</v>
      </c>
      <c r="Y36" s="29">
        <v>1</v>
      </c>
      <c r="Z36" s="1">
        <v>1.5646750276965706</v>
      </c>
      <c r="AA36" s="31" t="s">
        <v>1188</v>
      </c>
    </row>
    <row r="37" spans="1:27" ht="24">
      <c r="A37" s="214">
        <v>0</v>
      </c>
      <c r="B37" s="168"/>
      <c r="C37" s="169">
        <v>0</v>
      </c>
      <c r="D37" s="50" t="s">
        <v>402</v>
      </c>
      <c r="E37" s="10" t="s">
        <v>527</v>
      </c>
      <c r="F37" s="144" t="s">
        <v>335</v>
      </c>
      <c r="G37" s="125" t="s">
        <v>402</v>
      </c>
      <c r="H37" s="164" t="s">
        <v>211</v>
      </c>
      <c r="I37" s="123" t="s">
        <v>212</v>
      </c>
      <c r="J37" s="124" t="s">
        <v>402</v>
      </c>
      <c r="K37" s="125" t="s">
        <v>395</v>
      </c>
      <c r="L37" s="171">
        <v>3.3789836876832846E-2</v>
      </c>
      <c r="M37" s="29">
        <v>1</v>
      </c>
      <c r="N37" s="1">
        <v>1.5646750276965706</v>
      </c>
      <c r="O37" s="31" t="s">
        <v>1188</v>
      </c>
      <c r="P37" s="171">
        <v>3.3789836876832846E-2</v>
      </c>
      <c r="Q37" s="29">
        <v>1</v>
      </c>
      <c r="R37" s="1">
        <v>1.5646750276965706</v>
      </c>
      <c r="S37" s="31" t="s">
        <v>1188</v>
      </c>
      <c r="T37" s="171">
        <v>3.3789836876832846E-2</v>
      </c>
      <c r="U37" s="29">
        <v>1</v>
      </c>
      <c r="V37" s="1">
        <v>1.5646750276965706</v>
      </c>
      <c r="W37" s="31" t="s">
        <v>1188</v>
      </c>
      <c r="X37" s="171">
        <v>3.3789836876832846E-2</v>
      </c>
      <c r="Y37" s="29">
        <v>1</v>
      </c>
      <c r="Z37" s="1">
        <v>1.5646750276965706</v>
      </c>
      <c r="AA37" s="31" t="s">
        <v>1188</v>
      </c>
    </row>
    <row r="38" spans="1:27" ht="24">
      <c r="A38" s="214">
        <v>0</v>
      </c>
      <c r="B38" s="168"/>
      <c r="C38" s="169">
        <v>0</v>
      </c>
      <c r="D38" s="50" t="s">
        <v>402</v>
      </c>
      <c r="E38" s="10" t="s">
        <v>527</v>
      </c>
      <c r="F38" s="144" t="s">
        <v>349</v>
      </c>
      <c r="G38" s="125" t="s">
        <v>402</v>
      </c>
      <c r="H38" s="164" t="s">
        <v>211</v>
      </c>
      <c r="I38" s="123" t="s">
        <v>212</v>
      </c>
      <c r="J38" s="124" t="s">
        <v>402</v>
      </c>
      <c r="K38" s="125" t="s">
        <v>395</v>
      </c>
      <c r="L38" s="171">
        <v>1.9629765395894428E-6</v>
      </c>
      <c r="M38" s="29">
        <v>1</v>
      </c>
      <c r="N38" s="1">
        <v>5.0560603833099531</v>
      </c>
      <c r="O38" s="31" t="s">
        <v>1188</v>
      </c>
      <c r="P38" s="171">
        <v>1.9629765395894428E-6</v>
      </c>
      <c r="Q38" s="29">
        <v>1</v>
      </c>
      <c r="R38" s="1">
        <v>5.0560603833099531</v>
      </c>
      <c r="S38" s="31" t="s">
        <v>1188</v>
      </c>
      <c r="T38" s="171">
        <v>1.9629765395894428E-6</v>
      </c>
      <c r="U38" s="29">
        <v>1</v>
      </c>
      <c r="V38" s="1">
        <v>5.0560603833099531</v>
      </c>
      <c r="W38" s="31" t="s">
        <v>1188</v>
      </c>
      <c r="X38" s="171">
        <v>1.9629765395894428E-6</v>
      </c>
      <c r="Y38" s="29">
        <v>1</v>
      </c>
      <c r="Z38" s="1">
        <v>5.0560603833099531</v>
      </c>
      <c r="AA38" s="31" t="s">
        <v>1188</v>
      </c>
    </row>
    <row r="39" spans="1:27" ht="24">
      <c r="A39" s="214">
        <v>0</v>
      </c>
      <c r="B39" s="168"/>
      <c r="C39" s="169">
        <v>0</v>
      </c>
      <c r="D39" s="50" t="s">
        <v>402</v>
      </c>
      <c r="E39" s="10" t="s">
        <v>527</v>
      </c>
      <c r="F39" s="144" t="s">
        <v>350</v>
      </c>
      <c r="G39" s="125" t="s">
        <v>402</v>
      </c>
      <c r="H39" s="164" t="s">
        <v>211</v>
      </c>
      <c r="I39" s="123" t="s">
        <v>212</v>
      </c>
      <c r="J39" s="124" t="s">
        <v>402</v>
      </c>
      <c r="K39" s="125" t="s">
        <v>395</v>
      </c>
      <c r="L39" s="171">
        <v>5.6085043988269784E-6</v>
      </c>
      <c r="M39" s="29">
        <v>1</v>
      </c>
      <c r="N39" s="1">
        <v>5.0560603833099531</v>
      </c>
      <c r="O39" s="31" t="s">
        <v>1188</v>
      </c>
      <c r="P39" s="171">
        <v>5.6085043988269784E-6</v>
      </c>
      <c r="Q39" s="29">
        <v>1</v>
      </c>
      <c r="R39" s="1">
        <v>5.0560603833099531</v>
      </c>
      <c r="S39" s="31" t="s">
        <v>1188</v>
      </c>
      <c r="T39" s="171">
        <v>5.6085043988269784E-6</v>
      </c>
      <c r="U39" s="29">
        <v>1</v>
      </c>
      <c r="V39" s="1">
        <v>5.0560603833099531</v>
      </c>
      <c r="W39" s="31" t="s">
        <v>1188</v>
      </c>
      <c r="X39" s="171">
        <v>5.6085043988269784E-6</v>
      </c>
      <c r="Y39" s="29">
        <v>1</v>
      </c>
      <c r="Z39" s="1">
        <v>5.0560603833099531</v>
      </c>
      <c r="AA39" s="31" t="s">
        <v>1188</v>
      </c>
    </row>
    <row r="40" spans="1:27" ht="24">
      <c r="A40" s="214">
        <v>2128</v>
      </c>
      <c r="B40" s="168"/>
      <c r="C40" s="169" t="s">
        <v>525</v>
      </c>
      <c r="D40" s="50" t="s">
        <v>402</v>
      </c>
      <c r="E40" s="10" t="s">
        <v>527</v>
      </c>
      <c r="F40" s="144" t="s">
        <v>684</v>
      </c>
      <c r="G40" s="125" t="s">
        <v>402</v>
      </c>
      <c r="H40" s="164" t="s">
        <v>211</v>
      </c>
      <c r="I40" s="123" t="s">
        <v>212</v>
      </c>
      <c r="J40" s="124" t="s">
        <v>402</v>
      </c>
      <c r="K40" s="125" t="s">
        <v>395</v>
      </c>
      <c r="L40" s="171">
        <v>9.0997983870967733E-4</v>
      </c>
      <c r="M40" s="29">
        <v>1</v>
      </c>
      <c r="N40" s="1">
        <v>5.0560603833099531</v>
      </c>
      <c r="O40" s="31" t="s">
        <v>1188</v>
      </c>
      <c r="P40" s="171">
        <v>9.0997983870967733E-4</v>
      </c>
      <c r="Q40" s="29">
        <v>1</v>
      </c>
      <c r="R40" s="1">
        <v>5.0560603833099531</v>
      </c>
      <c r="S40" s="31" t="s">
        <v>1188</v>
      </c>
      <c r="T40" s="171">
        <v>9.0997983870967733E-4</v>
      </c>
      <c r="U40" s="29">
        <v>1</v>
      </c>
      <c r="V40" s="1">
        <v>5.0560603833099531</v>
      </c>
      <c r="W40" s="31" t="s">
        <v>1188</v>
      </c>
      <c r="X40" s="171">
        <v>9.0997983870967733E-4</v>
      </c>
      <c r="Y40" s="29">
        <v>1</v>
      </c>
      <c r="Z40" s="1">
        <v>5.0560603833099531</v>
      </c>
      <c r="AA40" s="31" t="s">
        <v>1188</v>
      </c>
    </row>
    <row r="41" spans="1:27" ht="24">
      <c r="A41" s="214">
        <v>0</v>
      </c>
      <c r="B41" s="168"/>
      <c r="C41" s="169">
        <v>0</v>
      </c>
      <c r="D41" s="50" t="s">
        <v>402</v>
      </c>
      <c r="E41" s="10" t="s">
        <v>527</v>
      </c>
      <c r="F41" s="144" t="s">
        <v>214</v>
      </c>
      <c r="G41" s="125" t="s">
        <v>402</v>
      </c>
      <c r="H41" s="164" t="s">
        <v>211</v>
      </c>
      <c r="I41" s="123" t="s">
        <v>212</v>
      </c>
      <c r="J41" s="124" t="s">
        <v>402</v>
      </c>
      <c r="K41" s="125" t="s">
        <v>395</v>
      </c>
      <c r="L41" s="171">
        <v>9.0997983870967733E-4</v>
      </c>
      <c r="M41" s="29">
        <v>1</v>
      </c>
      <c r="N41" s="1">
        <v>1.5646750276965706</v>
      </c>
      <c r="O41" s="31" t="s">
        <v>1188</v>
      </c>
      <c r="P41" s="171">
        <v>9.0997983870967733E-4</v>
      </c>
      <c r="Q41" s="29">
        <v>1</v>
      </c>
      <c r="R41" s="1">
        <v>1.5646750276965706</v>
      </c>
      <c r="S41" s="31" t="s">
        <v>1188</v>
      </c>
      <c r="T41" s="171">
        <v>9.0997983870967733E-4</v>
      </c>
      <c r="U41" s="29">
        <v>1</v>
      </c>
      <c r="V41" s="1">
        <v>1.5646750276965706</v>
      </c>
      <c r="W41" s="31" t="s">
        <v>1188</v>
      </c>
      <c r="X41" s="171">
        <v>9.0997983870967733E-4</v>
      </c>
      <c r="Y41" s="29">
        <v>1</v>
      </c>
      <c r="Z41" s="1">
        <v>1.5646750276965706</v>
      </c>
      <c r="AA41" s="31" t="s">
        <v>1188</v>
      </c>
    </row>
    <row r="45" spans="1:27">
      <c r="B45" s="7"/>
      <c r="C45" s="7"/>
      <c r="F45" s="7"/>
      <c r="M45" s="7"/>
      <c r="N45" s="7"/>
      <c r="O45" s="7"/>
      <c r="Q45" s="7"/>
      <c r="R45" s="7"/>
      <c r="S45" s="7"/>
      <c r="U45" s="7"/>
      <c r="V45" s="7"/>
      <c r="W45" s="7"/>
      <c r="Y45" s="7"/>
      <c r="Z45" s="7"/>
      <c r="AA45" s="7"/>
    </row>
  </sheetData>
  <phoneticPr fontId="0" type="noConversion"/>
  <dataValidations count="1">
    <dataValidation allowBlank="1" showInputMessage="1" showErrorMessage="1" prompt="always 1" sqref="L7:L10 P7:P10 T7:T10 X7:X10"/>
  </dataValidations>
  <pageMargins left="0.78740157499999996" right="0.78740157499999996" top="0.984251969" bottom="0.984251969" header="0.4921259845" footer="0.4921259845"/>
  <pageSetup paperSize="9" scale="83"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U62"/>
  <sheetViews>
    <sheetView zoomScale="75" workbookViewId="0">
      <pane xSplit="16" ySplit="6" topLeftCell="Q7" activePane="bottomRight" state="frozen"/>
      <selection activeCell="O46" sqref="O46"/>
      <selection pane="topRight" activeCell="O46" sqref="O46"/>
      <selection pane="bottomLeft" activeCell="O46" sqref="O46"/>
      <selection pane="bottomRight" activeCell="O46" sqref="O46"/>
    </sheetView>
  </sheetViews>
  <sheetFormatPr defaultColWidth="11.42578125" defaultRowHeight="12" outlineLevelCol="2"/>
  <cols>
    <col min="1" max="1" width="7.42578125" style="7" customWidth="1" outlineLevel="1"/>
    <col min="2" max="2" width="13.28515625" style="158" customWidth="1"/>
    <col min="3" max="3" width="3.7109375" style="159" hidden="1" customWidth="1" outlineLevel="1"/>
    <col min="4" max="4" width="3.140625" style="7" hidden="1" customWidth="1" outlineLevel="1"/>
    <col min="5" max="5" width="2.7109375" style="7" hidden="1" customWidth="1" outlineLevel="1"/>
    <col min="6" max="6" width="36.5703125" style="8" customWidth="1" collapsed="1"/>
    <col min="7" max="7" width="6" style="7" customWidth="1"/>
    <col min="8" max="8" width="5.7109375" style="7" hidden="1" customWidth="1" outlineLevel="1"/>
    <col min="9" max="9" width="19.42578125" style="7" hidden="1" customWidth="1" outlineLevel="1"/>
    <col min="10" max="10" width="3.28515625" style="7" customWidth="1" collapsed="1"/>
    <col min="11" max="11" width="5.140625" style="7" customWidth="1"/>
    <col min="12" max="12" width="11.42578125" style="7" customWidth="1" outlineLevel="1"/>
    <col min="13" max="13" width="2.42578125" style="140" hidden="1" customWidth="1" outlineLevel="2"/>
    <col min="14" max="14" width="4.28515625" style="140" hidden="1" customWidth="1" outlineLevel="2"/>
    <col min="15" max="15" width="30.85546875" style="140" hidden="1" customWidth="1" outlineLevel="2"/>
    <col min="16" max="16" width="12" style="7" customWidth="1" outlineLevel="1" collapsed="1"/>
    <col min="17" max="17" width="2.42578125" style="140" customWidth="1" outlineLevel="2"/>
    <col min="18" max="18" width="6.42578125" style="140" customWidth="1" outlineLevel="2"/>
    <col min="19" max="19" width="43.85546875" style="140" customWidth="1" outlineLevel="2"/>
    <col min="22" max="16384" width="11.42578125" style="7"/>
  </cols>
  <sheetData>
    <row r="1" spans="1:21">
      <c r="A1" s="36"/>
      <c r="B1" s="34"/>
      <c r="C1" s="35"/>
      <c r="D1" s="36"/>
      <c r="E1" s="36"/>
      <c r="F1" s="37" t="s">
        <v>510</v>
      </c>
      <c r="G1" s="36"/>
      <c r="H1" s="36"/>
      <c r="I1" s="36"/>
      <c r="J1" s="36"/>
      <c r="K1" s="36"/>
      <c r="L1" s="146">
        <v>32078</v>
      </c>
      <c r="M1" s="22"/>
      <c r="N1" s="22"/>
      <c r="O1" s="22"/>
      <c r="P1" s="122">
        <v>32079</v>
      </c>
      <c r="Q1" s="22"/>
      <c r="R1" s="22"/>
      <c r="S1" s="22"/>
    </row>
    <row r="2" spans="1:21">
      <c r="A2" s="36"/>
      <c r="B2" s="147"/>
      <c r="C2" s="35" t="s">
        <v>511</v>
      </c>
      <c r="D2" s="147">
        <v>3503</v>
      </c>
      <c r="E2" s="147">
        <v>3504</v>
      </c>
      <c r="F2" s="147">
        <v>3702</v>
      </c>
      <c r="G2" s="147">
        <v>3703</v>
      </c>
      <c r="H2" s="147">
        <v>3506</v>
      </c>
      <c r="I2" s="147">
        <v>3507</v>
      </c>
      <c r="J2" s="147">
        <v>3508</v>
      </c>
      <c r="K2" s="147">
        <v>3706</v>
      </c>
      <c r="L2" s="147">
        <v>3707</v>
      </c>
      <c r="M2" s="23">
        <v>3708</v>
      </c>
      <c r="N2" s="23">
        <v>3709</v>
      </c>
      <c r="O2" s="134">
        <v>3792</v>
      </c>
      <c r="P2" s="147">
        <v>3707</v>
      </c>
      <c r="Q2" s="23">
        <v>3708</v>
      </c>
      <c r="R2" s="23">
        <v>3709</v>
      </c>
      <c r="S2" s="134">
        <v>3792</v>
      </c>
    </row>
    <row r="3" spans="1:21" ht="56.25" customHeight="1">
      <c r="A3" s="36" t="s">
        <v>398</v>
      </c>
      <c r="B3" s="166"/>
      <c r="C3" s="35">
        <v>401</v>
      </c>
      <c r="D3" s="167" t="s">
        <v>514</v>
      </c>
      <c r="E3" s="167" t="s">
        <v>515</v>
      </c>
      <c r="F3" s="132" t="s">
        <v>516</v>
      </c>
      <c r="G3" s="41" t="s">
        <v>517</v>
      </c>
      <c r="H3" s="41" t="s">
        <v>518</v>
      </c>
      <c r="I3" s="41" t="s">
        <v>519</v>
      </c>
      <c r="J3" s="41" t="s">
        <v>520</v>
      </c>
      <c r="K3" s="41" t="s">
        <v>394</v>
      </c>
      <c r="L3" s="177" t="s">
        <v>1337</v>
      </c>
      <c r="M3" s="25" t="s">
        <v>265</v>
      </c>
      <c r="N3" s="25" t="s">
        <v>266</v>
      </c>
      <c r="O3" s="136" t="s">
        <v>548</v>
      </c>
      <c r="P3" s="177" t="s">
        <v>1338</v>
      </c>
      <c r="Q3" s="25" t="s">
        <v>265</v>
      </c>
      <c r="R3" s="25" t="s">
        <v>266</v>
      </c>
      <c r="S3" s="136" t="s">
        <v>548</v>
      </c>
    </row>
    <row r="4" spans="1:21" ht="12" customHeight="1">
      <c r="A4" s="36"/>
      <c r="B4" s="166"/>
      <c r="C4" s="35">
        <v>662</v>
      </c>
      <c r="D4" s="13"/>
      <c r="E4" s="13"/>
      <c r="F4" s="132" t="s">
        <v>517</v>
      </c>
      <c r="G4" s="132"/>
      <c r="H4" s="132"/>
      <c r="I4" s="132"/>
      <c r="J4" s="132"/>
      <c r="K4" s="132"/>
      <c r="L4" s="177" t="s">
        <v>268</v>
      </c>
      <c r="M4" s="27"/>
      <c r="N4" s="27"/>
      <c r="O4" s="201"/>
      <c r="P4" s="177" t="s">
        <v>268</v>
      </c>
      <c r="Q4" s="27"/>
      <c r="R4" s="27"/>
      <c r="S4" s="201"/>
    </row>
    <row r="5" spans="1:21">
      <c r="A5" s="36"/>
      <c r="B5" s="166"/>
      <c r="C5" s="35">
        <v>493</v>
      </c>
      <c r="D5" s="13"/>
      <c r="E5" s="13"/>
      <c r="F5" s="132" t="s">
        <v>520</v>
      </c>
      <c r="G5" s="132"/>
      <c r="H5" s="132"/>
      <c r="I5" s="132"/>
      <c r="J5" s="132"/>
      <c r="K5" s="132"/>
      <c r="L5" s="177">
        <v>1</v>
      </c>
      <c r="M5" s="27"/>
      <c r="N5" s="27"/>
      <c r="O5" s="201"/>
      <c r="P5" s="177">
        <v>1</v>
      </c>
      <c r="Q5" s="27"/>
      <c r="R5" s="27"/>
      <c r="S5" s="201"/>
    </row>
    <row r="6" spans="1:21">
      <c r="A6" s="36"/>
      <c r="B6" s="166"/>
      <c r="C6" s="35">
        <v>403</v>
      </c>
      <c r="D6" s="13"/>
      <c r="E6" s="13"/>
      <c r="F6" s="132" t="s">
        <v>394</v>
      </c>
      <c r="G6" s="352"/>
      <c r="H6" s="132"/>
      <c r="I6" s="132"/>
      <c r="J6" s="132"/>
      <c r="K6" s="132"/>
      <c r="L6" s="177" t="s">
        <v>396</v>
      </c>
      <c r="M6" s="27"/>
      <c r="N6" s="27"/>
      <c r="O6" s="201"/>
      <c r="P6" s="177" t="s">
        <v>396</v>
      </c>
      <c r="Q6" s="27"/>
      <c r="R6" s="27"/>
      <c r="S6" s="201"/>
    </row>
    <row r="7" spans="1:21">
      <c r="A7" s="120">
        <v>32078</v>
      </c>
      <c r="B7" s="168" t="s">
        <v>523</v>
      </c>
      <c r="C7" s="169"/>
      <c r="D7" s="11" t="s">
        <v>402</v>
      </c>
      <c r="E7" s="170">
        <v>0</v>
      </c>
      <c r="F7" s="145" t="s">
        <v>1337</v>
      </c>
      <c r="G7" s="16" t="s">
        <v>268</v>
      </c>
      <c r="H7" s="14" t="s">
        <v>402</v>
      </c>
      <c r="I7" s="14" t="s">
        <v>402</v>
      </c>
      <c r="J7" s="15">
        <v>1</v>
      </c>
      <c r="K7" s="16" t="s">
        <v>396</v>
      </c>
      <c r="L7" s="149">
        <v>1</v>
      </c>
      <c r="M7" s="29"/>
      <c r="N7" s="30"/>
      <c r="O7" s="139"/>
      <c r="P7" s="149">
        <v>0</v>
      </c>
      <c r="Q7" s="29"/>
      <c r="R7" s="1"/>
      <c r="S7" s="139"/>
    </row>
    <row r="8" spans="1:21">
      <c r="A8" s="120">
        <v>32079</v>
      </c>
      <c r="B8" s="146"/>
      <c r="C8" s="169"/>
      <c r="D8" s="11" t="s">
        <v>402</v>
      </c>
      <c r="E8" s="170">
        <v>0</v>
      </c>
      <c r="F8" s="145" t="s">
        <v>1338</v>
      </c>
      <c r="G8" s="16" t="s">
        <v>268</v>
      </c>
      <c r="H8" s="14" t="s">
        <v>402</v>
      </c>
      <c r="I8" s="14" t="s">
        <v>402</v>
      </c>
      <c r="J8" s="15">
        <v>1</v>
      </c>
      <c r="K8" s="16" t="s">
        <v>396</v>
      </c>
      <c r="L8" s="149">
        <v>0</v>
      </c>
      <c r="M8" s="29"/>
      <c r="N8" s="30"/>
      <c r="O8" s="139"/>
      <c r="P8" s="149">
        <v>1</v>
      </c>
      <c r="Q8" s="29"/>
      <c r="R8" s="1"/>
      <c r="S8" s="139"/>
    </row>
    <row r="9" spans="1:21" ht="24">
      <c r="A9" s="226">
        <v>2362</v>
      </c>
      <c r="B9" s="168" t="s">
        <v>524</v>
      </c>
      <c r="C9" s="151" t="s">
        <v>525</v>
      </c>
      <c r="D9" s="152" t="s">
        <v>526</v>
      </c>
      <c r="E9" s="153" t="s">
        <v>402</v>
      </c>
      <c r="F9" s="144" t="s">
        <v>1133</v>
      </c>
      <c r="G9" s="125" t="s">
        <v>268</v>
      </c>
      <c r="H9" s="154" t="s">
        <v>402</v>
      </c>
      <c r="I9" s="123" t="s">
        <v>402</v>
      </c>
      <c r="J9" s="124">
        <v>0</v>
      </c>
      <c r="K9" s="125" t="s">
        <v>678</v>
      </c>
      <c r="L9" s="155">
        <v>44.7</v>
      </c>
      <c r="M9" s="29">
        <v>1</v>
      </c>
      <c r="N9" s="1">
        <v>1.0714359004449265</v>
      </c>
      <c r="O9" s="139" t="s">
        <v>1339</v>
      </c>
      <c r="P9" s="155">
        <v>0</v>
      </c>
      <c r="Q9" s="29">
        <v>1</v>
      </c>
      <c r="R9" s="1">
        <v>1.0714359004449265</v>
      </c>
      <c r="S9" s="31" t="s">
        <v>1339</v>
      </c>
    </row>
    <row r="10" spans="1:21" s="689" customFormat="1" ht="36">
      <c r="A10" s="693">
        <v>4007</v>
      </c>
      <c r="B10" s="721"/>
      <c r="C10" s="672" t="s">
        <v>525</v>
      </c>
      <c r="D10" s="673" t="s">
        <v>526</v>
      </c>
      <c r="E10" s="674" t="s">
        <v>402</v>
      </c>
      <c r="F10" s="675" t="s">
        <v>1340</v>
      </c>
      <c r="G10" s="676" t="s">
        <v>521</v>
      </c>
      <c r="H10" s="677" t="s">
        <v>402</v>
      </c>
      <c r="I10" s="678" t="s">
        <v>402</v>
      </c>
      <c r="J10" s="679">
        <v>0</v>
      </c>
      <c r="K10" s="676" t="s">
        <v>677</v>
      </c>
      <c r="L10" s="680">
        <v>0</v>
      </c>
      <c r="M10" s="681">
        <v>1</v>
      </c>
      <c r="N10" s="682">
        <v>1.0714359004449265</v>
      </c>
      <c r="O10" s="683" t="s">
        <v>1341</v>
      </c>
      <c r="P10" s="680">
        <v>0</v>
      </c>
      <c r="Q10" s="681">
        <v>1</v>
      </c>
      <c r="R10" s="682">
        <v>1.0714359004449265</v>
      </c>
      <c r="S10" s="684" t="s">
        <v>1341</v>
      </c>
      <c r="T10" s="725"/>
      <c r="U10" s="725"/>
    </row>
    <row r="11" spans="1:21" ht="24">
      <c r="A11" s="226">
        <v>4088</v>
      </c>
      <c r="B11" s="168" t="s">
        <v>525</v>
      </c>
      <c r="C11" s="151" t="s">
        <v>525</v>
      </c>
      <c r="D11" s="152" t="s">
        <v>526</v>
      </c>
      <c r="E11" s="153" t="s">
        <v>402</v>
      </c>
      <c r="F11" s="144" t="s">
        <v>1272</v>
      </c>
      <c r="G11" s="125" t="s">
        <v>521</v>
      </c>
      <c r="H11" s="154" t="s">
        <v>402</v>
      </c>
      <c r="I11" s="123" t="s">
        <v>402</v>
      </c>
      <c r="J11" s="124">
        <v>0</v>
      </c>
      <c r="K11" s="125" t="s">
        <v>677</v>
      </c>
      <c r="L11" s="155">
        <v>0</v>
      </c>
      <c r="M11" s="29">
        <v>1</v>
      </c>
      <c r="N11" s="1">
        <v>1.0714359004449265</v>
      </c>
      <c r="O11" s="139" t="s">
        <v>1342</v>
      </c>
      <c r="P11" s="155">
        <v>15.5</v>
      </c>
      <c r="Q11" s="29">
        <v>1</v>
      </c>
      <c r="R11" s="1">
        <v>1.0714359004449265</v>
      </c>
      <c r="S11" s="31" t="s">
        <v>1342</v>
      </c>
    </row>
    <row r="12" spans="1:21" ht="12.75">
      <c r="A12" s="122">
        <v>4849</v>
      </c>
      <c r="B12" s="37" t="s">
        <v>154</v>
      </c>
      <c r="C12" s="151" t="s">
        <v>525</v>
      </c>
      <c r="D12" s="152" t="s">
        <v>526</v>
      </c>
      <c r="E12" s="153" t="s">
        <v>402</v>
      </c>
      <c r="F12" s="144" t="s">
        <v>1303</v>
      </c>
      <c r="G12" s="125" t="s">
        <v>51</v>
      </c>
      <c r="H12" s="154" t="s">
        <v>402</v>
      </c>
      <c r="I12" s="123" t="s">
        <v>402</v>
      </c>
      <c r="J12" s="124">
        <v>1</v>
      </c>
      <c r="K12" s="125" t="s">
        <v>522</v>
      </c>
      <c r="L12" s="155">
        <v>3.9999999999999998E-6</v>
      </c>
      <c r="M12" s="29">
        <v>1</v>
      </c>
      <c r="N12" s="1">
        <v>3.0161925676538148</v>
      </c>
      <c r="O12" s="139" t="s">
        <v>1343</v>
      </c>
      <c r="P12" s="155">
        <v>0</v>
      </c>
      <c r="Q12" s="29">
        <v>1</v>
      </c>
      <c r="R12" s="1">
        <v>3.0161925676538148</v>
      </c>
      <c r="S12" s="31" t="s">
        <v>1343</v>
      </c>
    </row>
    <row r="13" spans="1:21" ht="12.75">
      <c r="A13" s="36">
        <v>679</v>
      </c>
      <c r="B13" s="168" t="s">
        <v>525</v>
      </c>
      <c r="C13" s="151" t="s">
        <v>525</v>
      </c>
      <c r="D13" s="152" t="s">
        <v>526</v>
      </c>
      <c r="E13" s="153" t="s">
        <v>402</v>
      </c>
      <c r="F13" s="144" t="s">
        <v>111</v>
      </c>
      <c r="G13" s="125" t="s">
        <v>521</v>
      </c>
      <c r="H13" s="154" t="s">
        <v>402</v>
      </c>
      <c r="I13" s="123" t="s">
        <v>402</v>
      </c>
      <c r="J13" s="124">
        <v>0</v>
      </c>
      <c r="K13" s="125" t="s">
        <v>395</v>
      </c>
      <c r="L13" s="155">
        <v>131</v>
      </c>
      <c r="M13" s="29">
        <v>1</v>
      </c>
      <c r="N13" s="1">
        <v>1.0714359004449265</v>
      </c>
      <c r="O13" s="139" t="s">
        <v>1344</v>
      </c>
      <c r="P13" s="155">
        <v>0</v>
      </c>
      <c r="Q13" s="29">
        <v>1</v>
      </c>
      <c r="R13" s="1">
        <v>1.0714359004449265</v>
      </c>
      <c r="S13" s="31" t="s">
        <v>1344</v>
      </c>
    </row>
    <row r="14" spans="1:21" ht="12.75">
      <c r="A14" s="226">
        <v>2932</v>
      </c>
      <c r="B14" s="168" t="s">
        <v>525</v>
      </c>
      <c r="C14" s="151" t="s">
        <v>525</v>
      </c>
      <c r="D14" s="152" t="s">
        <v>526</v>
      </c>
      <c r="E14" s="153" t="s">
        <v>402</v>
      </c>
      <c r="F14" s="144" t="s">
        <v>1306</v>
      </c>
      <c r="G14" s="125" t="s">
        <v>521</v>
      </c>
      <c r="H14" s="154" t="s">
        <v>402</v>
      </c>
      <c r="I14" s="123" t="s">
        <v>402</v>
      </c>
      <c r="J14" s="124">
        <v>0</v>
      </c>
      <c r="K14" s="125" t="s">
        <v>395</v>
      </c>
      <c r="L14" s="155">
        <v>7.7</v>
      </c>
      <c r="M14" s="29">
        <v>1</v>
      </c>
      <c r="N14" s="1">
        <v>1.0714359004449265</v>
      </c>
      <c r="O14" s="139" t="s">
        <v>1345</v>
      </c>
      <c r="P14" s="155">
        <v>0</v>
      </c>
      <c r="Q14" s="29">
        <v>1</v>
      </c>
      <c r="R14" s="1">
        <v>1.0714359004449265</v>
      </c>
      <c r="S14" s="31" t="s">
        <v>1345</v>
      </c>
    </row>
    <row r="15" spans="1:21" ht="12.75">
      <c r="A15" s="120">
        <v>32078</v>
      </c>
      <c r="B15" s="37" t="s">
        <v>150</v>
      </c>
      <c r="C15" s="151" t="s">
        <v>525</v>
      </c>
      <c r="D15" s="152" t="s">
        <v>526</v>
      </c>
      <c r="E15" s="153" t="s">
        <v>402</v>
      </c>
      <c r="F15" s="144" t="s">
        <v>1337</v>
      </c>
      <c r="G15" s="125" t="s">
        <v>268</v>
      </c>
      <c r="H15" s="154" t="s">
        <v>402</v>
      </c>
      <c r="I15" s="123" t="s">
        <v>402</v>
      </c>
      <c r="J15" s="124">
        <v>1</v>
      </c>
      <c r="K15" s="125" t="s">
        <v>396</v>
      </c>
      <c r="L15" s="155">
        <v>0</v>
      </c>
      <c r="M15" s="29">
        <v>1</v>
      </c>
      <c r="N15" s="1">
        <v>3.0032503680908538</v>
      </c>
      <c r="O15" s="139" t="s">
        <v>1345</v>
      </c>
      <c r="P15" s="155">
        <v>1</v>
      </c>
      <c r="Q15" s="29">
        <v>1</v>
      </c>
      <c r="R15" s="1">
        <v>3.0032503680908538</v>
      </c>
      <c r="S15" s="31" t="s">
        <v>1345</v>
      </c>
    </row>
    <row r="16" spans="1:21" ht="12.75">
      <c r="A16" s="156">
        <v>67</v>
      </c>
      <c r="B16" s="37"/>
      <c r="C16" s="151" t="s">
        <v>525</v>
      </c>
      <c r="D16" s="152" t="s">
        <v>526</v>
      </c>
      <c r="E16" s="153" t="s">
        <v>402</v>
      </c>
      <c r="F16" s="144" t="s">
        <v>1084</v>
      </c>
      <c r="G16" s="125" t="s">
        <v>521</v>
      </c>
      <c r="H16" s="154" t="s">
        <v>402</v>
      </c>
      <c r="I16" s="123" t="s">
        <v>402</v>
      </c>
      <c r="J16" s="124">
        <v>0</v>
      </c>
      <c r="K16" s="125" t="s">
        <v>395</v>
      </c>
      <c r="L16" s="155">
        <v>0</v>
      </c>
      <c r="M16" s="29">
        <v>1</v>
      </c>
      <c r="N16" s="1">
        <v>1.0714359004449265</v>
      </c>
      <c r="O16" s="139" t="s">
        <v>1344</v>
      </c>
      <c r="P16" s="155">
        <v>2.2000000000000002</v>
      </c>
      <c r="Q16" s="29">
        <v>1</v>
      </c>
      <c r="R16" s="1">
        <v>1.0714359004449265</v>
      </c>
      <c r="S16" s="31" t="s">
        <v>1344</v>
      </c>
    </row>
    <row r="17" spans="1:21" ht="12.75">
      <c r="A17" s="156">
        <v>992</v>
      </c>
      <c r="B17" s="37" t="s">
        <v>525</v>
      </c>
      <c r="C17" s="151" t="s">
        <v>525</v>
      </c>
      <c r="D17" s="152" t="s">
        <v>526</v>
      </c>
      <c r="E17" s="153" t="s">
        <v>402</v>
      </c>
      <c r="F17" s="144" t="s">
        <v>1085</v>
      </c>
      <c r="G17" s="125" t="s">
        <v>521</v>
      </c>
      <c r="H17" s="154" t="s">
        <v>402</v>
      </c>
      <c r="I17" s="123" t="s">
        <v>402</v>
      </c>
      <c r="J17" s="124">
        <v>0</v>
      </c>
      <c r="K17" s="125" t="s">
        <v>395</v>
      </c>
      <c r="L17" s="155">
        <v>9.7699999999999992E-3</v>
      </c>
      <c r="M17" s="29">
        <v>1</v>
      </c>
      <c r="N17" s="1">
        <v>1.0714359004449265</v>
      </c>
      <c r="O17" s="139" t="s">
        <v>1344</v>
      </c>
      <c r="P17" s="155">
        <v>0</v>
      </c>
      <c r="Q17" s="29">
        <v>1</v>
      </c>
      <c r="R17" s="1">
        <v>1.0714359004449265</v>
      </c>
      <c r="S17" s="31" t="s">
        <v>1344</v>
      </c>
    </row>
    <row r="18" spans="1:21" s="689" customFormat="1" ht="36">
      <c r="A18" s="693">
        <v>4805</v>
      </c>
      <c r="B18" s="721"/>
      <c r="C18" s="672" t="s">
        <v>525</v>
      </c>
      <c r="D18" s="673" t="s">
        <v>526</v>
      </c>
      <c r="E18" s="674" t="s">
        <v>402</v>
      </c>
      <c r="F18" s="675" t="s">
        <v>1346</v>
      </c>
      <c r="G18" s="676" t="s">
        <v>521</v>
      </c>
      <c r="H18" s="677" t="s">
        <v>402</v>
      </c>
      <c r="I18" s="678" t="s">
        <v>402</v>
      </c>
      <c r="J18" s="679">
        <v>0</v>
      </c>
      <c r="K18" s="676" t="s">
        <v>395</v>
      </c>
      <c r="L18" s="680">
        <v>4.4400000000000002E-2</v>
      </c>
      <c r="M18" s="681">
        <v>1</v>
      </c>
      <c r="N18" s="682">
        <v>1.0714359004449265</v>
      </c>
      <c r="O18" s="683" t="s">
        <v>1341</v>
      </c>
      <c r="P18" s="680">
        <v>0</v>
      </c>
      <c r="Q18" s="681">
        <v>1</v>
      </c>
      <c r="R18" s="682">
        <v>1.0714359004449265</v>
      </c>
      <c r="S18" s="684" t="s">
        <v>1341</v>
      </c>
      <c r="T18" s="725"/>
      <c r="U18" s="725"/>
    </row>
    <row r="19" spans="1:21" s="689" customFormat="1" ht="36">
      <c r="A19" s="693">
        <v>1014</v>
      </c>
      <c r="B19" s="721"/>
      <c r="C19" s="672" t="s">
        <v>525</v>
      </c>
      <c r="D19" s="673" t="s">
        <v>526</v>
      </c>
      <c r="E19" s="674" t="s">
        <v>402</v>
      </c>
      <c r="F19" s="675" t="s">
        <v>1087</v>
      </c>
      <c r="G19" s="676" t="s">
        <v>521</v>
      </c>
      <c r="H19" s="677" t="s">
        <v>402</v>
      </c>
      <c r="I19" s="678" t="s">
        <v>402</v>
      </c>
      <c r="J19" s="679">
        <v>0</v>
      </c>
      <c r="K19" s="676" t="s">
        <v>395</v>
      </c>
      <c r="L19" s="680">
        <v>5.27</v>
      </c>
      <c r="M19" s="681">
        <v>1</v>
      </c>
      <c r="N19" s="682">
        <v>1.0714359004449265</v>
      </c>
      <c r="O19" s="683" t="s">
        <v>1341</v>
      </c>
      <c r="P19" s="680">
        <v>0</v>
      </c>
      <c r="Q19" s="681">
        <v>1</v>
      </c>
      <c r="R19" s="682">
        <v>1.0714359004449265</v>
      </c>
      <c r="S19" s="684" t="s">
        <v>1341</v>
      </c>
      <c r="T19" s="725"/>
      <c r="U19" s="725"/>
    </row>
    <row r="20" spans="1:21" s="689" customFormat="1" ht="36">
      <c r="A20" s="693">
        <v>30173</v>
      </c>
      <c r="B20" s="721"/>
      <c r="C20" s="672" t="s">
        <v>525</v>
      </c>
      <c r="D20" s="673" t="s">
        <v>526</v>
      </c>
      <c r="E20" s="674" t="s">
        <v>402</v>
      </c>
      <c r="F20" s="675" t="s">
        <v>1307</v>
      </c>
      <c r="G20" s="676" t="s">
        <v>51</v>
      </c>
      <c r="H20" s="677" t="s">
        <v>402</v>
      </c>
      <c r="I20" s="678" t="s">
        <v>402</v>
      </c>
      <c r="J20" s="679">
        <v>0</v>
      </c>
      <c r="K20" s="676" t="s">
        <v>395</v>
      </c>
      <c r="L20" s="680">
        <v>1.4400000000000001E-3</v>
      </c>
      <c r="M20" s="681">
        <v>1</v>
      </c>
      <c r="N20" s="682">
        <v>1.0714359004449265</v>
      </c>
      <c r="O20" s="683" t="s">
        <v>1341</v>
      </c>
      <c r="P20" s="680">
        <v>0</v>
      </c>
      <c r="Q20" s="681">
        <v>1</v>
      </c>
      <c r="R20" s="682">
        <v>1.0714359004449265</v>
      </c>
      <c r="S20" s="684" t="s">
        <v>1341</v>
      </c>
      <c r="T20" s="725"/>
      <c r="U20" s="725"/>
    </row>
    <row r="21" spans="1:21" s="689" customFormat="1" ht="36">
      <c r="A21" s="693">
        <v>3819</v>
      </c>
      <c r="B21" s="721"/>
      <c r="C21" s="672" t="s">
        <v>525</v>
      </c>
      <c r="D21" s="673" t="s">
        <v>526</v>
      </c>
      <c r="E21" s="674" t="s">
        <v>402</v>
      </c>
      <c r="F21" s="675" t="s">
        <v>1095</v>
      </c>
      <c r="G21" s="676" t="s">
        <v>521</v>
      </c>
      <c r="H21" s="677" t="s">
        <v>402</v>
      </c>
      <c r="I21" s="678" t="s">
        <v>402</v>
      </c>
      <c r="J21" s="679">
        <v>0</v>
      </c>
      <c r="K21" s="676" t="s">
        <v>395</v>
      </c>
      <c r="L21" s="680">
        <v>0.40400000000000003</v>
      </c>
      <c r="M21" s="681">
        <v>1</v>
      </c>
      <c r="N21" s="682">
        <v>1.0714359004449265</v>
      </c>
      <c r="O21" s="683" t="s">
        <v>1341</v>
      </c>
      <c r="P21" s="680">
        <v>0</v>
      </c>
      <c r="Q21" s="681">
        <v>1</v>
      </c>
      <c r="R21" s="682">
        <v>1.0714359004449265</v>
      </c>
      <c r="S21" s="684" t="s">
        <v>1341</v>
      </c>
      <c r="T21" s="725"/>
      <c r="U21" s="725"/>
    </row>
    <row r="22" spans="1:21" ht="24">
      <c r="A22" s="120">
        <v>2775</v>
      </c>
      <c r="B22" s="37" t="s">
        <v>476</v>
      </c>
      <c r="C22" s="151" t="s">
        <v>525</v>
      </c>
      <c r="D22" s="152" t="s">
        <v>526</v>
      </c>
      <c r="E22" s="153" t="s">
        <v>402</v>
      </c>
      <c r="F22" s="144" t="s">
        <v>1096</v>
      </c>
      <c r="G22" s="125" t="s">
        <v>521</v>
      </c>
      <c r="H22" s="154" t="s">
        <v>402</v>
      </c>
      <c r="I22" s="123" t="s">
        <v>402</v>
      </c>
      <c r="J22" s="124">
        <v>0</v>
      </c>
      <c r="K22" s="125" t="s">
        <v>395</v>
      </c>
      <c r="L22" s="155">
        <v>6.0600000000000003E-3</v>
      </c>
      <c r="M22" s="29">
        <v>1</v>
      </c>
      <c r="N22" s="1">
        <v>1.1308009960566481</v>
      </c>
      <c r="O22" s="139" t="s">
        <v>1347</v>
      </c>
      <c r="P22" s="155">
        <v>0</v>
      </c>
      <c r="Q22" s="29">
        <v>1</v>
      </c>
      <c r="R22" s="1">
        <v>1.1308009960566481</v>
      </c>
      <c r="S22" s="31" t="s">
        <v>1347</v>
      </c>
    </row>
    <row r="23" spans="1:21" ht="24">
      <c r="A23" s="120">
        <v>32122</v>
      </c>
      <c r="B23" s="37"/>
      <c r="C23" s="151" t="s">
        <v>525</v>
      </c>
      <c r="D23" s="152" t="s">
        <v>526</v>
      </c>
      <c r="E23" s="153" t="s">
        <v>402</v>
      </c>
      <c r="F23" s="144" t="s">
        <v>1097</v>
      </c>
      <c r="G23" s="125" t="s">
        <v>521</v>
      </c>
      <c r="H23" s="154" t="s">
        <v>402</v>
      </c>
      <c r="I23" s="123" t="s">
        <v>402</v>
      </c>
      <c r="J23" s="124">
        <v>0</v>
      </c>
      <c r="K23" s="125" t="s">
        <v>395</v>
      </c>
      <c r="L23" s="155">
        <v>2.82E-3</v>
      </c>
      <c r="M23" s="29">
        <v>1</v>
      </c>
      <c r="N23" s="1">
        <v>1.1308009960566481</v>
      </c>
      <c r="O23" s="139" t="s">
        <v>1347</v>
      </c>
      <c r="P23" s="155">
        <v>0</v>
      </c>
      <c r="Q23" s="29">
        <v>1</v>
      </c>
      <c r="R23" s="1">
        <v>1.1308009960566481</v>
      </c>
      <c r="S23" s="31" t="s">
        <v>1347</v>
      </c>
    </row>
    <row r="24" spans="1:21" s="689" customFormat="1" ht="36">
      <c r="A24" s="693">
        <v>32117</v>
      </c>
      <c r="B24" s="721"/>
      <c r="C24" s="672" t="s">
        <v>525</v>
      </c>
      <c r="D24" s="673" t="s">
        <v>526</v>
      </c>
      <c r="E24" s="674" t="s">
        <v>402</v>
      </c>
      <c r="F24" s="675" t="s">
        <v>1089</v>
      </c>
      <c r="G24" s="676" t="s">
        <v>465</v>
      </c>
      <c r="H24" s="677" t="s">
        <v>402</v>
      </c>
      <c r="I24" s="678" t="s">
        <v>402</v>
      </c>
      <c r="J24" s="679">
        <v>0</v>
      </c>
      <c r="K24" s="676" t="s">
        <v>395</v>
      </c>
      <c r="L24" s="680">
        <v>2.6899999999999998E-4</v>
      </c>
      <c r="M24" s="681">
        <v>1</v>
      </c>
      <c r="N24" s="682">
        <v>1.0714359004449265</v>
      </c>
      <c r="O24" s="683" t="s">
        <v>1341</v>
      </c>
      <c r="P24" s="680">
        <v>0</v>
      </c>
      <c r="Q24" s="681">
        <v>1</v>
      </c>
      <c r="R24" s="682">
        <v>1.0714359004449265</v>
      </c>
      <c r="S24" s="684" t="s">
        <v>1341</v>
      </c>
      <c r="T24" s="725"/>
      <c r="U24" s="725"/>
    </row>
    <row r="25" spans="1:21" ht="24">
      <c r="A25" s="120">
        <v>32120</v>
      </c>
      <c r="B25" s="37"/>
      <c r="C25" s="151" t="s">
        <v>525</v>
      </c>
      <c r="D25" s="152" t="s">
        <v>526</v>
      </c>
      <c r="E25" s="153" t="s">
        <v>402</v>
      </c>
      <c r="F25" s="144" t="s">
        <v>1098</v>
      </c>
      <c r="G25" s="125" t="s">
        <v>521</v>
      </c>
      <c r="H25" s="154" t="s">
        <v>402</v>
      </c>
      <c r="I25" s="123" t="s">
        <v>402</v>
      </c>
      <c r="J25" s="124">
        <v>0</v>
      </c>
      <c r="K25" s="125" t="s">
        <v>395</v>
      </c>
      <c r="L25" s="155">
        <v>8.9899999999999995E-4</v>
      </c>
      <c r="M25" s="29">
        <v>1</v>
      </c>
      <c r="N25" s="1">
        <v>1.1308009960566481</v>
      </c>
      <c r="O25" s="139" t="s">
        <v>1347</v>
      </c>
      <c r="P25" s="155">
        <v>0</v>
      </c>
      <c r="Q25" s="29">
        <v>1</v>
      </c>
      <c r="R25" s="1">
        <v>1.1308009960566481</v>
      </c>
      <c r="S25" s="31" t="s">
        <v>1347</v>
      </c>
    </row>
    <row r="26" spans="1:21" ht="24">
      <c r="A26" s="120">
        <v>4260</v>
      </c>
      <c r="B26" s="37"/>
      <c r="C26" s="151" t="s">
        <v>525</v>
      </c>
      <c r="D26" s="152" t="s">
        <v>526</v>
      </c>
      <c r="E26" s="153" t="s">
        <v>402</v>
      </c>
      <c r="F26" s="144" t="s">
        <v>1099</v>
      </c>
      <c r="G26" s="125" t="s">
        <v>521</v>
      </c>
      <c r="H26" s="154" t="s">
        <v>402</v>
      </c>
      <c r="I26" s="123" t="s">
        <v>402</v>
      </c>
      <c r="J26" s="124">
        <v>0</v>
      </c>
      <c r="K26" s="125" t="s">
        <v>395</v>
      </c>
      <c r="L26" s="155">
        <v>5.5999999999999999E-3</v>
      </c>
      <c r="M26" s="29">
        <v>1</v>
      </c>
      <c r="N26" s="1">
        <v>1.1308009960566481</v>
      </c>
      <c r="O26" s="139" t="s">
        <v>1347</v>
      </c>
      <c r="P26" s="155">
        <v>0</v>
      </c>
      <c r="Q26" s="29">
        <v>1</v>
      </c>
      <c r="R26" s="1">
        <v>1.1308009960566481</v>
      </c>
      <c r="S26" s="31" t="s">
        <v>1347</v>
      </c>
    </row>
    <row r="27" spans="1:21" ht="24">
      <c r="A27" s="120">
        <v>32117</v>
      </c>
      <c r="B27" s="37"/>
      <c r="C27" s="151" t="s">
        <v>525</v>
      </c>
      <c r="D27" s="152" t="s">
        <v>526</v>
      </c>
      <c r="E27" s="153" t="s">
        <v>402</v>
      </c>
      <c r="F27" s="144" t="s">
        <v>1089</v>
      </c>
      <c r="G27" s="125" t="s">
        <v>465</v>
      </c>
      <c r="H27" s="154" t="s">
        <v>402</v>
      </c>
      <c r="I27" s="123" t="s">
        <v>402</v>
      </c>
      <c r="J27" s="124">
        <v>0</v>
      </c>
      <c r="K27" s="125" t="s">
        <v>395</v>
      </c>
      <c r="L27" s="155">
        <v>0</v>
      </c>
      <c r="M27" s="29">
        <v>1</v>
      </c>
      <c r="N27" s="1">
        <v>1.1308009960566481</v>
      </c>
      <c r="O27" s="139" t="s">
        <v>1347</v>
      </c>
      <c r="P27" s="155">
        <v>0</v>
      </c>
      <c r="Q27" s="29">
        <v>1</v>
      </c>
      <c r="R27" s="1">
        <v>1.1308009960566481</v>
      </c>
      <c r="S27" s="31" t="s">
        <v>1347</v>
      </c>
    </row>
    <row r="28" spans="1:21" ht="24">
      <c r="A28" s="120">
        <v>1182</v>
      </c>
      <c r="B28" s="37"/>
      <c r="C28" s="151" t="s">
        <v>525</v>
      </c>
      <c r="D28" s="152" t="s">
        <v>526</v>
      </c>
      <c r="E28" s="153" t="s">
        <v>402</v>
      </c>
      <c r="F28" s="144" t="s">
        <v>1100</v>
      </c>
      <c r="G28" s="125" t="s">
        <v>521</v>
      </c>
      <c r="H28" s="154" t="s">
        <v>402</v>
      </c>
      <c r="I28" s="123" t="s">
        <v>402</v>
      </c>
      <c r="J28" s="124">
        <v>0</v>
      </c>
      <c r="K28" s="125" t="s">
        <v>395</v>
      </c>
      <c r="L28" s="155">
        <v>0</v>
      </c>
      <c r="M28" s="29">
        <v>1</v>
      </c>
      <c r="N28" s="1">
        <v>1.1308009960566481</v>
      </c>
      <c r="O28" s="139" t="s">
        <v>1347</v>
      </c>
      <c r="P28" s="155">
        <v>0</v>
      </c>
      <c r="Q28" s="29">
        <v>1</v>
      </c>
      <c r="R28" s="1">
        <v>1.1308009960566481</v>
      </c>
      <c r="S28" s="31" t="s">
        <v>1347</v>
      </c>
    </row>
    <row r="29" spans="1:21" ht="24">
      <c r="A29" s="120">
        <v>2796</v>
      </c>
      <c r="B29" s="37"/>
      <c r="C29" s="151" t="s">
        <v>525</v>
      </c>
      <c r="D29" s="152" t="s">
        <v>526</v>
      </c>
      <c r="E29" s="153" t="s">
        <v>402</v>
      </c>
      <c r="F29" s="144" t="s">
        <v>1101</v>
      </c>
      <c r="G29" s="125" t="s">
        <v>521</v>
      </c>
      <c r="H29" s="154" t="s">
        <v>402</v>
      </c>
      <c r="I29" s="123" t="s">
        <v>402</v>
      </c>
      <c r="J29" s="124">
        <v>0</v>
      </c>
      <c r="K29" s="125" t="s">
        <v>395</v>
      </c>
      <c r="L29" s="155">
        <v>1.23E-2</v>
      </c>
      <c r="M29" s="29">
        <v>1</v>
      </c>
      <c r="N29" s="1">
        <v>1.1308009960566481</v>
      </c>
      <c r="O29" s="139" t="s">
        <v>1347</v>
      </c>
      <c r="P29" s="155">
        <v>0</v>
      </c>
      <c r="Q29" s="29">
        <v>1</v>
      </c>
      <c r="R29" s="1">
        <v>1.1308009960566481</v>
      </c>
      <c r="S29" s="31" t="s">
        <v>1347</v>
      </c>
    </row>
    <row r="30" spans="1:21" ht="12.75">
      <c r="A30" s="2">
        <v>2929</v>
      </c>
      <c r="B30" s="37" t="s">
        <v>525</v>
      </c>
      <c r="C30" s="151" t="s">
        <v>525</v>
      </c>
      <c r="D30" s="152" t="s">
        <v>526</v>
      </c>
      <c r="E30" s="153" t="s">
        <v>402</v>
      </c>
      <c r="F30" s="144" t="s">
        <v>1086</v>
      </c>
      <c r="G30" s="125" t="s">
        <v>521</v>
      </c>
      <c r="H30" s="154" t="s">
        <v>402</v>
      </c>
      <c r="I30" s="123" t="s">
        <v>402</v>
      </c>
      <c r="J30" s="124">
        <v>0</v>
      </c>
      <c r="K30" s="125" t="s">
        <v>395</v>
      </c>
      <c r="L30" s="155">
        <v>7.7</v>
      </c>
      <c r="M30" s="29">
        <v>1</v>
      </c>
      <c r="N30" s="1">
        <v>1.0714359004449265</v>
      </c>
      <c r="O30" s="139" t="s">
        <v>1344</v>
      </c>
      <c r="P30" s="155">
        <v>0</v>
      </c>
      <c r="Q30" s="29">
        <v>1</v>
      </c>
      <c r="R30" s="1">
        <v>1.0714359004449265</v>
      </c>
      <c r="S30" s="31" t="s">
        <v>1344</v>
      </c>
    </row>
    <row r="31" spans="1:21" ht="24">
      <c r="A31" s="2">
        <v>3822</v>
      </c>
      <c r="B31" s="37" t="s">
        <v>525</v>
      </c>
      <c r="C31" s="151" t="s">
        <v>525</v>
      </c>
      <c r="D31" s="152" t="s">
        <v>526</v>
      </c>
      <c r="E31" s="153" t="s">
        <v>402</v>
      </c>
      <c r="F31" s="144" t="s">
        <v>1310</v>
      </c>
      <c r="G31" s="125" t="s">
        <v>521</v>
      </c>
      <c r="H31" s="154" t="s">
        <v>402</v>
      </c>
      <c r="I31" s="123" t="s">
        <v>402</v>
      </c>
      <c r="J31" s="124">
        <v>0</v>
      </c>
      <c r="K31" s="125" t="s">
        <v>395</v>
      </c>
      <c r="L31" s="155">
        <v>0</v>
      </c>
      <c r="M31" s="29">
        <v>1</v>
      </c>
      <c r="N31" s="1">
        <v>1.0714359004449265</v>
      </c>
      <c r="O31" s="139" t="s">
        <v>1342</v>
      </c>
      <c r="P31" s="155">
        <v>0.04</v>
      </c>
      <c r="Q31" s="29">
        <v>1</v>
      </c>
      <c r="R31" s="1">
        <v>1.0714359004449265</v>
      </c>
      <c r="S31" s="31" t="s">
        <v>1342</v>
      </c>
    </row>
    <row r="32" spans="1:21" ht="12.75">
      <c r="A32" s="2">
        <v>1212</v>
      </c>
      <c r="B32" s="37" t="s">
        <v>525</v>
      </c>
      <c r="C32" s="151" t="s">
        <v>525</v>
      </c>
      <c r="D32" s="152" t="s">
        <v>526</v>
      </c>
      <c r="E32" s="153" t="s">
        <v>402</v>
      </c>
      <c r="F32" s="144" t="s">
        <v>1092</v>
      </c>
      <c r="G32" s="125" t="s">
        <v>521</v>
      </c>
      <c r="H32" s="154" t="s">
        <v>402</v>
      </c>
      <c r="I32" s="123" t="s">
        <v>402</v>
      </c>
      <c r="J32" s="124">
        <v>0</v>
      </c>
      <c r="K32" s="125" t="s">
        <v>395</v>
      </c>
      <c r="L32" s="155">
        <v>0.751</v>
      </c>
      <c r="M32" s="29">
        <v>1</v>
      </c>
      <c r="N32" s="1">
        <v>1.0714359004449265</v>
      </c>
      <c r="O32" s="139" t="s">
        <v>1344</v>
      </c>
      <c r="P32" s="155">
        <v>0</v>
      </c>
      <c r="Q32" s="29">
        <v>1</v>
      </c>
      <c r="R32" s="1">
        <v>1.0714359004449265</v>
      </c>
      <c r="S32" s="31" t="s">
        <v>1344</v>
      </c>
    </row>
    <row r="33" spans="1:21" s="689" customFormat="1" ht="36">
      <c r="A33" s="693">
        <v>30219</v>
      </c>
      <c r="B33" s="721"/>
      <c r="C33" s="672" t="s">
        <v>525</v>
      </c>
      <c r="D33" s="673" t="s">
        <v>526</v>
      </c>
      <c r="E33" s="674" t="s">
        <v>402</v>
      </c>
      <c r="F33" s="675" t="s">
        <v>1348</v>
      </c>
      <c r="G33" s="676" t="s">
        <v>51</v>
      </c>
      <c r="H33" s="677" t="s">
        <v>402</v>
      </c>
      <c r="I33" s="678" t="s">
        <v>402</v>
      </c>
      <c r="J33" s="679">
        <v>0</v>
      </c>
      <c r="K33" s="676" t="s">
        <v>395</v>
      </c>
      <c r="L33" s="680">
        <v>1.23E-2</v>
      </c>
      <c r="M33" s="681">
        <v>1</v>
      </c>
      <c r="N33" s="682">
        <v>1.0714359004449265</v>
      </c>
      <c r="O33" s="683" t="s">
        <v>1341</v>
      </c>
      <c r="P33" s="680">
        <v>0</v>
      </c>
      <c r="Q33" s="681">
        <v>1</v>
      </c>
      <c r="R33" s="682">
        <v>1.0714359004449265</v>
      </c>
      <c r="S33" s="684" t="s">
        <v>1341</v>
      </c>
      <c r="T33" s="725"/>
      <c r="U33" s="725"/>
    </row>
    <row r="34" spans="1:21" s="689" customFormat="1" ht="36">
      <c r="A34" s="693">
        <v>30152</v>
      </c>
      <c r="B34" s="721"/>
      <c r="C34" s="672" t="s">
        <v>525</v>
      </c>
      <c r="D34" s="673" t="s">
        <v>526</v>
      </c>
      <c r="E34" s="674" t="s">
        <v>402</v>
      </c>
      <c r="F34" s="675" t="s">
        <v>1349</v>
      </c>
      <c r="G34" s="676" t="s">
        <v>521</v>
      </c>
      <c r="H34" s="677" t="s">
        <v>402</v>
      </c>
      <c r="I34" s="678" t="s">
        <v>402</v>
      </c>
      <c r="J34" s="679">
        <v>0</v>
      </c>
      <c r="K34" s="676" t="s">
        <v>395</v>
      </c>
      <c r="L34" s="680">
        <v>9.0900000000000009E-3</v>
      </c>
      <c r="M34" s="681">
        <v>1</v>
      </c>
      <c r="N34" s="682">
        <v>1.0714359004449265</v>
      </c>
      <c r="O34" s="683" t="s">
        <v>1341</v>
      </c>
      <c r="P34" s="680">
        <v>0</v>
      </c>
      <c r="Q34" s="681">
        <v>1</v>
      </c>
      <c r="R34" s="682">
        <v>1.0714359004449265</v>
      </c>
      <c r="S34" s="684" t="s">
        <v>1341</v>
      </c>
      <c r="T34" s="725"/>
      <c r="U34" s="725"/>
    </row>
    <row r="35" spans="1:21" s="689" customFormat="1" ht="36">
      <c r="A35" s="693">
        <v>1153</v>
      </c>
      <c r="B35" s="721"/>
      <c r="C35" s="672" t="s">
        <v>525</v>
      </c>
      <c r="D35" s="673" t="s">
        <v>526</v>
      </c>
      <c r="E35" s="674" t="s">
        <v>402</v>
      </c>
      <c r="F35" s="675" t="s">
        <v>1106</v>
      </c>
      <c r="G35" s="676" t="s">
        <v>521</v>
      </c>
      <c r="H35" s="677" t="s">
        <v>402</v>
      </c>
      <c r="I35" s="678" t="s">
        <v>402</v>
      </c>
      <c r="J35" s="679">
        <v>0</v>
      </c>
      <c r="K35" s="676" t="s">
        <v>395</v>
      </c>
      <c r="L35" s="680">
        <v>9.7699999999999992E-3</v>
      </c>
      <c r="M35" s="681">
        <v>1</v>
      </c>
      <c r="N35" s="682">
        <v>1.0714359004449265</v>
      </c>
      <c r="O35" s="683" t="s">
        <v>1341</v>
      </c>
      <c r="P35" s="680">
        <v>0</v>
      </c>
      <c r="Q35" s="681">
        <v>1</v>
      </c>
      <c r="R35" s="682">
        <v>1.0714359004449265</v>
      </c>
      <c r="S35" s="684" t="s">
        <v>1341</v>
      </c>
      <c r="T35" s="725"/>
      <c r="U35" s="725"/>
    </row>
    <row r="36" spans="1:21" s="689" customFormat="1" ht="36">
      <c r="A36" s="693">
        <v>1262</v>
      </c>
      <c r="B36" s="721"/>
      <c r="C36" s="672" t="s">
        <v>525</v>
      </c>
      <c r="D36" s="673" t="s">
        <v>526</v>
      </c>
      <c r="E36" s="674" t="s">
        <v>402</v>
      </c>
      <c r="F36" s="675" t="s">
        <v>1094</v>
      </c>
      <c r="G36" s="676" t="s">
        <v>521</v>
      </c>
      <c r="H36" s="677" t="s">
        <v>402</v>
      </c>
      <c r="I36" s="678" t="s">
        <v>402</v>
      </c>
      <c r="J36" s="679">
        <v>0</v>
      </c>
      <c r="K36" s="676" t="s">
        <v>395</v>
      </c>
      <c r="L36" s="680">
        <v>0.33600000000000002</v>
      </c>
      <c r="M36" s="681">
        <v>1</v>
      </c>
      <c r="N36" s="682">
        <v>1.0714359004449265</v>
      </c>
      <c r="O36" s="683" t="s">
        <v>1341</v>
      </c>
      <c r="P36" s="680">
        <v>0</v>
      </c>
      <c r="Q36" s="681">
        <v>1</v>
      </c>
      <c r="R36" s="682">
        <v>1.0714359004449265</v>
      </c>
      <c r="S36" s="684" t="s">
        <v>1341</v>
      </c>
      <c r="T36" s="725"/>
      <c r="U36" s="725"/>
    </row>
    <row r="37" spans="1:21" s="689" customFormat="1" ht="36">
      <c r="A37" s="693">
        <v>1259</v>
      </c>
      <c r="B37" s="721"/>
      <c r="C37" s="672" t="s">
        <v>525</v>
      </c>
      <c r="D37" s="673" t="s">
        <v>526</v>
      </c>
      <c r="E37" s="674" t="s">
        <v>402</v>
      </c>
      <c r="F37" s="675" t="s">
        <v>55</v>
      </c>
      <c r="G37" s="676" t="s">
        <v>521</v>
      </c>
      <c r="H37" s="677" t="s">
        <v>402</v>
      </c>
      <c r="I37" s="678" t="s">
        <v>402</v>
      </c>
      <c r="J37" s="679">
        <v>0</v>
      </c>
      <c r="K37" s="676" t="s">
        <v>395</v>
      </c>
      <c r="L37" s="680">
        <v>4.8399999999999999E-2</v>
      </c>
      <c r="M37" s="681">
        <v>1</v>
      </c>
      <c r="N37" s="682">
        <v>1.0714359004449265</v>
      </c>
      <c r="O37" s="683" t="s">
        <v>1341</v>
      </c>
      <c r="P37" s="680">
        <v>0</v>
      </c>
      <c r="Q37" s="681">
        <v>1</v>
      </c>
      <c r="R37" s="682">
        <v>1.0714359004449265</v>
      </c>
      <c r="S37" s="684" t="s">
        <v>1341</v>
      </c>
      <c r="T37" s="725"/>
      <c r="U37" s="725"/>
    </row>
    <row r="38" spans="1:21" s="689" customFormat="1" ht="36">
      <c r="A38" s="693" t="s">
        <v>1125</v>
      </c>
      <c r="B38" s="721"/>
      <c r="C38" s="672" t="s">
        <v>525</v>
      </c>
      <c r="D38" s="673" t="s">
        <v>526</v>
      </c>
      <c r="E38" s="674" t="s">
        <v>402</v>
      </c>
      <c r="F38" s="675" t="s">
        <v>1350</v>
      </c>
      <c r="G38" s="676" t="s">
        <v>521</v>
      </c>
      <c r="H38" s="677" t="s">
        <v>402</v>
      </c>
      <c r="I38" s="678" t="s">
        <v>402</v>
      </c>
      <c r="J38" s="679">
        <v>0</v>
      </c>
      <c r="K38" s="676" t="s">
        <v>395</v>
      </c>
      <c r="L38" s="680">
        <v>0.189</v>
      </c>
      <c r="M38" s="681">
        <v>1</v>
      </c>
      <c r="N38" s="682">
        <v>1.0714359004449265</v>
      </c>
      <c r="O38" s="683" t="s">
        <v>1341</v>
      </c>
      <c r="P38" s="680">
        <v>0</v>
      </c>
      <c r="Q38" s="681">
        <v>1</v>
      </c>
      <c r="R38" s="682">
        <v>1.0714359004449265</v>
      </c>
      <c r="S38" s="684" t="s">
        <v>1341</v>
      </c>
      <c r="T38" s="725"/>
      <c r="U38" s="725"/>
    </row>
    <row r="39" spans="1:21" s="689" customFormat="1" ht="36">
      <c r="A39" s="693">
        <v>30170</v>
      </c>
      <c r="B39" s="721"/>
      <c r="C39" s="672" t="s">
        <v>525</v>
      </c>
      <c r="D39" s="673" t="s">
        <v>526</v>
      </c>
      <c r="E39" s="674" t="s">
        <v>402</v>
      </c>
      <c r="F39" s="675" t="s">
        <v>1351</v>
      </c>
      <c r="G39" s="676" t="s">
        <v>51</v>
      </c>
      <c r="H39" s="677" t="s">
        <v>402</v>
      </c>
      <c r="I39" s="678" t="s">
        <v>402</v>
      </c>
      <c r="J39" s="679">
        <v>0</v>
      </c>
      <c r="K39" s="676" t="s">
        <v>395</v>
      </c>
      <c r="L39" s="680">
        <v>8.5900000000000004E-2</v>
      </c>
      <c r="M39" s="681">
        <v>1</v>
      </c>
      <c r="N39" s="682">
        <v>1.0714359004449265</v>
      </c>
      <c r="O39" s="683" t="s">
        <v>1341</v>
      </c>
      <c r="P39" s="680">
        <v>0</v>
      </c>
      <c r="Q39" s="681">
        <v>1</v>
      </c>
      <c r="R39" s="682">
        <v>1.0714359004449265</v>
      </c>
      <c r="S39" s="684" t="s">
        <v>1341</v>
      </c>
      <c r="T39" s="725"/>
      <c r="U39" s="725"/>
    </row>
    <row r="40" spans="1:21" ht="12.75">
      <c r="A40" s="157">
        <v>1183</v>
      </c>
      <c r="B40" s="37" t="s">
        <v>712</v>
      </c>
      <c r="C40" s="151" t="s">
        <v>525</v>
      </c>
      <c r="D40" s="152" t="s">
        <v>526</v>
      </c>
      <c r="E40" s="153" t="s">
        <v>402</v>
      </c>
      <c r="F40" s="144" t="s">
        <v>1217</v>
      </c>
      <c r="G40" s="125" t="s">
        <v>521</v>
      </c>
      <c r="H40" s="154" t="s">
        <v>402</v>
      </c>
      <c r="I40" s="123" t="s">
        <v>402</v>
      </c>
      <c r="J40" s="124">
        <v>0</v>
      </c>
      <c r="K40" s="125" t="s">
        <v>395</v>
      </c>
      <c r="L40" s="155">
        <v>0</v>
      </c>
      <c r="M40" s="29">
        <v>1</v>
      </c>
      <c r="N40" s="1">
        <v>1.1634890787737537</v>
      </c>
      <c r="O40" s="139" t="s">
        <v>1352</v>
      </c>
      <c r="P40" s="155">
        <v>0</v>
      </c>
      <c r="Q40" s="29">
        <v>1</v>
      </c>
      <c r="R40" s="1">
        <v>1.1634890787737537</v>
      </c>
      <c r="S40" s="31" t="s">
        <v>1352</v>
      </c>
    </row>
    <row r="41" spans="1:21" ht="12.75">
      <c r="A41" s="226">
        <v>775</v>
      </c>
      <c r="B41" s="168" t="s">
        <v>525</v>
      </c>
      <c r="C41" s="151" t="s">
        <v>525</v>
      </c>
      <c r="D41" s="152" t="s">
        <v>526</v>
      </c>
      <c r="E41" s="153" t="s">
        <v>402</v>
      </c>
      <c r="F41" s="144" t="s">
        <v>1110</v>
      </c>
      <c r="G41" s="125" t="s">
        <v>521</v>
      </c>
      <c r="H41" s="154" t="s">
        <v>402</v>
      </c>
      <c r="I41" s="123" t="s">
        <v>402</v>
      </c>
      <c r="J41" s="124">
        <v>0</v>
      </c>
      <c r="K41" s="125" t="s">
        <v>395</v>
      </c>
      <c r="L41" s="155">
        <v>1.9E-2</v>
      </c>
      <c r="M41" s="29">
        <v>1</v>
      </c>
      <c r="N41" s="1">
        <v>1.0714359004449265</v>
      </c>
      <c r="O41" s="139" t="s">
        <v>1353</v>
      </c>
      <c r="P41" s="155">
        <v>0</v>
      </c>
      <c r="Q41" s="29">
        <v>1</v>
      </c>
      <c r="R41" s="1">
        <v>1.0714359004449265</v>
      </c>
      <c r="S41" s="31" t="s">
        <v>1353</v>
      </c>
    </row>
    <row r="42" spans="1:21" s="689" customFormat="1" ht="36">
      <c r="A42" s="693">
        <v>2753</v>
      </c>
      <c r="B42" s="721"/>
      <c r="C42" s="672" t="s">
        <v>525</v>
      </c>
      <c r="D42" s="673" t="s">
        <v>526</v>
      </c>
      <c r="E42" s="674" t="s">
        <v>402</v>
      </c>
      <c r="F42" s="675" t="s">
        <v>1354</v>
      </c>
      <c r="G42" s="676" t="s">
        <v>521</v>
      </c>
      <c r="H42" s="677" t="s">
        <v>402</v>
      </c>
      <c r="I42" s="678" t="s">
        <v>402</v>
      </c>
      <c r="J42" s="679">
        <v>0</v>
      </c>
      <c r="K42" s="676" t="s">
        <v>395</v>
      </c>
      <c r="L42" s="680">
        <v>0.10100000000000001</v>
      </c>
      <c r="M42" s="681">
        <v>1</v>
      </c>
      <c r="N42" s="682">
        <v>1.0714359004449265</v>
      </c>
      <c r="O42" s="683" t="s">
        <v>1341</v>
      </c>
      <c r="P42" s="680">
        <v>0</v>
      </c>
      <c r="Q42" s="681">
        <v>1</v>
      </c>
      <c r="R42" s="682">
        <v>1.0714359004449265</v>
      </c>
      <c r="S42" s="684" t="s">
        <v>1341</v>
      </c>
      <c r="T42" s="725"/>
      <c r="U42" s="725"/>
    </row>
    <row r="43" spans="1:21" s="689" customFormat="1" ht="36">
      <c r="A43" s="693">
        <v>33085</v>
      </c>
      <c r="B43" s="721"/>
      <c r="C43" s="672" t="s">
        <v>525</v>
      </c>
      <c r="D43" s="673" t="s">
        <v>526</v>
      </c>
      <c r="E43" s="674" t="s">
        <v>402</v>
      </c>
      <c r="F43" s="675" t="s">
        <v>1111</v>
      </c>
      <c r="G43" s="676" t="s">
        <v>51</v>
      </c>
      <c r="H43" s="677" t="s">
        <v>402</v>
      </c>
      <c r="I43" s="678" t="s">
        <v>402</v>
      </c>
      <c r="J43" s="679">
        <v>0</v>
      </c>
      <c r="K43" s="676" t="s">
        <v>395</v>
      </c>
      <c r="L43" s="680">
        <v>2.0100000000000001E-4</v>
      </c>
      <c r="M43" s="681">
        <v>1</v>
      </c>
      <c r="N43" s="682">
        <v>1.0714359004449265</v>
      </c>
      <c r="O43" s="683" t="s">
        <v>1341</v>
      </c>
      <c r="P43" s="680">
        <v>0</v>
      </c>
      <c r="Q43" s="681">
        <v>1</v>
      </c>
      <c r="R43" s="682">
        <v>1.0714359004449265</v>
      </c>
      <c r="S43" s="684" t="s">
        <v>1341</v>
      </c>
      <c r="T43" s="725"/>
      <c r="U43" s="725"/>
    </row>
    <row r="44" spans="1:21" s="689" customFormat="1" ht="36">
      <c r="A44" s="693">
        <v>1289</v>
      </c>
      <c r="B44" s="721"/>
      <c r="C44" s="672" t="s">
        <v>525</v>
      </c>
      <c r="D44" s="673" t="s">
        <v>526</v>
      </c>
      <c r="E44" s="674" t="s">
        <v>402</v>
      </c>
      <c r="F44" s="675" t="s">
        <v>1285</v>
      </c>
      <c r="G44" s="676" t="s">
        <v>521</v>
      </c>
      <c r="H44" s="677" t="s">
        <v>402</v>
      </c>
      <c r="I44" s="678" t="s">
        <v>402</v>
      </c>
      <c r="J44" s="679">
        <v>0</v>
      </c>
      <c r="K44" s="676" t="s">
        <v>395</v>
      </c>
      <c r="L44" s="680">
        <v>3.3099999999999997E-2</v>
      </c>
      <c r="M44" s="681">
        <v>1</v>
      </c>
      <c r="N44" s="682">
        <v>1.0714359004449265</v>
      </c>
      <c r="O44" s="683" t="s">
        <v>1341</v>
      </c>
      <c r="P44" s="680">
        <v>0</v>
      </c>
      <c r="Q44" s="681">
        <v>1</v>
      </c>
      <c r="R44" s="682">
        <v>1.0714359004449265</v>
      </c>
      <c r="S44" s="684" t="s">
        <v>1341</v>
      </c>
      <c r="T44" s="725"/>
      <c r="U44" s="725"/>
    </row>
    <row r="45" spans="1:21" s="689" customFormat="1" ht="36">
      <c r="A45" s="693">
        <v>30154</v>
      </c>
      <c r="B45" s="721"/>
      <c r="C45" s="672" t="s">
        <v>525</v>
      </c>
      <c r="D45" s="673" t="s">
        <v>526</v>
      </c>
      <c r="E45" s="674" t="s">
        <v>402</v>
      </c>
      <c r="F45" s="675" t="s">
        <v>1355</v>
      </c>
      <c r="G45" s="676" t="s">
        <v>521</v>
      </c>
      <c r="H45" s="677" t="s">
        <v>402</v>
      </c>
      <c r="I45" s="678" t="s">
        <v>402</v>
      </c>
      <c r="J45" s="679">
        <v>0</v>
      </c>
      <c r="K45" s="676" t="s">
        <v>395</v>
      </c>
      <c r="L45" s="680">
        <v>0.191</v>
      </c>
      <c r="M45" s="681">
        <v>1</v>
      </c>
      <c r="N45" s="682">
        <v>1.0714359004449265</v>
      </c>
      <c r="O45" s="683" t="s">
        <v>1341</v>
      </c>
      <c r="P45" s="680">
        <v>0</v>
      </c>
      <c r="Q45" s="681">
        <v>1</v>
      </c>
      <c r="R45" s="682">
        <v>1.0714359004449265</v>
      </c>
      <c r="S45" s="684" t="s">
        <v>1341</v>
      </c>
      <c r="T45" s="725"/>
      <c r="U45" s="725"/>
    </row>
    <row r="46" spans="1:21" s="689" customFormat="1" ht="36">
      <c r="A46" s="693">
        <v>1280</v>
      </c>
      <c r="B46" s="721"/>
      <c r="C46" s="672" t="s">
        <v>525</v>
      </c>
      <c r="D46" s="673" t="s">
        <v>526</v>
      </c>
      <c r="E46" s="674" t="s">
        <v>402</v>
      </c>
      <c r="F46" s="675" t="s">
        <v>1173</v>
      </c>
      <c r="G46" s="676" t="s">
        <v>521</v>
      </c>
      <c r="H46" s="677" t="s">
        <v>402</v>
      </c>
      <c r="I46" s="678" t="s">
        <v>402</v>
      </c>
      <c r="J46" s="679">
        <v>0</v>
      </c>
      <c r="K46" s="676" t="s">
        <v>395</v>
      </c>
      <c r="L46" s="680">
        <v>3.3399999999999999E-2</v>
      </c>
      <c r="M46" s="681">
        <v>1</v>
      </c>
      <c r="N46" s="682">
        <v>1.0714359004449265</v>
      </c>
      <c r="O46" s="683" t="s">
        <v>1341</v>
      </c>
      <c r="P46" s="680">
        <v>0</v>
      </c>
      <c r="Q46" s="681">
        <v>1</v>
      </c>
      <c r="R46" s="682">
        <v>1.0714359004449265</v>
      </c>
      <c r="S46" s="684" t="s">
        <v>1341</v>
      </c>
      <c r="T46" s="725"/>
      <c r="U46" s="725"/>
    </row>
    <row r="47" spans="1:21" s="689" customFormat="1" ht="36">
      <c r="A47" s="693">
        <v>1218</v>
      </c>
      <c r="B47" s="721"/>
      <c r="C47" s="672" t="s">
        <v>525</v>
      </c>
      <c r="D47" s="673" t="s">
        <v>526</v>
      </c>
      <c r="E47" s="674" t="s">
        <v>402</v>
      </c>
      <c r="F47" s="675" t="s">
        <v>1284</v>
      </c>
      <c r="G47" s="676" t="s">
        <v>521</v>
      </c>
      <c r="H47" s="677" t="s">
        <v>402</v>
      </c>
      <c r="I47" s="678" t="s">
        <v>402</v>
      </c>
      <c r="J47" s="679">
        <v>0</v>
      </c>
      <c r="K47" s="676" t="s">
        <v>395</v>
      </c>
      <c r="L47" s="680">
        <v>2.3099999999999999E-2</v>
      </c>
      <c r="M47" s="681">
        <v>1</v>
      </c>
      <c r="N47" s="682">
        <v>1.0714359004449265</v>
      </c>
      <c r="O47" s="683" t="s">
        <v>1341</v>
      </c>
      <c r="P47" s="680">
        <v>0</v>
      </c>
      <c r="Q47" s="681">
        <v>1</v>
      </c>
      <c r="R47" s="682">
        <v>1.0714359004449265</v>
      </c>
      <c r="S47" s="684" t="s">
        <v>1341</v>
      </c>
      <c r="T47" s="725"/>
      <c r="U47" s="725"/>
    </row>
    <row r="48" spans="1:21" s="689" customFormat="1" ht="36">
      <c r="A48" s="693">
        <v>1216</v>
      </c>
      <c r="B48" s="721"/>
      <c r="C48" s="672" t="s">
        <v>525</v>
      </c>
      <c r="D48" s="673" t="s">
        <v>526</v>
      </c>
      <c r="E48" s="674" t="s">
        <v>402</v>
      </c>
      <c r="F48" s="675" t="s">
        <v>1168</v>
      </c>
      <c r="G48" s="676" t="s">
        <v>521</v>
      </c>
      <c r="H48" s="677" t="s">
        <v>402</v>
      </c>
      <c r="I48" s="678" t="s">
        <v>402</v>
      </c>
      <c r="J48" s="679">
        <v>0</v>
      </c>
      <c r="K48" s="676" t="s">
        <v>395</v>
      </c>
      <c r="L48" s="680">
        <v>9.9400000000000002E-2</v>
      </c>
      <c r="M48" s="681">
        <v>1</v>
      </c>
      <c r="N48" s="682">
        <v>1.0714359004449265</v>
      </c>
      <c r="O48" s="683" t="s">
        <v>1341</v>
      </c>
      <c r="P48" s="680">
        <v>0</v>
      </c>
      <c r="Q48" s="681">
        <v>1</v>
      </c>
      <c r="R48" s="682">
        <v>1.0714359004449265</v>
      </c>
      <c r="S48" s="684" t="s">
        <v>1341</v>
      </c>
      <c r="T48" s="725"/>
      <c r="U48" s="725"/>
    </row>
    <row r="49" spans="1:21" ht="12.75">
      <c r="A49" s="226">
        <v>1777</v>
      </c>
      <c r="B49" s="168" t="s">
        <v>525</v>
      </c>
      <c r="C49" s="151" t="s">
        <v>525</v>
      </c>
      <c r="D49" s="152" t="s">
        <v>526</v>
      </c>
      <c r="E49" s="153" t="s">
        <v>402</v>
      </c>
      <c r="F49" s="144" t="s">
        <v>1108</v>
      </c>
      <c r="G49" s="125" t="s">
        <v>521</v>
      </c>
      <c r="H49" s="154" t="s">
        <v>402</v>
      </c>
      <c r="I49" s="123" t="s">
        <v>402</v>
      </c>
      <c r="J49" s="124">
        <v>0</v>
      </c>
      <c r="K49" s="125" t="s">
        <v>395</v>
      </c>
      <c r="L49" s="155">
        <v>15.7</v>
      </c>
      <c r="M49" s="29">
        <v>1</v>
      </c>
      <c r="N49" s="1">
        <v>1.0714359004449265</v>
      </c>
      <c r="O49" s="139" t="s">
        <v>1353</v>
      </c>
      <c r="P49" s="155">
        <v>0</v>
      </c>
      <c r="Q49" s="29">
        <v>1</v>
      </c>
      <c r="R49" s="1">
        <v>1.0714359004449265</v>
      </c>
      <c r="S49" s="31" t="s">
        <v>1353</v>
      </c>
    </row>
    <row r="50" spans="1:21" ht="24">
      <c r="A50" s="120">
        <v>1186</v>
      </c>
      <c r="B50" s="168" t="s">
        <v>525</v>
      </c>
      <c r="C50" s="151" t="s">
        <v>525</v>
      </c>
      <c r="D50" s="152" t="s">
        <v>526</v>
      </c>
      <c r="E50" s="153" t="s">
        <v>402</v>
      </c>
      <c r="F50" s="144" t="s">
        <v>1276</v>
      </c>
      <c r="G50" s="125" t="s">
        <v>521</v>
      </c>
      <c r="H50" s="154" t="s">
        <v>402</v>
      </c>
      <c r="I50" s="123" t="s">
        <v>402</v>
      </c>
      <c r="J50" s="124">
        <v>0</v>
      </c>
      <c r="K50" s="125" t="s">
        <v>395</v>
      </c>
      <c r="L50" s="155">
        <v>9.2899999999999996E-2</v>
      </c>
      <c r="M50" s="29">
        <v>1</v>
      </c>
      <c r="N50" s="1">
        <v>1.0714359004449265</v>
      </c>
      <c r="O50" s="139" t="s">
        <v>1356</v>
      </c>
      <c r="P50" s="155">
        <v>0</v>
      </c>
      <c r="Q50" s="29">
        <v>1</v>
      </c>
      <c r="R50" s="1">
        <v>1.0714359004449265</v>
      </c>
      <c r="S50" s="31" t="s">
        <v>1356</v>
      </c>
    </row>
    <row r="51" spans="1:21" ht="12.75">
      <c r="A51" s="120">
        <v>1916</v>
      </c>
      <c r="B51" s="168" t="s">
        <v>525</v>
      </c>
      <c r="C51" s="151" t="s">
        <v>525</v>
      </c>
      <c r="D51" s="152" t="s">
        <v>526</v>
      </c>
      <c r="E51" s="153" t="s">
        <v>402</v>
      </c>
      <c r="F51" s="144" t="s">
        <v>1357</v>
      </c>
      <c r="G51" s="125" t="s">
        <v>521</v>
      </c>
      <c r="H51" s="154" t="s">
        <v>402</v>
      </c>
      <c r="I51" s="123" t="s">
        <v>402</v>
      </c>
      <c r="J51" s="124">
        <v>0</v>
      </c>
      <c r="K51" s="125" t="s">
        <v>395</v>
      </c>
      <c r="L51" s="155">
        <v>1.15E-3</v>
      </c>
      <c r="M51" s="29">
        <v>1</v>
      </c>
      <c r="N51" s="1">
        <v>1.1634890787737537</v>
      </c>
      <c r="O51" s="139" t="s">
        <v>1358</v>
      </c>
      <c r="P51" s="155">
        <v>0</v>
      </c>
      <c r="Q51" s="29">
        <v>1</v>
      </c>
      <c r="R51" s="1">
        <v>1.1634890787737537</v>
      </c>
      <c r="S51" s="31" t="s">
        <v>1358</v>
      </c>
    </row>
    <row r="52" spans="1:21" s="689" customFormat="1" ht="36">
      <c r="A52" s="693">
        <v>3110</v>
      </c>
      <c r="B52" s="721"/>
      <c r="C52" s="672" t="s">
        <v>525</v>
      </c>
      <c r="D52" s="673" t="s">
        <v>526</v>
      </c>
      <c r="E52" s="674" t="s">
        <v>402</v>
      </c>
      <c r="F52" s="675" t="s">
        <v>1314</v>
      </c>
      <c r="G52" s="676" t="s">
        <v>521</v>
      </c>
      <c r="H52" s="677" t="s">
        <v>402</v>
      </c>
      <c r="I52" s="678" t="s">
        <v>402</v>
      </c>
      <c r="J52" s="679">
        <v>0</v>
      </c>
      <c r="K52" s="676" t="s">
        <v>522</v>
      </c>
      <c r="L52" s="680">
        <v>0.05</v>
      </c>
      <c r="M52" s="681">
        <v>1</v>
      </c>
      <c r="N52" s="682">
        <v>1.0714359004449265</v>
      </c>
      <c r="O52" s="683" t="s">
        <v>1341</v>
      </c>
      <c r="P52" s="680">
        <v>0</v>
      </c>
      <c r="Q52" s="681">
        <v>1</v>
      </c>
      <c r="R52" s="682">
        <v>1.0714359004449265</v>
      </c>
      <c r="S52" s="684" t="s">
        <v>1341</v>
      </c>
      <c r="T52" s="725"/>
      <c r="U52" s="725"/>
    </row>
    <row r="53" spans="1:21" ht="12.75">
      <c r="A53" s="157">
        <v>2987</v>
      </c>
      <c r="B53" s="37" t="s">
        <v>152</v>
      </c>
      <c r="C53" s="151" t="s">
        <v>525</v>
      </c>
      <c r="D53" s="152" t="s">
        <v>526</v>
      </c>
      <c r="E53" s="153" t="s">
        <v>402</v>
      </c>
      <c r="F53" s="144" t="s">
        <v>59</v>
      </c>
      <c r="G53" s="125" t="s">
        <v>521</v>
      </c>
      <c r="H53" s="154" t="s">
        <v>402</v>
      </c>
      <c r="I53" s="123" t="s">
        <v>402</v>
      </c>
      <c r="J53" s="124">
        <v>0</v>
      </c>
      <c r="K53" s="125" t="s">
        <v>397</v>
      </c>
      <c r="L53" s="155">
        <v>3.1358948999999998</v>
      </c>
      <c r="M53" s="29">
        <v>1</v>
      </c>
      <c r="N53" s="1">
        <v>2.0949941301068096</v>
      </c>
      <c r="O53" s="139" t="s">
        <v>1151</v>
      </c>
      <c r="P53" s="155">
        <v>0.22460000000000002</v>
      </c>
      <c r="Q53" s="29">
        <v>1</v>
      </c>
      <c r="R53" s="1">
        <v>2.0949941301068096</v>
      </c>
      <c r="S53" s="31" t="s">
        <v>1151</v>
      </c>
    </row>
    <row r="54" spans="1:21" ht="12.75">
      <c r="A54" s="157">
        <v>1841</v>
      </c>
      <c r="B54" s="168" t="s">
        <v>525</v>
      </c>
      <c r="C54" s="151" t="s">
        <v>525</v>
      </c>
      <c r="D54" s="152" t="s">
        <v>526</v>
      </c>
      <c r="E54" s="153" t="s">
        <v>402</v>
      </c>
      <c r="F54" s="144" t="s">
        <v>62</v>
      </c>
      <c r="G54" s="125" t="s">
        <v>521</v>
      </c>
      <c r="H54" s="154" t="s">
        <v>402</v>
      </c>
      <c r="I54" s="123" t="s">
        <v>402</v>
      </c>
      <c r="J54" s="124">
        <v>0</v>
      </c>
      <c r="K54" s="125" t="s">
        <v>397</v>
      </c>
      <c r="L54" s="155">
        <v>18.745961399999999</v>
      </c>
      <c r="M54" s="29">
        <v>1</v>
      </c>
      <c r="N54" s="1">
        <v>2.0949941301068096</v>
      </c>
      <c r="O54" s="139" t="s">
        <v>1317</v>
      </c>
      <c r="P54" s="155">
        <v>1.3440000000000001</v>
      </c>
      <c r="Q54" s="29">
        <v>1</v>
      </c>
      <c r="R54" s="1">
        <v>2.0949941301068096</v>
      </c>
      <c r="S54" s="31" t="s">
        <v>1317</v>
      </c>
    </row>
    <row r="55" spans="1:21" ht="24">
      <c r="A55" s="120">
        <v>1406</v>
      </c>
      <c r="B55" s="37" t="s">
        <v>153</v>
      </c>
      <c r="C55" s="151" t="s">
        <v>525</v>
      </c>
      <c r="D55" s="152" t="s">
        <v>526</v>
      </c>
      <c r="E55" s="153" t="s">
        <v>402</v>
      </c>
      <c r="F55" s="144" t="s">
        <v>1224</v>
      </c>
      <c r="G55" s="125" t="s">
        <v>393</v>
      </c>
      <c r="H55" s="154" t="s">
        <v>402</v>
      </c>
      <c r="I55" s="123" t="s">
        <v>402</v>
      </c>
      <c r="J55" s="124">
        <v>0</v>
      </c>
      <c r="K55" s="125" t="s">
        <v>395</v>
      </c>
      <c r="L55" s="155">
        <v>2.0199999999999999E-2</v>
      </c>
      <c r="M55" s="29">
        <v>1</v>
      </c>
      <c r="N55" s="1">
        <v>1.2423359171267643</v>
      </c>
      <c r="O55" s="139" t="s">
        <v>1359</v>
      </c>
      <c r="P55" s="155">
        <v>0</v>
      </c>
      <c r="Q55" s="29">
        <v>1</v>
      </c>
      <c r="R55" s="1">
        <v>1.2423359171267643</v>
      </c>
      <c r="S55" s="31" t="s">
        <v>1359</v>
      </c>
    </row>
    <row r="56" spans="1:21" ht="24">
      <c r="A56" s="252">
        <v>1409</v>
      </c>
      <c r="B56" s="168" t="s">
        <v>525</v>
      </c>
      <c r="C56" s="151" t="s">
        <v>525</v>
      </c>
      <c r="D56" s="152" t="s">
        <v>526</v>
      </c>
      <c r="E56" s="153" t="s">
        <v>402</v>
      </c>
      <c r="F56" s="144" t="s">
        <v>1184</v>
      </c>
      <c r="G56" s="125" t="s">
        <v>393</v>
      </c>
      <c r="H56" s="154" t="s">
        <v>402</v>
      </c>
      <c r="I56" s="123" t="s">
        <v>402</v>
      </c>
      <c r="J56" s="124">
        <v>0</v>
      </c>
      <c r="K56" s="125" t="s">
        <v>395</v>
      </c>
      <c r="L56" s="155">
        <v>0.751</v>
      </c>
      <c r="M56" s="29">
        <v>1</v>
      </c>
      <c r="N56" s="1">
        <v>1.0714359004449265</v>
      </c>
      <c r="O56" s="139" t="s">
        <v>1360</v>
      </c>
      <c r="P56" s="155">
        <v>0.04</v>
      </c>
      <c r="Q56" s="29">
        <v>1</v>
      </c>
      <c r="R56" s="1">
        <v>1.0714359004449265</v>
      </c>
      <c r="S56" s="31" t="s">
        <v>1360</v>
      </c>
    </row>
    <row r="57" spans="1:21" s="689" customFormat="1" ht="36">
      <c r="A57" s="693">
        <v>1435</v>
      </c>
      <c r="B57" s="721"/>
      <c r="C57" s="672" t="s">
        <v>525</v>
      </c>
      <c r="D57" s="673" t="s">
        <v>526</v>
      </c>
      <c r="E57" s="674" t="s">
        <v>402</v>
      </c>
      <c r="F57" s="675" t="s">
        <v>1361</v>
      </c>
      <c r="G57" s="676" t="s">
        <v>393</v>
      </c>
      <c r="H57" s="677" t="s">
        <v>402</v>
      </c>
      <c r="I57" s="678" t="s">
        <v>402</v>
      </c>
      <c r="J57" s="679">
        <v>0</v>
      </c>
      <c r="K57" s="676" t="s">
        <v>395</v>
      </c>
      <c r="L57" s="680">
        <v>0.65</v>
      </c>
      <c r="M57" s="681">
        <v>1</v>
      </c>
      <c r="N57" s="682">
        <v>1.0714359004449265</v>
      </c>
      <c r="O57" s="683" t="s">
        <v>1341</v>
      </c>
      <c r="P57" s="680">
        <v>0</v>
      </c>
      <c r="Q57" s="681">
        <v>1</v>
      </c>
      <c r="R57" s="682">
        <v>1.0714359004449265</v>
      </c>
      <c r="S57" s="684" t="s">
        <v>1341</v>
      </c>
      <c r="T57" s="725"/>
      <c r="U57" s="725"/>
    </row>
    <row r="58" spans="1:21" s="689" customFormat="1" ht="36">
      <c r="A58" s="693">
        <v>1377</v>
      </c>
      <c r="B58" s="721"/>
      <c r="C58" s="672" t="s">
        <v>525</v>
      </c>
      <c r="D58" s="673" t="s">
        <v>526</v>
      </c>
      <c r="E58" s="674" t="s">
        <v>402</v>
      </c>
      <c r="F58" s="675" t="s">
        <v>1115</v>
      </c>
      <c r="G58" s="676" t="s">
        <v>393</v>
      </c>
      <c r="H58" s="677" t="s">
        <v>402</v>
      </c>
      <c r="I58" s="678" t="s">
        <v>402</v>
      </c>
      <c r="J58" s="679">
        <v>0</v>
      </c>
      <c r="K58" s="676" t="s">
        <v>395</v>
      </c>
      <c r="L58" s="680">
        <v>3.44</v>
      </c>
      <c r="M58" s="681">
        <v>1</v>
      </c>
      <c r="N58" s="682">
        <v>1.0714359004449265</v>
      </c>
      <c r="O58" s="683" t="s">
        <v>1341</v>
      </c>
      <c r="P58" s="680">
        <v>0</v>
      </c>
      <c r="Q58" s="681">
        <v>1</v>
      </c>
      <c r="R58" s="682">
        <v>1.0714359004449265</v>
      </c>
      <c r="S58" s="684" t="s">
        <v>1341</v>
      </c>
      <c r="T58" s="725"/>
      <c r="U58" s="725"/>
    </row>
    <row r="59" spans="1:21" ht="24">
      <c r="A59" s="226">
        <v>4087</v>
      </c>
      <c r="B59" s="168" t="s">
        <v>525</v>
      </c>
      <c r="C59" s="151" t="s">
        <v>525</v>
      </c>
      <c r="D59" s="152" t="s">
        <v>526</v>
      </c>
      <c r="E59" s="153" t="s">
        <v>402</v>
      </c>
      <c r="F59" s="144" t="s">
        <v>1362</v>
      </c>
      <c r="G59" s="125" t="s">
        <v>393</v>
      </c>
      <c r="H59" s="154" t="s">
        <v>402</v>
      </c>
      <c r="I59" s="123" t="s">
        <v>402</v>
      </c>
      <c r="J59" s="124">
        <v>0</v>
      </c>
      <c r="K59" s="125" t="s">
        <v>409</v>
      </c>
      <c r="L59" s="155">
        <v>0</v>
      </c>
      <c r="M59" s="29">
        <v>1</v>
      </c>
      <c r="N59" s="1">
        <v>1.0714359004449265</v>
      </c>
      <c r="O59" s="139" t="s">
        <v>1344</v>
      </c>
      <c r="P59" s="155">
        <v>0</v>
      </c>
      <c r="Q59" s="29">
        <v>1</v>
      </c>
      <c r="R59" s="1">
        <v>1.0714359004449265</v>
      </c>
      <c r="S59" s="31" t="s">
        <v>1344</v>
      </c>
    </row>
    <row r="60" spans="1:21" s="689" customFormat="1" ht="36">
      <c r="A60" s="693">
        <v>1390</v>
      </c>
      <c r="B60" s="721"/>
      <c r="C60" s="672" t="s">
        <v>525</v>
      </c>
      <c r="D60" s="673" t="s">
        <v>526</v>
      </c>
      <c r="E60" s="674" t="s">
        <v>402</v>
      </c>
      <c r="F60" s="675" t="s">
        <v>1363</v>
      </c>
      <c r="G60" s="676" t="s">
        <v>393</v>
      </c>
      <c r="H60" s="677" t="s">
        <v>402</v>
      </c>
      <c r="I60" s="678" t="s">
        <v>402</v>
      </c>
      <c r="J60" s="679">
        <v>0</v>
      </c>
      <c r="K60" s="676" t="s">
        <v>409</v>
      </c>
      <c r="L60" s="680">
        <v>0.13100000000000001</v>
      </c>
      <c r="M60" s="681">
        <v>1</v>
      </c>
      <c r="N60" s="682">
        <v>1.0714359004449265</v>
      </c>
      <c r="O60" s="683" t="s">
        <v>1341</v>
      </c>
      <c r="P60" s="680">
        <v>0</v>
      </c>
      <c r="Q60" s="681">
        <v>1</v>
      </c>
      <c r="R60" s="682">
        <v>1.0714359004449265</v>
      </c>
      <c r="S60" s="684" t="s">
        <v>1341</v>
      </c>
      <c r="T60" s="725"/>
      <c r="U60" s="725"/>
    </row>
    <row r="61" spans="1:21" ht="12.75">
      <c r="A61" s="214">
        <v>490</v>
      </c>
      <c r="B61" s="296" t="s">
        <v>692</v>
      </c>
      <c r="C61" s="169" t="s">
        <v>525</v>
      </c>
      <c r="D61" s="50" t="s">
        <v>402</v>
      </c>
      <c r="E61" s="10" t="s">
        <v>527</v>
      </c>
      <c r="F61" s="144" t="s">
        <v>324</v>
      </c>
      <c r="G61" s="125" t="s">
        <v>402</v>
      </c>
      <c r="H61" s="154" t="s">
        <v>325</v>
      </c>
      <c r="I61" s="123" t="s">
        <v>685</v>
      </c>
      <c r="J61" s="124" t="s">
        <v>402</v>
      </c>
      <c r="K61" s="125" t="s">
        <v>677</v>
      </c>
      <c r="L61" s="155">
        <v>160.92000000000002</v>
      </c>
      <c r="M61" s="29">
        <v>1</v>
      </c>
      <c r="N61" s="1">
        <v>1.0714359004449265</v>
      </c>
      <c r="O61" s="139" t="s">
        <v>1364</v>
      </c>
      <c r="P61" s="155">
        <v>0</v>
      </c>
      <c r="Q61" s="29">
        <v>1</v>
      </c>
      <c r="R61" s="1">
        <v>1.0714359004449265</v>
      </c>
      <c r="S61" s="31" t="s">
        <v>1364</v>
      </c>
    </row>
    <row r="62" spans="1:21" ht="12.75">
      <c r="A62" s="215">
        <v>178</v>
      </c>
      <c r="B62" s="168"/>
      <c r="C62" s="169" t="s">
        <v>525</v>
      </c>
      <c r="D62" s="50" t="s">
        <v>402</v>
      </c>
      <c r="E62" s="10" t="s">
        <v>527</v>
      </c>
      <c r="F62" s="144" t="s">
        <v>973</v>
      </c>
      <c r="G62" s="125" t="s">
        <v>402</v>
      </c>
      <c r="H62" s="154" t="s">
        <v>325</v>
      </c>
      <c r="I62" s="123" t="s">
        <v>685</v>
      </c>
      <c r="J62" s="124" t="s">
        <v>402</v>
      </c>
      <c r="K62" s="125" t="s">
        <v>395</v>
      </c>
      <c r="L62" s="155">
        <v>2.0999999999999999E-8</v>
      </c>
      <c r="M62" s="29">
        <v>1</v>
      </c>
      <c r="N62" s="1">
        <v>5.0949158853185388</v>
      </c>
      <c r="O62" s="139" t="s">
        <v>1365</v>
      </c>
      <c r="P62" s="155">
        <v>0</v>
      </c>
      <c r="Q62" s="29">
        <v>1</v>
      </c>
      <c r="R62" s="1">
        <v>5.0949158853185388</v>
      </c>
      <c r="S62" s="31" t="s">
        <v>1365</v>
      </c>
    </row>
  </sheetData>
  <phoneticPr fontId="0" type="noConversion"/>
  <pageMargins left="0.78740157499999996" right="0.78740157499999996" top="0.984251969" bottom="0.984251969" header="0.4921259845" footer="0.4921259845"/>
  <pageSetup paperSize="9" scale="56"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pageSetUpPr fitToPage="1"/>
  </sheetPr>
  <dimension ref="A1:T41"/>
  <sheetViews>
    <sheetView zoomScale="85" zoomScaleNormal="85" workbookViewId="0">
      <pane xSplit="16" ySplit="6" topLeftCell="Q7" activePane="bottomRight" state="frozen"/>
      <selection activeCell="O46" sqref="O46"/>
      <selection pane="topRight" activeCell="O46" sqref="O46"/>
      <selection pane="bottomLeft" activeCell="O46" sqref="O46"/>
      <selection pane="bottomRight" activeCell="O46" sqref="O46"/>
    </sheetView>
  </sheetViews>
  <sheetFormatPr defaultColWidth="11.42578125" defaultRowHeight="12" outlineLevelCol="2"/>
  <cols>
    <col min="1" max="1" width="7.42578125" style="7" customWidth="1" outlineLevel="1"/>
    <col min="2" max="2" width="13.28515625" style="158" customWidth="1"/>
    <col min="3" max="3" width="3.7109375" style="159" hidden="1" customWidth="1"/>
    <col min="4" max="4" width="3.140625" style="7" hidden="1" customWidth="1"/>
    <col min="5" max="5" width="2.7109375" style="7" hidden="1" customWidth="1"/>
    <col min="6" max="6" width="36.5703125" style="8" customWidth="1"/>
    <col min="7" max="7" width="6" style="7" customWidth="1"/>
    <col min="8" max="8" width="5.7109375" style="7" hidden="1" customWidth="1" outlineLevel="1"/>
    <col min="9" max="9" width="19.42578125" style="7" hidden="1" customWidth="1" outlineLevel="1"/>
    <col min="10" max="10" width="3.28515625" style="7" customWidth="1" collapsed="1"/>
    <col min="11" max="11" width="5.140625" style="7" customWidth="1"/>
    <col min="12" max="12" width="11.42578125" style="7" outlineLevel="1"/>
    <col min="13" max="13" width="2.42578125" style="140" hidden="1" customWidth="1" outlineLevel="2"/>
    <col min="14" max="14" width="4.28515625" style="140" hidden="1" customWidth="1" outlineLevel="2"/>
    <col min="15" max="15" width="30.85546875" style="140" hidden="1" customWidth="1" outlineLevel="2"/>
    <col min="16" max="16" width="12" style="7" customWidth="1" outlineLevel="1" collapsed="1"/>
    <col min="17" max="17" width="2.42578125" style="140" customWidth="1" outlineLevel="2"/>
    <col min="18" max="18" width="6.42578125" style="140" customWidth="1" outlineLevel="2"/>
    <col min="19" max="19" width="30.85546875" style="140" customWidth="1" outlineLevel="2"/>
    <col min="21" max="16384" width="11.42578125" style="7"/>
  </cols>
  <sheetData>
    <row r="1" spans="1:19">
      <c r="A1" s="36"/>
      <c r="B1" s="34"/>
      <c r="C1" s="35"/>
      <c r="D1" s="36"/>
      <c r="E1" s="36"/>
      <c r="F1" s="37" t="s">
        <v>510</v>
      </c>
      <c r="G1" s="36"/>
      <c r="H1" s="36"/>
      <c r="I1" s="36"/>
      <c r="J1" s="36"/>
      <c r="K1" s="36"/>
      <c r="L1" s="146">
        <v>32129</v>
      </c>
      <c r="M1" s="22"/>
      <c r="N1" s="22"/>
      <c r="O1" s="22"/>
      <c r="P1" s="122">
        <v>32128</v>
      </c>
      <c r="Q1" s="22"/>
      <c r="R1" s="22"/>
      <c r="S1" s="22"/>
    </row>
    <row r="2" spans="1:19" ht="27" customHeight="1">
      <c r="A2" s="36"/>
      <c r="B2" s="147"/>
      <c r="C2" s="35" t="s">
        <v>511</v>
      </c>
      <c r="D2" s="147">
        <v>3503</v>
      </c>
      <c r="E2" s="147">
        <v>3504</v>
      </c>
      <c r="F2" s="147">
        <v>3702</v>
      </c>
      <c r="G2" s="147">
        <v>3703</v>
      </c>
      <c r="H2" s="147">
        <v>3506</v>
      </c>
      <c r="I2" s="147">
        <v>3507</v>
      </c>
      <c r="J2" s="147">
        <v>3508</v>
      </c>
      <c r="K2" s="147">
        <v>3706</v>
      </c>
      <c r="L2" s="147">
        <v>3707</v>
      </c>
      <c r="M2" s="23">
        <v>3708</v>
      </c>
      <c r="N2" s="23">
        <v>3709</v>
      </c>
      <c r="O2" s="134">
        <v>3792</v>
      </c>
      <c r="P2" s="147">
        <v>3707</v>
      </c>
      <c r="Q2" s="23">
        <v>3708</v>
      </c>
      <c r="R2" s="23">
        <v>3709</v>
      </c>
      <c r="S2" s="134">
        <v>3792</v>
      </c>
    </row>
    <row r="3" spans="1:19" ht="56.25" customHeight="1">
      <c r="A3" s="36" t="s">
        <v>398</v>
      </c>
      <c r="B3" s="166"/>
      <c r="C3" s="35">
        <v>401</v>
      </c>
      <c r="D3" s="167" t="s">
        <v>514</v>
      </c>
      <c r="E3" s="167" t="s">
        <v>515</v>
      </c>
      <c r="F3" s="132" t="s">
        <v>516</v>
      </c>
      <c r="G3" s="41" t="s">
        <v>517</v>
      </c>
      <c r="H3" s="41" t="s">
        <v>518</v>
      </c>
      <c r="I3" s="41" t="s">
        <v>519</v>
      </c>
      <c r="J3" s="41" t="s">
        <v>520</v>
      </c>
      <c r="K3" s="41" t="s">
        <v>394</v>
      </c>
      <c r="L3" s="177" t="s">
        <v>1366</v>
      </c>
      <c r="M3" s="25" t="s">
        <v>265</v>
      </c>
      <c r="N3" s="25" t="s">
        <v>266</v>
      </c>
      <c r="O3" s="136" t="s">
        <v>548</v>
      </c>
      <c r="P3" s="177" t="s">
        <v>1367</v>
      </c>
      <c r="Q3" s="25" t="s">
        <v>265</v>
      </c>
      <c r="R3" s="25" t="s">
        <v>266</v>
      </c>
      <c r="S3" s="136" t="s">
        <v>548</v>
      </c>
    </row>
    <row r="4" spans="1:19" ht="12" customHeight="1">
      <c r="A4" s="36"/>
      <c r="B4" s="166"/>
      <c r="C4" s="35">
        <v>662</v>
      </c>
      <c r="D4" s="13"/>
      <c r="E4" s="13"/>
      <c r="F4" s="132" t="s">
        <v>517</v>
      </c>
      <c r="G4" s="132"/>
      <c r="H4" s="132"/>
      <c r="I4" s="132"/>
      <c r="J4" s="132"/>
      <c r="K4" s="132"/>
      <c r="L4" s="177" t="s">
        <v>465</v>
      </c>
      <c r="M4" s="27"/>
      <c r="N4" s="27"/>
      <c r="O4" s="201"/>
      <c r="P4" s="177" t="s">
        <v>465</v>
      </c>
      <c r="Q4" s="27"/>
      <c r="R4" s="27"/>
      <c r="S4" s="201"/>
    </row>
    <row r="5" spans="1:19">
      <c r="A5" s="36"/>
      <c r="B5" s="166"/>
      <c r="C5" s="35">
        <v>493</v>
      </c>
      <c r="D5" s="13"/>
      <c r="E5" s="13"/>
      <c r="F5" s="132" t="s">
        <v>520</v>
      </c>
      <c r="G5" s="132"/>
      <c r="H5" s="132"/>
      <c r="I5" s="132"/>
      <c r="J5" s="132"/>
      <c r="K5" s="132"/>
      <c r="L5" s="177">
        <v>1</v>
      </c>
      <c r="M5" s="27"/>
      <c r="N5" s="27"/>
      <c r="O5" s="201"/>
      <c r="P5" s="177">
        <v>1</v>
      </c>
      <c r="Q5" s="27"/>
      <c r="R5" s="27"/>
      <c r="S5" s="201"/>
    </row>
    <row r="6" spans="1:19">
      <c r="A6" s="36"/>
      <c r="B6" s="166"/>
      <c r="C6" s="35">
        <v>403</v>
      </c>
      <c r="D6" s="13"/>
      <c r="E6" s="13"/>
      <c r="F6" s="132" t="s">
        <v>394</v>
      </c>
      <c r="G6" s="352"/>
      <c r="H6" s="132"/>
      <c r="I6" s="132"/>
      <c r="J6" s="132"/>
      <c r="K6" s="132"/>
      <c r="L6" s="177" t="s">
        <v>396</v>
      </c>
      <c r="M6" s="27"/>
      <c r="N6" s="27"/>
      <c r="O6" s="201"/>
      <c r="P6" s="177" t="s">
        <v>396</v>
      </c>
      <c r="Q6" s="27"/>
      <c r="R6" s="27"/>
      <c r="S6" s="201"/>
    </row>
    <row r="7" spans="1:19">
      <c r="A7" s="120">
        <v>32129</v>
      </c>
      <c r="B7" s="168" t="s">
        <v>523</v>
      </c>
      <c r="C7" s="169"/>
      <c r="D7" s="11" t="s">
        <v>402</v>
      </c>
      <c r="E7" s="170">
        <v>0</v>
      </c>
      <c r="F7" s="145" t="s">
        <v>1366</v>
      </c>
      <c r="G7" s="16" t="s">
        <v>465</v>
      </c>
      <c r="H7" s="14" t="s">
        <v>402</v>
      </c>
      <c r="I7" s="14" t="s">
        <v>402</v>
      </c>
      <c r="J7" s="15">
        <v>1</v>
      </c>
      <c r="K7" s="16" t="s">
        <v>396</v>
      </c>
      <c r="L7" s="149">
        <v>1</v>
      </c>
      <c r="M7" s="29"/>
      <c r="N7" s="30"/>
      <c r="O7" s="139"/>
      <c r="P7" s="149">
        <v>0</v>
      </c>
      <c r="Q7" s="29"/>
      <c r="R7" s="1"/>
      <c r="S7" s="139"/>
    </row>
    <row r="8" spans="1:19">
      <c r="A8" s="120">
        <v>32128</v>
      </c>
      <c r="B8" s="146"/>
      <c r="C8" s="169"/>
      <c r="D8" s="11" t="s">
        <v>402</v>
      </c>
      <c r="E8" s="170">
        <v>0</v>
      </c>
      <c r="F8" s="145" t="s">
        <v>1367</v>
      </c>
      <c r="G8" s="16" t="s">
        <v>465</v>
      </c>
      <c r="H8" s="14" t="s">
        <v>402</v>
      </c>
      <c r="I8" s="14" t="s">
        <v>402</v>
      </c>
      <c r="J8" s="15">
        <v>1</v>
      </c>
      <c r="K8" s="16" t="s">
        <v>396</v>
      </c>
      <c r="L8" s="149">
        <v>0</v>
      </c>
      <c r="M8" s="29"/>
      <c r="N8" s="30"/>
      <c r="O8" s="139"/>
      <c r="P8" s="149">
        <v>1</v>
      </c>
      <c r="Q8" s="29"/>
      <c r="R8" s="1"/>
      <c r="S8" s="139"/>
    </row>
    <row r="9" spans="1:19" ht="12.75">
      <c r="A9" s="120">
        <v>32023</v>
      </c>
      <c r="B9" s="168" t="s">
        <v>524</v>
      </c>
      <c r="C9" s="151" t="s">
        <v>525</v>
      </c>
      <c r="D9" s="152" t="s">
        <v>526</v>
      </c>
      <c r="E9" s="153" t="s">
        <v>402</v>
      </c>
      <c r="F9" s="144" t="s">
        <v>1133</v>
      </c>
      <c r="G9" s="125" t="s">
        <v>465</v>
      </c>
      <c r="H9" s="154" t="s">
        <v>402</v>
      </c>
      <c r="I9" s="123" t="s">
        <v>402</v>
      </c>
      <c r="J9" s="124">
        <v>0</v>
      </c>
      <c r="K9" s="125" t="s">
        <v>678</v>
      </c>
      <c r="L9" s="155">
        <v>48.220366741392382</v>
      </c>
      <c r="M9" s="29">
        <v>1</v>
      </c>
      <c r="N9" s="1">
        <v>1.128986925796466</v>
      </c>
      <c r="O9" s="139" t="s">
        <v>1368</v>
      </c>
      <c r="P9" s="155">
        <v>0</v>
      </c>
      <c r="Q9" s="29">
        <v>1</v>
      </c>
      <c r="R9" s="1">
        <v>1.128986925796466</v>
      </c>
      <c r="S9" s="31" t="s">
        <v>1368</v>
      </c>
    </row>
    <row r="10" spans="1:19" ht="39" customHeight="1">
      <c r="A10" s="226">
        <v>4088</v>
      </c>
      <c r="B10" s="168" t="s">
        <v>525</v>
      </c>
      <c r="C10" s="151" t="s">
        <v>525</v>
      </c>
      <c r="D10" s="152" t="s">
        <v>526</v>
      </c>
      <c r="E10" s="153" t="s">
        <v>402</v>
      </c>
      <c r="F10" s="144" t="s">
        <v>1272</v>
      </c>
      <c r="G10" s="125" t="s">
        <v>521</v>
      </c>
      <c r="H10" s="154" t="s">
        <v>402</v>
      </c>
      <c r="I10" s="123" t="s">
        <v>402</v>
      </c>
      <c r="J10" s="124">
        <v>0</v>
      </c>
      <c r="K10" s="125" t="s">
        <v>677</v>
      </c>
      <c r="L10" s="155">
        <v>5.8898917888910471</v>
      </c>
      <c r="M10" s="29">
        <v>1</v>
      </c>
      <c r="N10" s="1">
        <v>1.128986925796466</v>
      </c>
      <c r="O10" s="139" t="s">
        <v>1368</v>
      </c>
      <c r="P10" s="155">
        <v>0</v>
      </c>
      <c r="Q10" s="29">
        <v>1</v>
      </c>
      <c r="R10" s="1">
        <v>1.128986925796466</v>
      </c>
      <c r="S10" s="31" t="s">
        <v>1368</v>
      </c>
    </row>
    <row r="11" spans="1:19" ht="12.75">
      <c r="A11" s="122">
        <v>4849</v>
      </c>
      <c r="B11" s="37" t="s">
        <v>154</v>
      </c>
      <c r="C11" s="151" t="s">
        <v>525</v>
      </c>
      <c r="D11" s="152" t="s">
        <v>526</v>
      </c>
      <c r="E11" s="153" t="s">
        <v>402</v>
      </c>
      <c r="F11" s="144" t="s">
        <v>1303</v>
      </c>
      <c r="G11" s="125" t="s">
        <v>51</v>
      </c>
      <c r="H11" s="154" t="s">
        <v>402</v>
      </c>
      <c r="I11" s="123" t="s">
        <v>402</v>
      </c>
      <c r="J11" s="124">
        <v>1</v>
      </c>
      <c r="K11" s="125" t="s">
        <v>522</v>
      </c>
      <c r="L11" s="155">
        <v>3.9999999999999998E-6</v>
      </c>
      <c r="M11" s="29">
        <v>1</v>
      </c>
      <c r="N11" s="1">
        <v>3.0161925676538148</v>
      </c>
      <c r="O11" s="139" t="s">
        <v>1343</v>
      </c>
      <c r="P11" s="155">
        <v>0</v>
      </c>
      <c r="Q11" s="29">
        <v>1</v>
      </c>
      <c r="R11" s="1">
        <v>3.0161925676538148</v>
      </c>
      <c r="S11" s="31" t="s">
        <v>1343</v>
      </c>
    </row>
    <row r="12" spans="1:19" ht="12.75">
      <c r="A12" s="36">
        <v>679</v>
      </c>
      <c r="B12" s="37" t="s">
        <v>211</v>
      </c>
      <c r="C12" s="151" t="s">
        <v>525</v>
      </c>
      <c r="D12" s="152" t="s">
        <v>526</v>
      </c>
      <c r="E12" s="153" t="s">
        <v>402</v>
      </c>
      <c r="F12" s="144" t="s">
        <v>111</v>
      </c>
      <c r="G12" s="125" t="s">
        <v>521</v>
      </c>
      <c r="H12" s="154" t="s">
        <v>402</v>
      </c>
      <c r="I12" s="123" t="s">
        <v>402</v>
      </c>
      <c r="J12" s="124">
        <v>0</v>
      </c>
      <c r="K12" s="125" t="s">
        <v>395</v>
      </c>
      <c r="L12" s="155">
        <v>39.671715272392298</v>
      </c>
      <c r="M12" s="29">
        <v>1</v>
      </c>
      <c r="N12" s="1">
        <v>1.128986925796466</v>
      </c>
      <c r="O12" s="139" t="s">
        <v>1368</v>
      </c>
      <c r="P12" s="155">
        <v>0</v>
      </c>
      <c r="Q12" s="29">
        <v>1</v>
      </c>
      <c r="R12" s="1">
        <v>1.128986925796466</v>
      </c>
      <c r="S12" s="31" t="s">
        <v>1368</v>
      </c>
    </row>
    <row r="13" spans="1:19" ht="12.75">
      <c r="A13" s="120">
        <v>1153</v>
      </c>
      <c r="B13" s="37" t="s">
        <v>487</v>
      </c>
      <c r="C13" s="151" t="s">
        <v>525</v>
      </c>
      <c r="D13" s="152" t="s">
        <v>526</v>
      </c>
      <c r="E13" s="153" t="s">
        <v>402</v>
      </c>
      <c r="F13" s="144" t="s">
        <v>1106</v>
      </c>
      <c r="G13" s="125" t="s">
        <v>521</v>
      </c>
      <c r="H13" s="154" t="s">
        <v>402</v>
      </c>
      <c r="I13" s="123" t="s">
        <v>402</v>
      </c>
      <c r="J13" s="124">
        <v>0</v>
      </c>
      <c r="K13" s="125" t="s">
        <v>395</v>
      </c>
      <c r="L13" s="155">
        <v>6.6842119112289225E-2</v>
      </c>
      <c r="M13" s="29">
        <v>1</v>
      </c>
      <c r="N13" s="1">
        <v>1.2179505318205299</v>
      </c>
      <c r="O13" s="139" t="s">
        <v>1369</v>
      </c>
      <c r="P13" s="155">
        <v>0</v>
      </c>
      <c r="Q13" s="29">
        <v>1</v>
      </c>
      <c r="R13" s="1">
        <v>1.2179505318205299</v>
      </c>
      <c r="S13" s="31" t="s">
        <v>1369</v>
      </c>
    </row>
    <row r="14" spans="1:19" ht="12.75">
      <c r="A14" s="3">
        <v>1121</v>
      </c>
      <c r="B14" s="168" t="s">
        <v>525</v>
      </c>
      <c r="C14" s="151" t="s">
        <v>525</v>
      </c>
      <c r="D14" s="152" t="s">
        <v>526</v>
      </c>
      <c r="E14" s="153" t="s">
        <v>402</v>
      </c>
      <c r="F14" s="144" t="s">
        <v>57</v>
      </c>
      <c r="G14" s="125" t="s">
        <v>521</v>
      </c>
      <c r="H14" s="154" t="s">
        <v>402</v>
      </c>
      <c r="I14" s="123" t="s">
        <v>402</v>
      </c>
      <c r="J14" s="124">
        <v>0</v>
      </c>
      <c r="K14" s="125" t="s">
        <v>395</v>
      </c>
      <c r="L14" s="155">
        <v>0.96356849703681202</v>
      </c>
      <c r="M14" s="29">
        <v>1</v>
      </c>
      <c r="N14" s="1">
        <v>1.2179505318205299</v>
      </c>
      <c r="O14" s="139" t="s">
        <v>1369</v>
      </c>
      <c r="P14" s="155">
        <v>2.1799961908668708</v>
      </c>
      <c r="Q14" s="29">
        <v>1</v>
      </c>
      <c r="R14" s="1">
        <v>1.2179505318205299</v>
      </c>
      <c r="S14" s="31" t="s">
        <v>1369</v>
      </c>
    </row>
    <row r="15" spans="1:19" ht="12.75">
      <c r="A15" s="120">
        <v>32129</v>
      </c>
      <c r="B15" s="37" t="s">
        <v>150</v>
      </c>
      <c r="C15" s="151" t="s">
        <v>525</v>
      </c>
      <c r="D15" s="152" t="s">
        <v>526</v>
      </c>
      <c r="E15" s="153" t="s">
        <v>402</v>
      </c>
      <c r="F15" s="144" t="s">
        <v>1366</v>
      </c>
      <c r="G15" s="125" t="s">
        <v>465</v>
      </c>
      <c r="H15" s="154" t="s">
        <v>402</v>
      </c>
      <c r="I15" s="123" t="s">
        <v>402</v>
      </c>
      <c r="J15" s="124">
        <v>1</v>
      </c>
      <c r="K15" s="125" t="s">
        <v>396</v>
      </c>
      <c r="L15" s="155">
        <v>0</v>
      </c>
      <c r="M15" s="29">
        <v>1</v>
      </c>
      <c r="N15" s="1">
        <v>3.0498680965639386</v>
      </c>
      <c r="O15" s="139" t="s">
        <v>1369</v>
      </c>
      <c r="P15" s="155">
        <v>1</v>
      </c>
      <c r="Q15" s="29">
        <v>1</v>
      </c>
      <c r="R15" s="1">
        <v>3.0498680965639386</v>
      </c>
      <c r="S15" s="31" t="s">
        <v>1369</v>
      </c>
    </row>
    <row r="16" spans="1:19" ht="12.75">
      <c r="A16" s="156">
        <v>67</v>
      </c>
      <c r="B16" s="37"/>
      <c r="C16" s="151" t="s">
        <v>525</v>
      </c>
      <c r="D16" s="152" t="s">
        <v>526</v>
      </c>
      <c r="E16" s="153" t="s">
        <v>402</v>
      </c>
      <c r="F16" s="144" t="s">
        <v>1084</v>
      </c>
      <c r="G16" s="125" t="s">
        <v>521</v>
      </c>
      <c r="H16" s="154" t="s">
        <v>402</v>
      </c>
      <c r="I16" s="123" t="s">
        <v>402</v>
      </c>
      <c r="J16" s="124">
        <v>0</v>
      </c>
      <c r="K16" s="125" t="s">
        <v>395</v>
      </c>
      <c r="L16" s="155">
        <v>1.4310707127789484E-2</v>
      </c>
      <c r="M16" s="29">
        <v>1</v>
      </c>
      <c r="N16" s="1">
        <v>1.128986925796466</v>
      </c>
      <c r="O16" s="139" t="s">
        <v>1368</v>
      </c>
      <c r="P16" s="155">
        <v>3.3403167440702055</v>
      </c>
      <c r="Q16" s="29">
        <v>1</v>
      </c>
      <c r="R16" s="1">
        <v>1.128986925796466</v>
      </c>
      <c r="S16" s="31" t="s">
        <v>1368</v>
      </c>
    </row>
    <row r="17" spans="1:19" ht="12.75">
      <c r="A17" s="156">
        <v>992</v>
      </c>
      <c r="B17" s="37" t="s">
        <v>525</v>
      </c>
      <c r="C17" s="151" t="s">
        <v>525</v>
      </c>
      <c r="D17" s="152" t="s">
        <v>526</v>
      </c>
      <c r="E17" s="153" t="s">
        <v>402</v>
      </c>
      <c r="F17" s="144" t="s">
        <v>1085</v>
      </c>
      <c r="G17" s="125" t="s">
        <v>521</v>
      </c>
      <c r="H17" s="154" t="s">
        <v>402</v>
      </c>
      <c r="I17" s="123" t="s">
        <v>402</v>
      </c>
      <c r="J17" s="124">
        <v>0</v>
      </c>
      <c r="K17" s="125" t="s">
        <v>395</v>
      </c>
      <c r="L17" s="155">
        <v>6.6842119112289225E-2</v>
      </c>
      <c r="M17" s="29">
        <v>1</v>
      </c>
      <c r="N17" s="1">
        <v>1.128986925796466</v>
      </c>
      <c r="O17" s="139" t="s">
        <v>1370</v>
      </c>
      <c r="P17" s="155">
        <v>0</v>
      </c>
      <c r="Q17" s="29">
        <v>1</v>
      </c>
      <c r="R17" s="1">
        <v>1.128986925796466</v>
      </c>
      <c r="S17" s="31" t="s">
        <v>1370</v>
      </c>
    </row>
    <row r="18" spans="1:19" ht="12.75">
      <c r="A18" s="252">
        <v>1132</v>
      </c>
      <c r="B18" s="37"/>
      <c r="C18" s="151" t="s">
        <v>525</v>
      </c>
      <c r="D18" s="152" t="s">
        <v>526</v>
      </c>
      <c r="E18" s="153" t="s">
        <v>402</v>
      </c>
      <c r="F18" s="144" t="s">
        <v>620</v>
      </c>
      <c r="G18" s="125" t="s">
        <v>521</v>
      </c>
      <c r="H18" s="154" t="s">
        <v>402</v>
      </c>
      <c r="I18" s="123" t="s">
        <v>402</v>
      </c>
      <c r="J18" s="124">
        <v>0</v>
      </c>
      <c r="K18" s="125" t="s">
        <v>395</v>
      </c>
      <c r="L18" s="155">
        <v>0.96356849703681202</v>
      </c>
      <c r="M18" s="29">
        <v>1</v>
      </c>
      <c r="N18" s="1">
        <v>1.128986925796466</v>
      </c>
      <c r="O18" s="139" t="s">
        <v>1368</v>
      </c>
      <c r="P18" s="155">
        <v>2.1799961908668708</v>
      </c>
      <c r="Q18" s="29">
        <v>1</v>
      </c>
      <c r="R18" s="1">
        <v>1.128986925796466</v>
      </c>
      <c r="S18" s="31" t="s">
        <v>1368</v>
      </c>
    </row>
    <row r="19" spans="1:19" ht="12.75">
      <c r="A19" s="120">
        <v>960</v>
      </c>
      <c r="B19" s="37"/>
      <c r="C19" s="151" t="s">
        <v>525</v>
      </c>
      <c r="D19" s="152" t="s">
        <v>526</v>
      </c>
      <c r="E19" s="153" t="s">
        <v>402</v>
      </c>
      <c r="F19" s="144" t="s">
        <v>1091</v>
      </c>
      <c r="G19" s="125" t="s">
        <v>521</v>
      </c>
      <c r="H19" s="154" t="s">
        <v>402</v>
      </c>
      <c r="I19" s="123" t="s">
        <v>402</v>
      </c>
      <c r="J19" s="124">
        <v>0</v>
      </c>
      <c r="K19" s="125" t="s">
        <v>395</v>
      </c>
      <c r="L19" s="155">
        <v>2.6203945850514655E-3</v>
      </c>
      <c r="M19" s="29">
        <v>1</v>
      </c>
      <c r="N19" s="1">
        <v>1.128986925796466</v>
      </c>
      <c r="O19" s="139" t="s">
        <v>1371</v>
      </c>
      <c r="P19" s="155">
        <v>0</v>
      </c>
      <c r="Q19" s="29">
        <v>1</v>
      </c>
      <c r="R19" s="1">
        <v>1.128986925796466</v>
      </c>
      <c r="S19" s="31" t="s">
        <v>1371</v>
      </c>
    </row>
    <row r="20" spans="1:19" ht="12.75">
      <c r="A20" s="120">
        <v>2924</v>
      </c>
      <c r="B20" s="37"/>
      <c r="C20" s="151" t="s">
        <v>525</v>
      </c>
      <c r="D20" s="152" t="s">
        <v>526</v>
      </c>
      <c r="E20" s="153" t="s">
        <v>402</v>
      </c>
      <c r="F20" s="144" t="s">
        <v>1102</v>
      </c>
      <c r="G20" s="125" t="s">
        <v>521</v>
      </c>
      <c r="H20" s="154" t="s">
        <v>402</v>
      </c>
      <c r="I20" s="123" t="s">
        <v>402</v>
      </c>
      <c r="J20" s="124">
        <v>0</v>
      </c>
      <c r="K20" s="125" t="s">
        <v>395</v>
      </c>
      <c r="L20" s="155">
        <v>9.7051651298202413E-3</v>
      </c>
      <c r="M20" s="29">
        <v>1</v>
      </c>
      <c r="N20" s="1">
        <v>1.128986925796466</v>
      </c>
      <c r="O20" s="139" t="s">
        <v>1372</v>
      </c>
      <c r="P20" s="155">
        <v>0</v>
      </c>
      <c r="Q20" s="29">
        <v>1</v>
      </c>
      <c r="R20" s="1">
        <v>1.128986925796466</v>
      </c>
      <c r="S20" s="31" t="s">
        <v>1372</v>
      </c>
    </row>
    <row r="21" spans="1:19" ht="12.75">
      <c r="A21" s="226">
        <v>1259</v>
      </c>
      <c r="B21" s="37" t="s">
        <v>525</v>
      </c>
      <c r="C21" s="151" t="s">
        <v>525</v>
      </c>
      <c r="D21" s="152" t="s">
        <v>526</v>
      </c>
      <c r="E21" s="153" t="s">
        <v>402</v>
      </c>
      <c r="F21" s="144" t="s">
        <v>55</v>
      </c>
      <c r="G21" s="125" t="s">
        <v>521</v>
      </c>
      <c r="H21" s="154" t="s">
        <v>402</v>
      </c>
      <c r="I21" s="123" t="s">
        <v>402</v>
      </c>
      <c r="J21" s="124">
        <v>0</v>
      </c>
      <c r="K21" s="125" t="s">
        <v>395</v>
      </c>
      <c r="L21" s="155">
        <v>1.0988496760691155</v>
      </c>
      <c r="M21" s="29">
        <v>1</v>
      </c>
      <c r="N21" s="1">
        <v>1.128986925796466</v>
      </c>
      <c r="O21" s="139" t="s">
        <v>1368</v>
      </c>
      <c r="P21" s="155">
        <v>0</v>
      </c>
      <c r="Q21" s="29">
        <v>1</v>
      </c>
      <c r="R21" s="1">
        <v>1.128986925796466</v>
      </c>
      <c r="S21" s="31" t="s">
        <v>1368</v>
      </c>
    </row>
    <row r="22" spans="1:19" ht="12.75">
      <c r="A22" s="120">
        <v>3200</v>
      </c>
      <c r="B22" s="37" t="s">
        <v>525</v>
      </c>
      <c r="C22" s="151" t="s">
        <v>525</v>
      </c>
      <c r="D22" s="152" t="s">
        <v>526</v>
      </c>
      <c r="E22" s="153" t="s">
        <v>402</v>
      </c>
      <c r="F22" s="144" t="s">
        <v>1103</v>
      </c>
      <c r="G22" s="125" t="s">
        <v>521</v>
      </c>
      <c r="H22" s="154" t="s">
        <v>402</v>
      </c>
      <c r="I22" s="123" t="s">
        <v>402</v>
      </c>
      <c r="J22" s="124">
        <v>0</v>
      </c>
      <c r="K22" s="125" t="s">
        <v>395</v>
      </c>
      <c r="L22" s="155">
        <v>0.30990356834994187</v>
      </c>
      <c r="M22" s="29">
        <v>1</v>
      </c>
      <c r="N22" s="1">
        <v>1.128986925796466</v>
      </c>
      <c r="O22" s="139" t="s">
        <v>1373</v>
      </c>
      <c r="P22" s="155">
        <v>0</v>
      </c>
      <c r="Q22" s="29">
        <v>1</v>
      </c>
      <c r="R22" s="1">
        <v>1.128986925796466</v>
      </c>
      <c r="S22" s="31" t="s">
        <v>1373</v>
      </c>
    </row>
    <row r="23" spans="1:19" ht="12.75">
      <c r="A23" s="120">
        <v>32127</v>
      </c>
      <c r="B23" s="37"/>
      <c r="C23" s="151" t="s">
        <v>525</v>
      </c>
      <c r="D23" s="152" t="s">
        <v>526</v>
      </c>
      <c r="E23" s="153" t="s">
        <v>402</v>
      </c>
      <c r="F23" s="144" t="s">
        <v>1093</v>
      </c>
      <c r="G23" s="125" t="s">
        <v>465</v>
      </c>
      <c r="H23" s="154" t="s">
        <v>402</v>
      </c>
      <c r="I23" s="123" t="s">
        <v>402</v>
      </c>
      <c r="J23" s="124">
        <v>0</v>
      </c>
      <c r="K23" s="125" t="s">
        <v>395</v>
      </c>
      <c r="L23" s="155">
        <v>0.12306149384612067</v>
      </c>
      <c r="M23" s="29">
        <v>1</v>
      </c>
      <c r="N23" s="1">
        <v>1.128986925796466</v>
      </c>
      <c r="O23" s="139" t="s">
        <v>1368</v>
      </c>
      <c r="P23" s="155">
        <v>0</v>
      </c>
      <c r="Q23" s="29">
        <v>1</v>
      </c>
      <c r="R23" s="1">
        <v>1.128986925796466</v>
      </c>
      <c r="S23" s="31" t="s">
        <v>1368</v>
      </c>
    </row>
    <row r="24" spans="1:19" ht="24">
      <c r="A24" s="2">
        <v>3822</v>
      </c>
      <c r="B24" s="37"/>
      <c r="C24" s="151" t="s">
        <v>525</v>
      </c>
      <c r="D24" s="152" t="s">
        <v>526</v>
      </c>
      <c r="E24" s="153" t="s">
        <v>402</v>
      </c>
      <c r="F24" s="144" t="s">
        <v>1310</v>
      </c>
      <c r="G24" s="125" t="s">
        <v>521</v>
      </c>
      <c r="H24" s="154" t="s">
        <v>402</v>
      </c>
      <c r="I24" s="123" t="s">
        <v>402</v>
      </c>
      <c r="J24" s="124">
        <v>0</v>
      </c>
      <c r="K24" s="125" t="s">
        <v>395</v>
      </c>
      <c r="L24" s="155">
        <v>3.576794494208297E-2</v>
      </c>
      <c r="M24" s="29">
        <v>1</v>
      </c>
      <c r="N24" s="1">
        <v>1.128986925796466</v>
      </c>
      <c r="O24" s="139" t="s">
        <v>1368</v>
      </c>
      <c r="P24" s="155">
        <v>0</v>
      </c>
      <c r="Q24" s="29">
        <v>1</v>
      </c>
      <c r="R24" s="1">
        <v>1.128986925796466</v>
      </c>
      <c r="S24" s="31" t="s">
        <v>1368</v>
      </c>
    </row>
    <row r="25" spans="1:19" ht="24">
      <c r="A25" s="120">
        <v>853</v>
      </c>
      <c r="B25" s="37"/>
      <c r="C25" s="151" t="s">
        <v>525</v>
      </c>
      <c r="D25" s="152" t="s">
        <v>526</v>
      </c>
      <c r="E25" s="153" t="s">
        <v>402</v>
      </c>
      <c r="F25" s="144" t="s">
        <v>504</v>
      </c>
      <c r="G25" s="125" t="s">
        <v>521</v>
      </c>
      <c r="H25" s="154" t="s">
        <v>402</v>
      </c>
      <c r="I25" s="123" t="s">
        <v>402</v>
      </c>
      <c r="J25" s="124">
        <v>0</v>
      </c>
      <c r="K25" s="125" t="s">
        <v>395</v>
      </c>
      <c r="L25" s="155">
        <v>6.7574417935721137E-2</v>
      </c>
      <c r="M25" s="29">
        <v>1</v>
      </c>
      <c r="N25" s="1">
        <v>1.128986925796466</v>
      </c>
      <c r="O25" s="139" t="s">
        <v>1374</v>
      </c>
      <c r="P25" s="155">
        <v>0</v>
      </c>
      <c r="Q25" s="29">
        <v>1</v>
      </c>
      <c r="R25" s="1">
        <v>1.128986925796466</v>
      </c>
      <c r="S25" s="31" t="s">
        <v>1374</v>
      </c>
    </row>
    <row r="26" spans="1:19" ht="12.75">
      <c r="A26" s="226">
        <v>32126</v>
      </c>
      <c r="B26" s="37" t="s">
        <v>476</v>
      </c>
      <c r="C26" s="151" t="s">
        <v>525</v>
      </c>
      <c r="D26" s="152" t="s">
        <v>526</v>
      </c>
      <c r="E26" s="153" t="s">
        <v>402</v>
      </c>
      <c r="F26" s="144" t="s">
        <v>1104</v>
      </c>
      <c r="G26" s="125" t="s">
        <v>521</v>
      </c>
      <c r="H26" s="154" t="s">
        <v>402</v>
      </c>
      <c r="I26" s="123" t="s">
        <v>402</v>
      </c>
      <c r="J26" s="124">
        <v>0</v>
      </c>
      <c r="K26" s="125" t="s">
        <v>395</v>
      </c>
      <c r="L26" s="155">
        <v>3.5776767819473711E-3</v>
      </c>
      <c r="M26" s="29">
        <v>1</v>
      </c>
      <c r="N26" s="1">
        <v>1.128986925796466</v>
      </c>
      <c r="O26" s="139" t="s">
        <v>1368</v>
      </c>
      <c r="P26" s="155">
        <v>0</v>
      </c>
      <c r="Q26" s="29">
        <v>1</v>
      </c>
      <c r="R26" s="1">
        <v>1.128986925796466</v>
      </c>
      <c r="S26" s="31" t="s">
        <v>1368</v>
      </c>
    </row>
    <row r="27" spans="1:19" ht="24">
      <c r="A27" s="120">
        <v>32122</v>
      </c>
      <c r="B27" s="37" t="s">
        <v>525</v>
      </c>
      <c r="C27" s="151" t="s">
        <v>525</v>
      </c>
      <c r="D27" s="152" t="s">
        <v>526</v>
      </c>
      <c r="E27" s="153" t="s">
        <v>402</v>
      </c>
      <c r="F27" s="144" t="s">
        <v>1097</v>
      </c>
      <c r="G27" s="125" t="s">
        <v>521</v>
      </c>
      <c r="H27" s="154" t="s">
        <v>402</v>
      </c>
      <c r="I27" s="123" t="s">
        <v>402</v>
      </c>
      <c r="J27" s="124">
        <v>0</v>
      </c>
      <c r="K27" s="125" t="s">
        <v>395</v>
      </c>
      <c r="L27" s="155">
        <v>8.9368469094406309E-4</v>
      </c>
      <c r="M27" s="29">
        <v>1</v>
      </c>
      <c r="N27" s="1">
        <v>1.2633944194581699</v>
      </c>
      <c r="O27" s="139" t="s">
        <v>1375</v>
      </c>
      <c r="P27" s="155">
        <v>0</v>
      </c>
      <c r="Q27" s="29">
        <v>1</v>
      </c>
      <c r="R27" s="1">
        <v>1.2633944194581699</v>
      </c>
      <c r="S27" s="31" t="s">
        <v>1375</v>
      </c>
    </row>
    <row r="28" spans="1:19" ht="24">
      <c r="A28" s="226">
        <v>32119</v>
      </c>
      <c r="B28" s="37" t="s">
        <v>525</v>
      </c>
      <c r="C28" s="151" t="s">
        <v>525</v>
      </c>
      <c r="D28" s="152" t="s">
        <v>526</v>
      </c>
      <c r="E28" s="153" t="s">
        <v>402</v>
      </c>
      <c r="F28" s="144" t="s">
        <v>1088</v>
      </c>
      <c r="G28" s="125" t="s">
        <v>465</v>
      </c>
      <c r="H28" s="154" t="s">
        <v>402</v>
      </c>
      <c r="I28" s="123" t="s">
        <v>402</v>
      </c>
      <c r="J28" s="124">
        <v>0</v>
      </c>
      <c r="K28" s="125" t="s">
        <v>395</v>
      </c>
      <c r="L28" s="155">
        <v>8.9368469094406309E-4</v>
      </c>
      <c r="M28" s="29">
        <v>1</v>
      </c>
      <c r="N28" s="1">
        <v>1.2633944194581699</v>
      </c>
      <c r="O28" s="139" t="s">
        <v>1376</v>
      </c>
      <c r="P28" s="155">
        <v>0</v>
      </c>
      <c r="Q28" s="29">
        <v>1</v>
      </c>
      <c r="R28" s="1">
        <v>1.2633944194581699</v>
      </c>
      <c r="S28" s="31" t="s">
        <v>1376</v>
      </c>
    </row>
    <row r="29" spans="1:19" ht="24">
      <c r="A29" s="226">
        <v>3409</v>
      </c>
      <c r="B29" s="37" t="s">
        <v>525</v>
      </c>
      <c r="C29" s="151" t="s">
        <v>525</v>
      </c>
      <c r="D29" s="152" t="s">
        <v>526</v>
      </c>
      <c r="E29" s="153" t="s">
        <v>402</v>
      </c>
      <c r="F29" s="144" t="s">
        <v>1277</v>
      </c>
      <c r="G29" s="125" t="s">
        <v>465</v>
      </c>
      <c r="H29" s="154" t="s">
        <v>402</v>
      </c>
      <c r="I29" s="123" t="s">
        <v>402</v>
      </c>
      <c r="J29" s="124">
        <v>0</v>
      </c>
      <c r="K29" s="125" t="s">
        <v>395</v>
      </c>
      <c r="L29" s="155">
        <v>7.4994457821338248E-5</v>
      </c>
      <c r="M29" s="29">
        <v>1</v>
      </c>
      <c r="N29" s="1">
        <v>1.128986925796466</v>
      </c>
      <c r="O29" s="139" t="s">
        <v>1377</v>
      </c>
      <c r="P29" s="155">
        <v>0</v>
      </c>
      <c r="Q29" s="29">
        <v>1</v>
      </c>
      <c r="R29" s="1">
        <v>1.128986925796466</v>
      </c>
      <c r="S29" s="31" t="s">
        <v>1377</v>
      </c>
    </row>
    <row r="30" spans="1:19" ht="12.75">
      <c r="A30" s="226">
        <v>1306</v>
      </c>
      <c r="B30" s="37" t="s">
        <v>712</v>
      </c>
      <c r="C30" s="151" t="s">
        <v>525</v>
      </c>
      <c r="D30" s="152" t="s">
        <v>526</v>
      </c>
      <c r="E30" s="153" t="s">
        <v>402</v>
      </c>
      <c r="F30" s="144" t="s">
        <v>1112</v>
      </c>
      <c r="G30" s="125" t="s">
        <v>521</v>
      </c>
      <c r="H30" s="154" t="s">
        <v>402</v>
      </c>
      <c r="I30" s="123" t="s">
        <v>402</v>
      </c>
      <c r="J30" s="124">
        <v>0</v>
      </c>
      <c r="K30" s="125" t="s">
        <v>395</v>
      </c>
      <c r="L30" s="155">
        <v>4.8525825649101215E-4</v>
      </c>
      <c r="M30" s="29">
        <v>1</v>
      </c>
      <c r="N30" s="1">
        <v>1.128986925796466</v>
      </c>
      <c r="O30" s="139" t="s">
        <v>1368</v>
      </c>
      <c r="P30" s="155">
        <v>0</v>
      </c>
      <c r="Q30" s="29">
        <v>1</v>
      </c>
      <c r="R30" s="1">
        <v>1.128986925796466</v>
      </c>
      <c r="S30" s="31" t="s">
        <v>1368</v>
      </c>
    </row>
    <row r="31" spans="1:19" ht="12.75">
      <c r="A31" s="226">
        <v>1217</v>
      </c>
      <c r="B31" s="168" t="s">
        <v>525</v>
      </c>
      <c r="C31" s="151" t="s">
        <v>525</v>
      </c>
      <c r="D31" s="152" t="s">
        <v>526</v>
      </c>
      <c r="E31" s="153" t="s">
        <v>402</v>
      </c>
      <c r="F31" s="144" t="s">
        <v>1109</v>
      </c>
      <c r="G31" s="125" t="s">
        <v>521</v>
      </c>
      <c r="H31" s="154" t="s">
        <v>402</v>
      </c>
      <c r="I31" s="123" t="s">
        <v>402</v>
      </c>
      <c r="J31" s="124">
        <v>0</v>
      </c>
      <c r="K31" s="125" t="s">
        <v>395</v>
      </c>
      <c r="L31" s="155">
        <v>2.1849855858181663E-2</v>
      </c>
      <c r="M31" s="29">
        <v>1</v>
      </c>
      <c r="N31" s="1">
        <v>1.128986925796466</v>
      </c>
      <c r="O31" s="139" t="s">
        <v>1368</v>
      </c>
      <c r="P31" s="155">
        <v>0</v>
      </c>
      <c r="Q31" s="29">
        <v>1</v>
      </c>
      <c r="R31" s="1">
        <v>1.128986925796466</v>
      </c>
      <c r="S31" s="31" t="s">
        <v>1368</v>
      </c>
    </row>
    <row r="32" spans="1:19" ht="12.75">
      <c r="A32" s="226">
        <v>1260</v>
      </c>
      <c r="B32" s="37" t="s">
        <v>13</v>
      </c>
      <c r="C32" s="151" t="s">
        <v>525</v>
      </c>
      <c r="D32" s="152" t="s">
        <v>526</v>
      </c>
      <c r="E32" s="153" t="s">
        <v>402</v>
      </c>
      <c r="F32" s="144" t="s">
        <v>1378</v>
      </c>
      <c r="G32" s="125" t="s">
        <v>521</v>
      </c>
      <c r="H32" s="154" t="s">
        <v>402</v>
      </c>
      <c r="I32" s="123" t="s">
        <v>402</v>
      </c>
      <c r="J32" s="124">
        <v>0</v>
      </c>
      <c r="K32" s="125" t="s">
        <v>395</v>
      </c>
      <c r="L32" s="155">
        <v>1.8435402307963089E-2</v>
      </c>
      <c r="M32" s="29">
        <v>1</v>
      </c>
      <c r="N32" s="1">
        <v>1.128986925796466</v>
      </c>
      <c r="O32" s="139" t="s">
        <v>1368</v>
      </c>
      <c r="P32" s="155">
        <v>0</v>
      </c>
      <c r="Q32" s="29">
        <v>1</v>
      </c>
      <c r="R32" s="1">
        <v>1.128986925796466</v>
      </c>
      <c r="S32" s="31" t="s">
        <v>1368</v>
      </c>
    </row>
    <row r="33" spans="1:19" ht="24">
      <c r="A33" s="157">
        <v>2987</v>
      </c>
      <c r="B33" s="37" t="s">
        <v>152</v>
      </c>
      <c r="C33" s="151" t="s">
        <v>525</v>
      </c>
      <c r="D33" s="152" t="s">
        <v>526</v>
      </c>
      <c r="E33" s="153" t="s">
        <v>402</v>
      </c>
      <c r="F33" s="144" t="s">
        <v>59</v>
      </c>
      <c r="G33" s="125" t="s">
        <v>521</v>
      </c>
      <c r="H33" s="154" t="s">
        <v>402</v>
      </c>
      <c r="I33" s="123" t="s">
        <v>402</v>
      </c>
      <c r="J33" s="124">
        <v>0</v>
      </c>
      <c r="K33" s="125" t="s">
        <v>397</v>
      </c>
      <c r="L33" s="155">
        <v>8.4946113761079998E-3</v>
      </c>
      <c r="M33" s="29">
        <v>1</v>
      </c>
      <c r="N33" s="1">
        <v>2.0949941301068096</v>
      </c>
      <c r="O33" s="139" t="s">
        <v>1379</v>
      </c>
      <c r="P33" s="155">
        <v>0</v>
      </c>
      <c r="Q33" s="29">
        <v>1</v>
      </c>
      <c r="R33" s="1">
        <v>2.0949941301068096</v>
      </c>
      <c r="S33" s="31" t="s">
        <v>1379</v>
      </c>
    </row>
    <row r="34" spans="1:19" ht="24">
      <c r="A34" s="2">
        <v>1824</v>
      </c>
      <c r="B34" s="168" t="s">
        <v>525</v>
      </c>
      <c r="C34" s="151" t="s">
        <v>525</v>
      </c>
      <c r="D34" s="152" t="s">
        <v>526</v>
      </c>
      <c r="E34" s="153" t="s">
        <v>402</v>
      </c>
      <c r="F34" s="144" t="s">
        <v>85</v>
      </c>
      <c r="G34" s="125" t="s">
        <v>86</v>
      </c>
      <c r="H34" s="154" t="s">
        <v>402</v>
      </c>
      <c r="I34" s="123" t="s">
        <v>402</v>
      </c>
      <c r="J34" s="124">
        <v>0</v>
      </c>
      <c r="K34" s="125" t="s">
        <v>397</v>
      </c>
      <c r="L34" s="155">
        <v>9.0675313693523574</v>
      </c>
      <c r="M34" s="29">
        <v>1</v>
      </c>
      <c r="N34" s="1">
        <v>2.0177659151255201</v>
      </c>
      <c r="O34" s="139" t="s">
        <v>1380</v>
      </c>
      <c r="P34" s="155">
        <v>6.9759878107739866</v>
      </c>
      <c r="Q34" s="29">
        <v>1</v>
      </c>
      <c r="R34" s="1">
        <v>2.0177659151255201</v>
      </c>
      <c r="S34" s="31" t="s">
        <v>1380</v>
      </c>
    </row>
    <row r="35" spans="1:19" ht="24">
      <c r="A35" s="157">
        <v>1841</v>
      </c>
      <c r="B35" s="168" t="s">
        <v>525</v>
      </c>
      <c r="C35" s="151" t="s">
        <v>525</v>
      </c>
      <c r="D35" s="152" t="s">
        <v>526</v>
      </c>
      <c r="E35" s="153" t="s">
        <v>402</v>
      </c>
      <c r="F35" s="144" t="s">
        <v>62</v>
      </c>
      <c r="G35" s="125" t="s">
        <v>521</v>
      </c>
      <c r="H35" s="154" t="s">
        <v>402</v>
      </c>
      <c r="I35" s="123" t="s">
        <v>402</v>
      </c>
      <c r="J35" s="124">
        <v>0</v>
      </c>
      <c r="K35" s="125" t="s">
        <v>397</v>
      </c>
      <c r="L35" s="155">
        <v>1.4994082654945822</v>
      </c>
      <c r="M35" s="29">
        <v>1</v>
      </c>
      <c r="N35" s="1">
        <v>2.0177659151255201</v>
      </c>
      <c r="O35" s="139" t="s">
        <v>1380</v>
      </c>
      <c r="P35" s="155">
        <v>4.1618588569670507</v>
      </c>
      <c r="Q35" s="29">
        <v>1</v>
      </c>
      <c r="R35" s="1">
        <v>2.0177659151255201</v>
      </c>
      <c r="S35" s="31" t="s">
        <v>1380</v>
      </c>
    </row>
    <row r="36" spans="1:19" ht="36">
      <c r="A36" s="157">
        <v>1436</v>
      </c>
      <c r="B36" s="37" t="s">
        <v>153</v>
      </c>
      <c r="C36" s="151" t="s">
        <v>525</v>
      </c>
      <c r="D36" s="152" t="s">
        <v>526</v>
      </c>
      <c r="E36" s="153" t="s">
        <v>402</v>
      </c>
      <c r="F36" s="144" t="s">
        <v>1318</v>
      </c>
      <c r="G36" s="125" t="s">
        <v>393</v>
      </c>
      <c r="H36" s="154" t="s">
        <v>402</v>
      </c>
      <c r="I36" s="123" t="s">
        <v>402</v>
      </c>
      <c r="J36" s="124">
        <v>0</v>
      </c>
      <c r="K36" s="125" t="s">
        <v>395</v>
      </c>
      <c r="L36" s="155">
        <v>0.03</v>
      </c>
      <c r="M36" s="29">
        <v>1</v>
      </c>
      <c r="N36" s="1">
        <v>1.1267298112245603</v>
      </c>
      <c r="O36" s="139" t="s">
        <v>1319</v>
      </c>
      <c r="P36" s="155">
        <v>0</v>
      </c>
      <c r="Q36" s="29">
        <v>1</v>
      </c>
      <c r="R36" s="1">
        <v>1.1267298112245603</v>
      </c>
      <c r="S36" s="31" t="s">
        <v>1319</v>
      </c>
    </row>
    <row r="37" spans="1:19" ht="24">
      <c r="A37" s="120">
        <v>4942</v>
      </c>
      <c r="B37" s="168" t="s">
        <v>525</v>
      </c>
      <c r="C37" s="151" t="s">
        <v>525</v>
      </c>
      <c r="D37" s="152" t="s">
        <v>526</v>
      </c>
      <c r="E37" s="153" t="s">
        <v>402</v>
      </c>
      <c r="F37" s="144" t="s">
        <v>1116</v>
      </c>
      <c r="G37" s="125" t="s">
        <v>393</v>
      </c>
      <c r="H37" s="154" t="s">
        <v>402</v>
      </c>
      <c r="I37" s="123" t="s">
        <v>402</v>
      </c>
      <c r="J37" s="124">
        <v>0</v>
      </c>
      <c r="K37" s="125" t="s">
        <v>395</v>
      </c>
      <c r="L37" s="155">
        <v>6.7574417935721137E-2</v>
      </c>
      <c r="M37" s="29">
        <v>1</v>
      </c>
      <c r="N37" s="1">
        <v>1.2179505318205299</v>
      </c>
      <c r="O37" s="139" t="s">
        <v>1381</v>
      </c>
      <c r="P37" s="155">
        <v>0</v>
      </c>
      <c r="Q37" s="29">
        <v>1</v>
      </c>
      <c r="R37" s="1">
        <v>1.2179505318205299</v>
      </c>
      <c r="S37" s="31" t="s">
        <v>1381</v>
      </c>
    </row>
    <row r="38" spans="1:19" ht="24">
      <c r="A38" s="120">
        <v>4933</v>
      </c>
      <c r="B38" s="168" t="s">
        <v>525</v>
      </c>
      <c r="C38" s="151" t="s">
        <v>525</v>
      </c>
      <c r="D38" s="152" t="s">
        <v>526</v>
      </c>
      <c r="E38" s="153" t="s">
        <v>402</v>
      </c>
      <c r="F38" s="144" t="s">
        <v>1320</v>
      </c>
      <c r="G38" s="125" t="s">
        <v>393</v>
      </c>
      <c r="H38" s="154" t="s">
        <v>402</v>
      </c>
      <c r="I38" s="123" t="s">
        <v>402</v>
      </c>
      <c r="J38" s="124">
        <v>0</v>
      </c>
      <c r="K38" s="125" t="s">
        <v>395</v>
      </c>
      <c r="L38" s="155">
        <v>0.12306149384612067</v>
      </c>
      <c r="M38" s="29">
        <v>1</v>
      </c>
      <c r="N38" s="1">
        <v>1.2179505318205299</v>
      </c>
      <c r="O38" s="139" t="s">
        <v>1381</v>
      </c>
      <c r="P38" s="155">
        <v>0</v>
      </c>
      <c r="Q38" s="29">
        <v>1</v>
      </c>
      <c r="R38" s="1">
        <v>1.2179505318205299</v>
      </c>
      <c r="S38" s="31" t="s">
        <v>1381</v>
      </c>
    </row>
    <row r="39" spans="1:19" ht="24">
      <c r="A39" s="252">
        <v>1409</v>
      </c>
      <c r="B39" s="168" t="s">
        <v>525</v>
      </c>
      <c r="C39" s="151" t="s">
        <v>525</v>
      </c>
      <c r="D39" s="152" t="s">
        <v>526</v>
      </c>
      <c r="E39" s="153" t="s">
        <v>402</v>
      </c>
      <c r="F39" s="144" t="s">
        <v>1184</v>
      </c>
      <c r="G39" s="125" t="s">
        <v>393</v>
      </c>
      <c r="H39" s="154" t="s">
        <v>402</v>
      </c>
      <c r="I39" s="123" t="s">
        <v>402</v>
      </c>
      <c r="J39" s="124">
        <v>0</v>
      </c>
      <c r="K39" s="125" t="s">
        <v>395</v>
      </c>
      <c r="L39" s="155">
        <v>0.34567151329202483</v>
      </c>
      <c r="M39" s="29">
        <v>1</v>
      </c>
      <c r="N39" s="1">
        <v>1.2179505318205299</v>
      </c>
      <c r="O39" s="139" t="s">
        <v>1381</v>
      </c>
      <c r="P39" s="155">
        <v>0</v>
      </c>
      <c r="Q39" s="29">
        <v>1</v>
      </c>
      <c r="R39" s="1">
        <v>1.2179505318205299</v>
      </c>
      <c r="S39" s="31" t="s">
        <v>1381</v>
      </c>
    </row>
    <row r="40" spans="1:19" ht="24">
      <c r="A40" s="226">
        <v>4087</v>
      </c>
      <c r="B40" s="168" t="s">
        <v>525</v>
      </c>
      <c r="C40" s="151" t="s">
        <v>525</v>
      </c>
      <c r="D40" s="152" t="s">
        <v>526</v>
      </c>
      <c r="E40" s="153" t="s">
        <v>402</v>
      </c>
      <c r="F40" s="144" t="s">
        <v>1362</v>
      </c>
      <c r="G40" s="125" t="s">
        <v>393</v>
      </c>
      <c r="H40" s="154" t="s">
        <v>402</v>
      </c>
      <c r="I40" s="123" t="s">
        <v>402</v>
      </c>
      <c r="J40" s="124">
        <v>0</v>
      </c>
      <c r="K40" s="125" t="s">
        <v>409</v>
      </c>
      <c r="L40" s="155">
        <v>3.9671715272392299E-2</v>
      </c>
      <c r="M40" s="29">
        <v>1</v>
      </c>
      <c r="N40" s="1">
        <v>1.2179505318205299</v>
      </c>
      <c r="O40" s="139" t="s">
        <v>1382</v>
      </c>
      <c r="P40" s="155">
        <v>0</v>
      </c>
      <c r="Q40" s="29">
        <v>1</v>
      </c>
      <c r="R40" s="1">
        <v>1.2179505318205299</v>
      </c>
      <c r="S40" s="31" t="s">
        <v>1382</v>
      </c>
    </row>
    <row r="41" spans="1:19" ht="12.75">
      <c r="A41" s="214">
        <v>490</v>
      </c>
      <c r="B41" s="296" t="s">
        <v>692</v>
      </c>
      <c r="C41" s="169" t="s">
        <v>525</v>
      </c>
      <c r="D41" s="50" t="s">
        <v>402</v>
      </c>
      <c r="E41" s="10" t="s">
        <v>527</v>
      </c>
      <c r="F41" s="144" t="s">
        <v>324</v>
      </c>
      <c r="G41" s="125" t="s">
        <v>402</v>
      </c>
      <c r="H41" s="154" t="s">
        <v>325</v>
      </c>
      <c r="I41" s="123" t="s">
        <v>685</v>
      </c>
      <c r="J41" s="124" t="s">
        <v>402</v>
      </c>
      <c r="K41" s="125" t="s">
        <v>677</v>
      </c>
      <c r="L41" s="155">
        <v>173.59332026901259</v>
      </c>
      <c r="M41" s="29">
        <v>1</v>
      </c>
      <c r="N41" s="1">
        <v>1.2859877072397368</v>
      </c>
      <c r="O41" s="139" t="s">
        <v>1336</v>
      </c>
      <c r="P41" s="155">
        <v>0</v>
      </c>
      <c r="Q41" s="29">
        <v>1</v>
      </c>
      <c r="R41" s="1">
        <v>1.2859877072397368</v>
      </c>
      <c r="S41" s="31" t="s">
        <v>1336</v>
      </c>
    </row>
  </sheetData>
  <phoneticPr fontId="0" type="noConversion"/>
  <pageMargins left="0.78740157499999996" right="0.78740157499999996" top="0.984251969" bottom="0.984251969" header="0.4921259845" footer="0.4921259845"/>
  <pageSetup paperSize="9" scale="59"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enableFormatConditionsCalculation="0">
    <pageSetUpPr fitToPage="1"/>
  </sheetPr>
  <dimension ref="A1:AN76"/>
  <sheetViews>
    <sheetView zoomScale="75" workbookViewId="0">
      <pane xSplit="11" ySplit="6" topLeftCell="L7" activePane="bottomRight" state="frozen"/>
      <selection activeCell="O46" sqref="O46"/>
      <selection pane="topRight" activeCell="O46" sqref="O46"/>
      <selection pane="bottomLeft" activeCell="O46" sqref="O46"/>
      <selection pane="bottomRight" activeCell="O46" sqref="O46"/>
    </sheetView>
  </sheetViews>
  <sheetFormatPr defaultColWidth="11.42578125" defaultRowHeight="12" outlineLevelRow="1" outlineLevelCol="1"/>
  <cols>
    <col min="1" max="1" width="7.42578125" style="7" customWidth="1" outlineLevel="1"/>
    <col min="2" max="2" width="11.85546875" style="158" customWidth="1"/>
    <col min="3" max="3" width="3.7109375" style="159" hidden="1" customWidth="1"/>
    <col min="4" max="4" width="3.140625" style="7" hidden="1" customWidth="1"/>
    <col min="5" max="5" width="2.7109375" style="7" hidden="1" customWidth="1"/>
    <col min="6" max="6" width="56.42578125" style="8" customWidth="1"/>
    <col min="7" max="7" width="5" style="7" customWidth="1"/>
    <col min="8" max="8" width="5.7109375" style="7" hidden="1" customWidth="1"/>
    <col min="9" max="9" width="19.42578125" style="7" hidden="1" customWidth="1"/>
    <col min="10" max="10" width="4.140625" style="7" bestFit="1" customWidth="1"/>
    <col min="11" max="11" width="5.140625" style="7" customWidth="1"/>
    <col min="12" max="12" width="11.28515625" style="7" customWidth="1"/>
    <col min="13" max="13" width="2" style="141" hidden="1" customWidth="1" outlineLevel="1"/>
    <col min="14" max="14" width="4.28515625" style="140" hidden="1" customWidth="1" outlineLevel="1"/>
    <col min="15" max="15" width="37.85546875" style="140" hidden="1" customWidth="1" outlineLevel="1"/>
    <col min="16" max="16" width="11.28515625" style="7" customWidth="1" collapsed="1"/>
    <col min="17" max="17" width="2" style="141" hidden="1" customWidth="1" outlineLevel="1"/>
    <col min="18" max="18" width="4.28515625" style="140" hidden="1" customWidth="1" outlineLevel="1"/>
    <col min="19" max="19" width="37.85546875" style="140" hidden="1" customWidth="1" outlineLevel="1"/>
    <col min="20" max="20" width="11.28515625" style="7" customWidth="1" collapsed="1"/>
    <col min="21" max="21" width="2" style="141" hidden="1" customWidth="1" outlineLevel="1"/>
    <col min="22" max="22" width="4.28515625" style="140" hidden="1" customWidth="1" outlineLevel="1"/>
    <col min="23" max="23" width="37.85546875" style="140" hidden="1" customWidth="1" outlineLevel="1"/>
    <col min="24" max="24" width="11.28515625" style="7" customWidth="1" collapsed="1"/>
    <col min="25" max="25" width="2" style="141" hidden="1" customWidth="1" outlineLevel="1"/>
    <col min="26" max="26" width="4.28515625" style="140" hidden="1" customWidth="1" outlineLevel="1"/>
    <col min="27" max="27" width="37.85546875" style="140" hidden="1" customWidth="1" outlineLevel="1"/>
    <col min="28" max="28" width="11.28515625" style="7" customWidth="1" collapsed="1"/>
    <col min="29" max="29" width="2" style="141" hidden="1" customWidth="1" outlineLevel="1"/>
    <col min="30" max="30" width="4.28515625" style="140" hidden="1" customWidth="1" outlineLevel="1"/>
    <col min="31" max="31" width="37.85546875" style="140" hidden="1" customWidth="1" outlineLevel="1"/>
    <col min="32" max="32" width="11.28515625" style="7" customWidth="1" collapsed="1"/>
    <col min="33" max="33" width="2" style="118" hidden="1" customWidth="1" outlineLevel="1"/>
    <col min="34" max="34" width="4.28515625" style="32" hidden="1" customWidth="1" outlineLevel="1"/>
    <col min="35" max="35" width="43.85546875" style="33" hidden="1" customWidth="1" outlineLevel="1"/>
    <col min="36" max="36" width="4.5703125" style="592" customWidth="1" collapsed="1"/>
    <col min="37" max="37" width="11.28515625" style="7" customWidth="1"/>
    <col min="38" max="38" width="2" style="118" customWidth="1"/>
    <col min="39" max="39" width="4.28515625" style="32" customWidth="1"/>
    <col min="40" max="40" width="43.85546875" style="33" customWidth="1"/>
    <col min="41" max="16384" width="11.42578125" style="7"/>
  </cols>
  <sheetData>
    <row r="1" spans="1:40">
      <c r="A1" s="36"/>
      <c r="B1" s="34"/>
      <c r="C1" s="35"/>
      <c r="D1" s="36"/>
      <c r="E1" s="36"/>
      <c r="F1" s="37" t="s">
        <v>510</v>
      </c>
      <c r="G1" s="36"/>
      <c r="H1" s="36"/>
      <c r="I1" s="36"/>
      <c r="J1" s="36"/>
      <c r="K1" s="36"/>
      <c r="L1" s="189">
        <v>32080</v>
      </c>
      <c r="M1" s="21"/>
      <c r="N1" s="22"/>
      <c r="O1" s="22"/>
      <c r="P1" s="189">
        <v>32066</v>
      </c>
      <c r="Q1" s="21"/>
      <c r="R1" s="22"/>
      <c r="S1" s="22"/>
      <c r="T1" s="417">
        <v>32076</v>
      </c>
      <c r="U1" s="21"/>
      <c r="V1" s="22"/>
      <c r="W1" s="22"/>
      <c r="X1" s="226">
        <v>32068</v>
      </c>
      <c r="Y1" s="21"/>
      <c r="Z1" s="22"/>
      <c r="AA1" s="22"/>
      <c r="AB1" s="120">
        <v>32130</v>
      </c>
      <c r="AC1" s="21"/>
      <c r="AD1" s="22"/>
      <c r="AE1" s="22"/>
      <c r="AF1" s="120">
        <v>32131</v>
      </c>
      <c r="AG1" s="21"/>
      <c r="AH1" s="22"/>
      <c r="AI1" s="22"/>
      <c r="AJ1" s="588"/>
      <c r="AK1" s="120" t="s">
        <v>813</v>
      </c>
      <c r="AL1" s="21"/>
      <c r="AM1" s="22"/>
      <c r="AN1" s="22"/>
    </row>
    <row r="2" spans="1:40">
      <c r="A2" s="36"/>
      <c r="B2" s="147"/>
      <c r="C2" s="35" t="s">
        <v>511</v>
      </c>
      <c r="D2" s="147">
        <v>3503</v>
      </c>
      <c r="E2" s="147">
        <v>3504</v>
      </c>
      <c r="F2" s="147">
        <v>3702</v>
      </c>
      <c r="G2" s="147">
        <v>3703</v>
      </c>
      <c r="H2" s="147">
        <v>3506</v>
      </c>
      <c r="I2" s="147">
        <v>3507</v>
      </c>
      <c r="J2" s="147">
        <v>3508</v>
      </c>
      <c r="K2" s="147">
        <v>3706</v>
      </c>
      <c r="L2" s="147">
        <v>3707</v>
      </c>
      <c r="M2" s="133">
        <v>3708</v>
      </c>
      <c r="N2" s="133">
        <v>3709</v>
      </c>
      <c r="O2" s="134">
        <v>3792</v>
      </c>
      <c r="P2" s="147">
        <v>3707</v>
      </c>
      <c r="Q2" s="133">
        <v>3708</v>
      </c>
      <c r="R2" s="133">
        <v>3709</v>
      </c>
      <c r="S2" s="134">
        <v>3792</v>
      </c>
      <c r="T2" s="147">
        <v>3707</v>
      </c>
      <c r="U2" s="133">
        <v>3708</v>
      </c>
      <c r="V2" s="133">
        <v>3709</v>
      </c>
      <c r="W2" s="134">
        <v>3792</v>
      </c>
      <c r="X2" s="147">
        <v>3707</v>
      </c>
      <c r="Y2" s="133">
        <v>3708</v>
      </c>
      <c r="Z2" s="133">
        <v>3709</v>
      </c>
      <c r="AA2" s="134">
        <v>3792</v>
      </c>
      <c r="AB2" s="147">
        <v>3707</v>
      </c>
      <c r="AC2" s="133">
        <v>3708</v>
      </c>
      <c r="AD2" s="133">
        <v>3709</v>
      </c>
      <c r="AE2" s="134">
        <v>3792</v>
      </c>
      <c r="AF2" s="147">
        <v>3707</v>
      </c>
      <c r="AG2" s="23">
        <v>3708</v>
      </c>
      <c r="AH2" s="23">
        <v>3709</v>
      </c>
      <c r="AI2" s="24">
        <v>3792</v>
      </c>
      <c r="AJ2" s="589"/>
      <c r="AK2" s="147">
        <v>3707</v>
      </c>
      <c r="AL2" s="23">
        <v>3708</v>
      </c>
      <c r="AM2" s="23">
        <v>3709</v>
      </c>
      <c r="AN2" s="24">
        <v>3792</v>
      </c>
    </row>
    <row r="3" spans="1:40" ht="93" customHeight="1">
      <c r="A3" s="36" t="s">
        <v>398</v>
      </c>
      <c r="B3" s="166"/>
      <c r="C3" s="35">
        <v>401</v>
      </c>
      <c r="D3" s="167" t="s">
        <v>514</v>
      </c>
      <c r="E3" s="167" t="s">
        <v>515</v>
      </c>
      <c r="F3" s="132" t="s">
        <v>516</v>
      </c>
      <c r="G3" s="41" t="s">
        <v>517</v>
      </c>
      <c r="H3" s="41" t="s">
        <v>518</v>
      </c>
      <c r="I3" s="41" t="s">
        <v>519</v>
      </c>
      <c r="J3" s="41" t="s">
        <v>520</v>
      </c>
      <c r="K3" s="41" t="s">
        <v>394</v>
      </c>
      <c r="L3" s="178" t="s">
        <v>64</v>
      </c>
      <c r="M3" s="135" t="s">
        <v>265</v>
      </c>
      <c r="N3" s="135" t="s">
        <v>266</v>
      </c>
      <c r="O3" s="136" t="s">
        <v>548</v>
      </c>
      <c r="P3" s="178" t="s">
        <v>65</v>
      </c>
      <c r="Q3" s="135" t="s">
        <v>265</v>
      </c>
      <c r="R3" s="135" t="s">
        <v>266</v>
      </c>
      <c r="S3" s="136" t="s">
        <v>548</v>
      </c>
      <c r="T3" s="178" t="s">
        <v>66</v>
      </c>
      <c r="U3" s="135" t="s">
        <v>265</v>
      </c>
      <c r="V3" s="135" t="s">
        <v>266</v>
      </c>
      <c r="W3" s="136" t="s">
        <v>548</v>
      </c>
      <c r="X3" s="178" t="s">
        <v>67</v>
      </c>
      <c r="Y3" s="135" t="s">
        <v>265</v>
      </c>
      <c r="Z3" s="135" t="s">
        <v>266</v>
      </c>
      <c r="AA3" s="136" t="s">
        <v>548</v>
      </c>
      <c r="AB3" s="178" t="s">
        <v>68</v>
      </c>
      <c r="AC3" s="135" t="s">
        <v>265</v>
      </c>
      <c r="AD3" s="135" t="s">
        <v>266</v>
      </c>
      <c r="AE3" s="136" t="s">
        <v>548</v>
      </c>
      <c r="AF3" s="178" t="s">
        <v>69</v>
      </c>
      <c r="AG3" s="25" t="s">
        <v>265</v>
      </c>
      <c r="AH3" s="25" t="s">
        <v>266</v>
      </c>
      <c r="AI3" s="128" t="s">
        <v>548</v>
      </c>
      <c r="AJ3" s="599"/>
      <c r="AK3" s="178" t="s">
        <v>1427</v>
      </c>
      <c r="AL3" s="25" t="s">
        <v>265</v>
      </c>
      <c r="AM3" s="25" t="s">
        <v>266</v>
      </c>
      <c r="AN3" s="128" t="s">
        <v>548</v>
      </c>
    </row>
    <row r="4" spans="1:40" ht="13.5" customHeight="1">
      <c r="A4" s="36"/>
      <c r="B4" s="166"/>
      <c r="C4" s="35">
        <v>662</v>
      </c>
      <c r="D4" s="9"/>
      <c r="E4" s="9"/>
      <c r="F4" s="132" t="s">
        <v>517</v>
      </c>
      <c r="G4" s="132"/>
      <c r="H4" s="132"/>
      <c r="I4" s="132"/>
      <c r="J4" s="132"/>
      <c r="K4" s="132"/>
      <c r="L4" s="178" t="s">
        <v>393</v>
      </c>
      <c r="M4" s="137">
        <v>0</v>
      </c>
      <c r="N4" s="137">
        <v>0</v>
      </c>
      <c r="O4" s="138">
        <v>0</v>
      </c>
      <c r="P4" s="178" t="s">
        <v>393</v>
      </c>
      <c r="Q4" s="137">
        <v>0</v>
      </c>
      <c r="R4" s="137">
        <v>0</v>
      </c>
      <c r="S4" s="138">
        <v>0</v>
      </c>
      <c r="T4" s="178" t="s">
        <v>393</v>
      </c>
      <c r="U4" s="137">
        <v>0</v>
      </c>
      <c r="V4" s="137">
        <v>0</v>
      </c>
      <c r="W4" s="138">
        <v>0</v>
      </c>
      <c r="X4" s="178" t="s">
        <v>393</v>
      </c>
      <c r="Y4" s="137">
        <v>0</v>
      </c>
      <c r="Z4" s="137">
        <v>0</v>
      </c>
      <c r="AA4" s="138">
        <v>0</v>
      </c>
      <c r="AB4" s="178" t="s">
        <v>393</v>
      </c>
      <c r="AC4" s="137">
        <v>0</v>
      </c>
      <c r="AD4" s="137">
        <v>0</v>
      </c>
      <c r="AE4" s="138">
        <v>0</v>
      </c>
      <c r="AF4" s="178" t="s">
        <v>393</v>
      </c>
      <c r="AG4" s="129"/>
      <c r="AH4" s="129"/>
      <c r="AI4" s="130"/>
      <c r="AJ4" s="600"/>
      <c r="AK4" s="178" t="s">
        <v>393</v>
      </c>
      <c r="AL4" s="129"/>
      <c r="AM4" s="129"/>
      <c r="AN4" s="130"/>
    </row>
    <row r="5" spans="1:40">
      <c r="A5" s="36"/>
      <c r="B5" s="166"/>
      <c r="C5" s="35">
        <v>493</v>
      </c>
      <c r="D5" s="9"/>
      <c r="E5" s="9"/>
      <c r="F5" s="132" t="s">
        <v>520</v>
      </c>
      <c r="G5" s="132"/>
      <c r="H5" s="132"/>
      <c r="I5" s="132"/>
      <c r="J5" s="132"/>
      <c r="K5" s="132"/>
      <c r="L5" s="178">
        <v>1</v>
      </c>
      <c r="M5" s="137">
        <v>0</v>
      </c>
      <c r="N5" s="137">
        <v>0</v>
      </c>
      <c r="O5" s="138">
        <v>0</v>
      </c>
      <c r="P5" s="178">
        <v>1</v>
      </c>
      <c r="Q5" s="137">
        <v>0</v>
      </c>
      <c r="R5" s="137">
        <v>0</v>
      </c>
      <c r="S5" s="138">
        <v>0</v>
      </c>
      <c r="T5" s="178">
        <v>1</v>
      </c>
      <c r="U5" s="137">
        <v>0</v>
      </c>
      <c r="V5" s="137">
        <v>0</v>
      </c>
      <c r="W5" s="138">
        <v>0</v>
      </c>
      <c r="X5" s="178">
        <v>1</v>
      </c>
      <c r="Y5" s="137">
        <v>0</v>
      </c>
      <c r="Z5" s="137">
        <v>0</v>
      </c>
      <c r="AA5" s="138">
        <v>0</v>
      </c>
      <c r="AB5" s="178">
        <v>1</v>
      </c>
      <c r="AC5" s="137">
        <v>0</v>
      </c>
      <c r="AD5" s="137">
        <v>0</v>
      </c>
      <c r="AE5" s="138">
        <v>0</v>
      </c>
      <c r="AF5" s="178">
        <v>1</v>
      </c>
      <c r="AG5" s="129"/>
      <c r="AH5" s="129"/>
      <c r="AI5" s="130"/>
      <c r="AJ5" s="600"/>
      <c r="AK5" s="178">
        <v>1</v>
      </c>
      <c r="AL5" s="129"/>
      <c r="AM5" s="129"/>
      <c r="AN5" s="130"/>
    </row>
    <row r="6" spans="1:40">
      <c r="A6" s="36"/>
      <c r="B6" s="166"/>
      <c r="C6" s="35">
        <v>403</v>
      </c>
      <c r="D6" s="9"/>
      <c r="E6" s="9"/>
      <c r="F6" s="132" t="s">
        <v>394</v>
      </c>
      <c r="G6" s="352"/>
      <c r="H6" s="132"/>
      <c r="I6" s="132"/>
      <c r="J6" s="132"/>
      <c r="K6" s="132"/>
      <c r="L6" s="178" t="s">
        <v>522</v>
      </c>
      <c r="M6" s="137">
        <v>0</v>
      </c>
      <c r="N6" s="137">
        <v>0</v>
      </c>
      <c r="O6" s="138">
        <v>0</v>
      </c>
      <c r="P6" s="178" t="s">
        <v>522</v>
      </c>
      <c r="Q6" s="137">
        <v>0</v>
      </c>
      <c r="R6" s="137">
        <v>0</v>
      </c>
      <c r="S6" s="138">
        <v>0</v>
      </c>
      <c r="T6" s="178" t="s">
        <v>522</v>
      </c>
      <c r="U6" s="137">
        <v>0</v>
      </c>
      <c r="V6" s="137">
        <v>0</v>
      </c>
      <c r="W6" s="138">
        <v>0</v>
      </c>
      <c r="X6" s="178" t="s">
        <v>522</v>
      </c>
      <c r="Y6" s="137">
        <v>0</v>
      </c>
      <c r="Z6" s="137">
        <v>0</v>
      </c>
      <c r="AA6" s="138">
        <v>0</v>
      </c>
      <c r="AB6" s="178" t="s">
        <v>522</v>
      </c>
      <c r="AC6" s="137">
        <v>0</v>
      </c>
      <c r="AD6" s="137">
        <v>0</v>
      </c>
      <c r="AE6" s="138">
        <v>0</v>
      </c>
      <c r="AF6" s="178" t="s">
        <v>522</v>
      </c>
      <c r="AG6" s="129"/>
      <c r="AH6" s="129"/>
      <c r="AI6" s="130"/>
      <c r="AJ6" s="600"/>
      <c r="AK6" s="178" t="s">
        <v>522</v>
      </c>
      <c r="AL6" s="129"/>
      <c r="AM6" s="129"/>
      <c r="AN6" s="130"/>
    </row>
    <row r="7" spans="1:40" ht="12.75">
      <c r="A7" s="2">
        <v>2291</v>
      </c>
      <c r="B7" s="163" t="s">
        <v>524</v>
      </c>
      <c r="C7" s="151" t="s">
        <v>525</v>
      </c>
      <c r="D7" s="152" t="s">
        <v>526</v>
      </c>
      <c r="E7" s="153" t="s">
        <v>402</v>
      </c>
      <c r="F7" s="144" t="s">
        <v>70</v>
      </c>
      <c r="G7" s="125" t="s">
        <v>393</v>
      </c>
      <c r="H7" s="164" t="s">
        <v>402</v>
      </c>
      <c r="I7" s="123" t="s">
        <v>402</v>
      </c>
      <c r="J7" s="124">
        <v>0</v>
      </c>
      <c r="K7" s="125" t="s">
        <v>678</v>
      </c>
      <c r="L7" s="165">
        <v>0.04</v>
      </c>
      <c r="M7" s="29">
        <v>1</v>
      </c>
      <c r="N7" s="1">
        <v>1.2849840792941758</v>
      </c>
      <c r="O7" s="139" t="s">
        <v>71</v>
      </c>
      <c r="P7" s="165">
        <v>0.04</v>
      </c>
      <c r="Q7" s="29">
        <v>1</v>
      </c>
      <c r="R7" s="1">
        <v>1.2849840792941758</v>
      </c>
      <c r="S7" s="139" t="s">
        <v>71</v>
      </c>
      <c r="T7" s="165">
        <v>0.04</v>
      </c>
      <c r="U7" s="29">
        <v>1</v>
      </c>
      <c r="V7" s="1">
        <v>1.2849840792941758</v>
      </c>
      <c r="W7" s="139" t="s">
        <v>71</v>
      </c>
      <c r="X7" s="165">
        <v>0.04</v>
      </c>
      <c r="Y7" s="29">
        <v>1</v>
      </c>
      <c r="Z7" s="1">
        <v>1.2849840792941758</v>
      </c>
      <c r="AA7" s="139" t="s">
        <v>71</v>
      </c>
      <c r="AB7" s="165">
        <v>0.04</v>
      </c>
      <c r="AC7" s="29">
        <v>1</v>
      </c>
      <c r="AD7" s="1">
        <v>1.2849840792941758</v>
      </c>
      <c r="AE7" s="139" t="s">
        <v>71</v>
      </c>
      <c r="AF7" s="165">
        <v>0.04</v>
      </c>
      <c r="AG7" s="29">
        <v>1</v>
      </c>
      <c r="AH7" s="1">
        <v>1.2849840792941758</v>
      </c>
      <c r="AI7" s="31" t="s">
        <v>71</v>
      </c>
      <c r="AJ7" s="590"/>
      <c r="AK7" s="165">
        <v>0.04</v>
      </c>
      <c r="AL7" s="29">
        <v>1</v>
      </c>
      <c r="AM7" s="1">
        <v>1.2849840792941758</v>
      </c>
      <c r="AN7" s="139" t="s">
        <v>71</v>
      </c>
    </row>
    <row r="8" spans="1:40" ht="12.75">
      <c r="A8" s="156">
        <v>4804</v>
      </c>
      <c r="B8" s="163" t="s">
        <v>525</v>
      </c>
      <c r="C8" s="151" t="s">
        <v>525</v>
      </c>
      <c r="D8" s="152" t="s">
        <v>526</v>
      </c>
      <c r="E8" s="153" t="s">
        <v>402</v>
      </c>
      <c r="F8" s="144" t="s">
        <v>72</v>
      </c>
      <c r="G8" s="125" t="s">
        <v>521</v>
      </c>
      <c r="H8" s="164" t="s">
        <v>402</v>
      </c>
      <c r="I8" s="123" t="s">
        <v>402</v>
      </c>
      <c r="J8" s="124">
        <v>1</v>
      </c>
      <c r="K8" s="125" t="s">
        <v>522</v>
      </c>
      <c r="L8" s="165">
        <v>2.4</v>
      </c>
      <c r="M8" s="29">
        <v>1</v>
      </c>
      <c r="N8" s="1">
        <v>1.2354522921220721</v>
      </c>
      <c r="O8" s="139" t="s">
        <v>73</v>
      </c>
      <c r="P8" s="165">
        <v>2.4</v>
      </c>
      <c r="Q8" s="29">
        <v>1</v>
      </c>
      <c r="R8" s="1">
        <v>1.2354522921220721</v>
      </c>
      <c r="S8" s="139" t="s">
        <v>73</v>
      </c>
      <c r="T8" s="165">
        <v>2.4</v>
      </c>
      <c r="U8" s="29">
        <v>1</v>
      </c>
      <c r="V8" s="1">
        <v>1.2354522921220721</v>
      </c>
      <c r="W8" s="139" t="s">
        <v>73</v>
      </c>
      <c r="X8" s="165">
        <v>2.4</v>
      </c>
      <c r="Y8" s="29">
        <v>1</v>
      </c>
      <c r="Z8" s="1">
        <v>1.2354522921220721</v>
      </c>
      <c r="AA8" s="139" t="s">
        <v>73</v>
      </c>
      <c r="AB8" s="165">
        <v>2.4</v>
      </c>
      <c r="AC8" s="29">
        <v>1</v>
      </c>
      <c r="AD8" s="1">
        <v>1.2354522921220721</v>
      </c>
      <c r="AE8" s="139" t="s">
        <v>73</v>
      </c>
      <c r="AF8" s="165">
        <v>2.4</v>
      </c>
      <c r="AG8" s="29">
        <v>1</v>
      </c>
      <c r="AH8" s="1">
        <v>1.2354522921220721</v>
      </c>
      <c r="AI8" s="31" t="s">
        <v>73</v>
      </c>
      <c r="AJ8" s="590"/>
      <c r="AK8" s="165">
        <v>2.4</v>
      </c>
      <c r="AL8" s="29">
        <v>1</v>
      </c>
      <c r="AM8" s="1">
        <v>1.2354522921220721</v>
      </c>
      <c r="AN8" s="139" t="s">
        <v>73</v>
      </c>
    </row>
    <row r="9" spans="1:40" ht="12.75">
      <c r="A9" s="156">
        <v>1484</v>
      </c>
      <c r="B9" s="163"/>
      <c r="C9" s="151" t="s">
        <v>525</v>
      </c>
      <c r="D9" s="152" t="s">
        <v>526</v>
      </c>
      <c r="E9" s="153" t="s">
        <v>402</v>
      </c>
      <c r="F9" s="144" t="s">
        <v>74</v>
      </c>
      <c r="G9" s="125" t="s">
        <v>393</v>
      </c>
      <c r="H9" s="164" t="s">
        <v>402</v>
      </c>
      <c r="I9" s="123" t="s">
        <v>402</v>
      </c>
      <c r="J9" s="124">
        <v>1</v>
      </c>
      <c r="K9" s="125" t="s">
        <v>522</v>
      </c>
      <c r="L9" s="165">
        <v>1</v>
      </c>
      <c r="M9" s="29">
        <v>1</v>
      </c>
      <c r="N9" s="1">
        <v>2.0865051432908035</v>
      </c>
      <c r="O9" s="139" t="s">
        <v>75</v>
      </c>
      <c r="P9" s="165">
        <v>1</v>
      </c>
      <c r="Q9" s="29">
        <v>1</v>
      </c>
      <c r="R9" s="1">
        <v>2.0865051432908035</v>
      </c>
      <c r="S9" s="139" t="s">
        <v>75</v>
      </c>
      <c r="T9" s="165">
        <v>1</v>
      </c>
      <c r="U9" s="29">
        <v>1</v>
      </c>
      <c r="V9" s="1">
        <v>2.0865051432908035</v>
      </c>
      <c r="W9" s="139" t="s">
        <v>75</v>
      </c>
      <c r="X9" s="165">
        <v>1</v>
      </c>
      <c r="Y9" s="29">
        <v>1</v>
      </c>
      <c r="Z9" s="1">
        <v>2.0865051432908035</v>
      </c>
      <c r="AA9" s="139" t="s">
        <v>75</v>
      </c>
      <c r="AB9" s="165">
        <v>1</v>
      </c>
      <c r="AC9" s="29">
        <v>1</v>
      </c>
      <c r="AD9" s="1">
        <v>2.0865051432908035</v>
      </c>
      <c r="AE9" s="139" t="s">
        <v>75</v>
      </c>
      <c r="AF9" s="165">
        <v>1</v>
      </c>
      <c r="AG9" s="29">
        <v>1</v>
      </c>
      <c r="AH9" s="1">
        <v>2.0865051432908035</v>
      </c>
      <c r="AI9" s="31" t="s">
        <v>75</v>
      </c>
      <c r="AJ9" s="590"/>
      <c r="AK9" s="165">
        <v>1</v>
      </c>
      <c r="AL9" s="29">
        <v>1</v>
      </c>
      <c r="AM9" s="1">
        <v>2.0865051432908035</v>
      </c>
      <c r="AN9" s="139" t="s">
        <v>75</v>
      </c>
    </row>
    <row r="10" spans="1:40" ht="12.75" hidden="1" outlineLevel="1">
      <c r="A10" s="156">
        <v>1489</v>
      </c>
      <c r="B10" s="163" t="s">
        <v>525</v>
      </c>
      <c r="C10" s="151" t="s">
        <v>525</v>
      </c>
      <c r="D10" s="152" t="s">
        <v>526</v>
      </c>
      <c r="E10" s="153" t="s">
        <v>402</v>
      </c>
      <c r="F10" s="144" t="s">
        <v>52</v>
      </c>
      <c r="G10" s="125" t="s">
        <v>521</v>
      </c>
      <c r="H10" s="164" t="s">
        <v>402</v>
      </c>
      <c r="I10" s="123" t="s">
        <v>402</v>
      </c>
      <c r="J10" s="124">
        <v>1</v>
      </c>
      <c r="K10" s="125" t="s">
        <v>396</v>
      </c>
      <c r="L10" s="165">
        <v>0</v>
      </c>
      <c r="M10" s="29">
        <v>1</v>
      </c>
      <c r="N10" s="1">
        <v>1.2284225230179247</v>
      </c>
      <c r="O10" s="139" t="s">
        <v>76</v>
      </c>
      <c r="P10" s="165">
        <v>0</v>
      </c>
      <c r="Q10" s="29">
        <v>1</v>
      </c>
      <c r="R10" s="1">
        <v>1.2284225230179247</v>
      </c>
      <c r="S10" s="139" t="s">
        <v>76</v>
      </c>
      <c r="T10" s="165">
        <v>0</v>
      </c>
      <c r="U10" s="29">
        <v>1</v>
      </c>
      <c r="V10" s="1">
        <v>1.2284225230179247</v>
      </c>
      <c r="W10" s="139" t="s">
        <v>76</v>
      </c>
      <c r="X10" s="165">
        <v>0</v>
      </c>
      <c r="Y10" s="29">
        <v>1</v>
      </c>
      <c r="Z10" s="1">
        <v>1.2284225230179247</v>
      </c>
      <c r="AA10" s="139" t="s">
        <v>76</v>
      </c>
      <c r="AB10" s="165">
        <v>0</v>
      </c>
      <c r="AC10" s="29">
        <v>1</v>
      </c>
      <c r="AD10" s="1">
        <v>1.2284225230179247</v>
      </c>
      <c r="AE10" s="139" t="s">
        <v>76</v>
      </c>
      <c r="AF10" s="165">
        <v>0</v>
      </c>
      <c r="AG10" s="29">
        <v>1</v>
      </c>
      <c r="AH10" s="1">
        <v>1.2284225230179247</v>
      </c>
      <c r="AI10" s="31" t="s">
        <v>76</v>
      </c>
      <c r="AJ10" s="590"/>
      <c r="AK10" s="165">
        <v>0</v>
      </c>
      <c r="AL10" s="29">
        <v>1</v>
      </c>
      <c r="AM10" s="1">
        <v>1.2284225230179247</v>
      </c>
      <c r="AN10" s="139" t="s">
        <v>76</v>
      </c>
    </row>
    <row r="11" spans="1:40" ht="12.75" hidden="1" outlineLevel="1">
      <c r="A11" s="156">
        <v>1490</v>
      </c>
      <c r="B11" s="163" t="s">
        <v>525</v>
      </c>
      <c r="C11" s="151" t="s">
        <v>525</v>
      </c>
      <c r="D11" s="152" t="s">
        <v>526</v>
      </c>
      <c r="E11" s="153" t="s">
        <v>402</v>
      </c>
      <c r="F11" s="144" t="s">
        <v>53</v>
      </c>
      <c r="G11" s="125" t="s">
        <v>521</v>
      </c>
      <c r="H11" s="164" t="s">
        <v>402</v>
      </c>
      <c r="I11" s="123" t="s">
        <v>402</v>
      </c>
      <c r="J11" s="124">
        <v>1</v>
      </c>
      <c r="K11" s="125" t="s">
        <v>396</v>
      </c>
      <c r="L11" s="165">
        <v>0</v>
      </c>
      <c r="M11" s="29">
        <v>1</v>
      </c>
      <c r="N11" s="1">
        <v>1.2284225230179247</v>
      </c>
      <c r="O11" s="139" t="s">
        <v>76</v>
      </c>
      <c r="P11" s="165">
        <v>0</v>
      </c>
      <c r="Q11" s="29">
        <v>1</v>
      </c>
      <c r="R11" s="1">
        <v>1.2284225230179247</v>
      </c>
      <c r="S11" s="139" t="s">
        <v>76</v>
      </c>
      <c r="T11" s="165">
        <v>0</v>
      </c>
      <c r="U11" s="29">
        <v>1</v>
      </c>
      <c r="V11" s="1">
        <v>1.2284225230179247</v>
      </c>
      <c r="W11" s="139" t="s">
        <v>76</v>
      </c>
      <c r="X11" s="165">
        <v>0</v>
      </c>
      <c r="Y11" s="29">
        <v>1</v>
      </c>
      <c r="Z11" s="1">
        <v>1.2284225230179247</v>
      </c>
      <c r="AA11" s="139" t="s">
        <v>76</v>
      </c>
      <c r="AB11" s="165">
        <v>0</v>
      </c>
      <c r="AC11" s="29">
        <v>1</v>
      </c>
      <c r="AD11" s="1">
        <v>1.2284225230179247</v>
      </c>
      <c r="AE11" s="139" t="s">
        <v>76</v>
      </c>
      <c r="AF11" s="165">
        <v>0</v>
      </c>
      <c r="AG11" s="29">
        <v>1</v>
      </c>
      <c r="AH11" s="1">
        <v>1.2284225230179247</v>
      </c>
      <c r="AI11" s="31" t="s">
        <v>76</v>
      </c>
      <c r="AJ11" s="590"/>
      <c r="AK11" s="165">
        <v>0</v>
      </c>
      <c r="AL11" s="29">
        <v>1</v>
      </c>
      <c r="AM11" s="1">
        <v>1.2284225230179247</v>
      </c>
      <c r="AN11" s="139" t="s">
        <v>76</v>
      </c>
    </row>
    <row r="12" spans="1:40" ht="12.75" hidden="1" outlineLevel="1">
      <c r="A12" s="156">
        <v>1491</v>
      </c>
      <c r="B12" s="163" t="s">
        <v>525</v>
      </c>
      <c r="C12" s="151" t="s">
        <v>525</v>
      </c>
      <c r="D12" s="152" t="s">
        <v>526</v>
      </c>
      <c r="E12" s="153" t="s">
        <v>402</v>
      </c>
      <c r="F12" s="144" t="s">
        <v>663</v>
      </c>
      <c r="G12" s="125" t="s">
        <v>521</v>
      </c>
      <c r="H12" s="164" t="s">
        <v>402</v>
      </c>
      <c r="I12" s="123" t="s">
        <v>402</v>
      </c>
      <c r="J12" s="124">
        <v>1</v>
      </c>
      <c r="K12" s="125" t="s">
        <v>396</v>
      </c>
      <c r="L12" s="165">
        <v>0</v>
      </c>
      <c r="M12" s="29">
        <v>1</v>
      </c>
      <c r="N12" s="1">
        <v>1.2284225230179247</v>
      </c>
      <c r="O12" s="139" t="s">
        <v>76</v>
      </c>
      <c r="P12" s="165">
        <v>0</v>
      </c>
      <c r="Q12" s="29">
        <v>1</v>
      </c>
      <c r="R12" s="1">
        <v>1.2284225230179247</v>
      </c>
      <c r="S12" s="139" t="s">
        <v>76</v>
      </c>
      <c r="T12" s="165">
        <v>0</v>
      </c>
      <c r="U12" s="29">
        <v>1</v>
      </c>
      <c r="V12" s="1">
        <v>1.2284225230179247</v>
      </c>
      <c r="W12" s="139" t="s">
        <v>76</v>
      </c>
      <c r="X12" s="165">
        <v>0</v>
      </c>
      <c r="Y12" s="29">
        <v>1</v>
      </c>
      <c r="Z12" s="1">
        <v>1.2284225230179247</v>
      </c>
      <c r="AA12" s="139" t="s">
        <v>76</v>
      </c>
      <c r="AB12" s="165">
        <v>0</v>
      </c>
      <c r="AC12" s="29">
        <v>1</v>
      </c>
      <c r="AD12" s="1">
        <v>1.2284225230179247</v>
      </c>
      <c r="AE12" s="139" t="s">
        <v>76</v>
      </c>
      <c r="AF12" s="165">
        <v>0</v>
      </c>
      <c r="AG12" s="29">
        <v>1</v>
      </c>
      <c r="AH12" s="1">
        <v>1.2284225230179247</v>
      </c>
      <c r="AI12" s="31" t="s">
        <v>76</v>
      </c>
      <c r="AJ12" s="590"/>
      <c r="AK12" s="165">
        <v>0</v>
      </c>
      <c r="AL12" s="29">
        <v>1</v>
      </c>
      <c r="AM12" s="1">
        <v>1.2284225230179247</v>
      </c>
      <c r="AN12" s="139" t="s">
        <v>76</v>
      </c>
    </row>
    <row r="13" spans="1:40" ht="24" collapsed="1">
      <c r="A13" s="156">
        <v>1645</v>
      </c>
      <c r="B13" s="163" t="s">
        <v>525</v>
      </c>
      <c r="C13" s="151" t="s">
        <v>525</v>
      </c>
      <c r="D13" s="152" t="s">
        <v>526</v>
      </c>
      <c r="E13" s="153" t="s">
        <v>402</v>
      </c>
      <c r="F13" s="144" t="s">
        <v>664</v>
      </c>
      <c r="G13" s="125" t="s">
        <v>521</v>
      </c>
      <c r="H13" s="164" t="s">
        <v>402</v>
      </c>
      <c r="I13" s="123" t="s">
        <v>402</v>
      </c>
      <c r="J13" s="124">
        <v>1</v>
      </c>
      <c r="K13" s="125" t="s">
        <v>396</v>
      </c>
      <c r="L13" s="165">
        <v>27.681660899653988</v>
      </c>
      <c r="M13" s="29">
        <v>1</v>
      </c>
      <c r="N13" s="1">
        <v>1.2284225230179247</v>
      </c>
      <c r="O13" s="139" t="s">
        <v>77</v>
      </c>
      <c r="P13" s="165">
        <v>23.952095808383234</v>
      </c>
      <c r="Q13" s="29">
        <v>1</v>
      </c>
      <c r="R13" s="1">
        <v>1.2284225230179247</v>
      </c>
      <c r="S13" s="139" t="s">
        <v>77</v>
      </c>
      <c r="T13" s="165">
        <v>0</v>
      </c>
      <c r="U13" s="29">
        <v>1</v>
      </c>
      <c r="V13" s="1">
        <v>1.2284225230179247</v>
      </c>
      <c r="W13" s="139" t="s">
        <v>77</v>
      </c>
      <c r="X13" s="165">
        <v>0</v>
      </c>
      <c r="Y13" s="29">
        <v>1</v>
      </c>
      <c r="Z13" s="1">
        <v>1.2284225230179247</v>
      </c>
      <c r="AA13" s="139" t="s">
        <v>77</v>
      </c>
      <c r="AB13" s="165">
        <v>0</v>
      </c>
      <c r="AC13" s="29">
        <v>1</v>
      </c>
      <c r="AD13" s="1">
        <v>1.2284225230179247</v>
      </c>
      <c r="AE13" s="139" t="s">
        <v>77</v>
      </c>
      <c r="AF13" s="165">
        <v>46.511627906976742</v>
      </c>
      <c r="AG13" s="29">
        <v>1</v>
      </c>
      <c r="AH13" s="1">
        <v>1.2284225230179247</v>
      </c>
      <c r="AI13" s="31" t="s">
        <v>77</v>
      </c>
      <c r="AJ13" s="590"/>
      <c r="AK13" s="165">
        <v>0</v>
      </c>
      <c r="AL13" s="29">
        <v>1</v>
      </c>
      <c r="AM13" s="1">
        <v>1.2284225230179247</v>
      </c>
      <c r="AN13" s="139" t="s">
        <v>77</v>
      </c>
    </row>
    <row r="14" spans="1:40" ht="24">
      <c r="A14" s="156">
        <v>1646</v>
      </c>
      <c r="B14" s="163" t="s">
        <v>525</v>
      </c>
      <c r="C14" s="151" t="s">
        <v>525</v>
      </c>
      <c r="D14" s="152" t="s">
        <v>526</v>
      </c>
      <c r="E14" s="153" t="s">
        <v>402</v>
      </c>
      <c r="F14" s="144" t="s">
        <v>665</v>
      </c>
      <c r="G14" s="125" t="s">
        <v>521</v>
      </c>
      <c r="H14" s="164" t="s">
        <v>402</v>
      </c>
      <c r="I14" s="123" t="s">
        <v>402</v>
      </c>
      <c r="J14" s="124">
        <v>1</v>
      </c>
      <c r="K14" s="125" t="s">
        <v>396</v>
      </c>
      <c r="L14" s="165">
        <v>0</v>
      </c>
      <c r="M14" s="29">
        <v>1</v>
      </c>
      <c r="N14" s="1">
        <v>1.2284225230179247</v>
      </c>
      <c r="O14" s="139" t="s">
        <v>77</v>
      </c>
      <c r="P14" s="165">
        <v>0</v>
      </c>
      <c r="Q14" s="29">
        <v>1</v>
      </c>
      <c r="R14" s="1">
        <v>1.2284225230179247</v>
      </c>
      <c r="S14" s="139" t="s">
        <v>77</v>
      </c>
      <c r="T14" s="165">
        <v>22.388059701492537</v>
      </c>
      <c r="U14" s="29">
        <v>1</v>
      </c>
      <c r="V14" s="1">
        <v>1.2284225230179247</v>
      </c>
      <c r="W14" s="139" t="s">
        <v>77</v>
      </c>
      <c r="X14" s="165">
        <v>23.952095808383234</v>
      </c>
      <c r="Y14" s="29">
        <v>1</v>
      </c>
      <c r="Z14" s="1">
        <v>1.2284225230179247</v>
      </c>
      <c r="AA14" s="139" t="s">
        <v>77</v>
      </c>
      <c r="AB14" s="165">
        <v>46.511627906976742</v>
      </c>
      <c r="AC14" s="29">
        <v>1</v>
      </c>
      <c r="AD14" s="1">
        <v>1.2284225230179247</v>
      </c>
      <c r="AE14" s="139" t="s">
        <v>77</v>
      </c>
      <c r="AF14" s="165">
        <v>0</v>
      </c>
      <c r="AG14" s="29">
        <v>1</v>
      </c>
      <c r="AH14" s="1">
        <v>1.2284225230179247</v>
      </c>
      <c r="AI14" s="31" t="s">
        <v>77</v>
      </c>
      <c r="AJ14" s="590"/>
      <c r="AK14" s="165">
        <v>22.388059701492537</v>
      </c>
      <c r="AL14" s="29">
        <v>1</v>
      </c>
      <c r="AM14" s="1">
        <v>1.2284225230179247</v>
      </c>
      <c r="AN14" s="139" t="s">
        <v>77</v>
      </c>
    </row>
    <row r="15" spans="1:40" ht="24">
      <c r="A15" s="3">
        <v>32063</v>
      </c>
      <c r="B15" s="163" t="s">
        <v>525</v>
      </c>
      <c r="C15" s="151" t="s">
        <v>525</v>
      </c>
      <c r="D15" s="152" t="s">
        <v>526</v>
      </c>
      <c r="E15" s="153" t="s">
        <v>402</v>
      </c>
      <c r="F15" s="144" t="s">
        <v>1297</v>
      </c>
      <c r="G15" s="125" t="s">
        <v>521</v>
      </c>
      <c r="H15" s="164" t="s">
        <v>402</v>
      </c>
      <c r="I15" s="123" t="s">
        <v>402</v>
      </c>
      <c r="J15" s="124">
        <v>1</v>
      </c>
      <c r="K15" s="125" t="s">
        <v>396</v>
      </c>
      <c r="L15" s="165">
        <v>0</v>
      </c>
      <c r="M15" s="29">
        <v>1</v>
      </c>
      <c r="N15" s="1">
        <v>1.3582005896413567</v>
      </c>
      <c r="O15" s="139" t="s">
        <v>78</v>
      </c>
      <c r="P15" s="165"/>
      <c r="Q15" s="29">
        <v>1</v>
      </c>
      <c r="R15" s="1">
        <v>1.3582005896413567</v>
      </c>
      <c r="S15" s="139" t="s">
        <v>78</v>
      </c>
      <c r="T15" s="165" t="s">
        <v>402</v>
      </c>
      <c r="U15" s="29">
        <v>1</v>
      </c>
      <c r="V15" s="1">
        <v>1.3582005896413567</v>
      </c>
      <c r="W15" s="139" t="s">
        <v>78</v>
      </c>
      <c r="X15" s="165">
        <v>24.67065868263473</v>
      </c>
      <c r="Y15" s="29">
        <v>1</v>
      </c>
      <c r="Z15" s="1">
        <v>1.3582005896413567</v>
      </c>
      <c r="AA15" s="139" t="s">
        <v>78</v>
      </c>
      <c r="AB15" s="165">
        <v>0</v>
      </c>
      <c r="AC15" s="29">
        <v>1</v>
      </c>
      <c r="AD15" s="1">
        <v>1.3582005896413567</v>
      </c>
      <c r="AE15" s="139" t="s">
        <v>78</v>
      </c>
      <c r="AF15" s="165">
        <v>0</v>
      </c>
      <c r="AG15" s="29">
        <v>1</v>
      </c>
      <c r="AH15" s="1">
        <v>1.3582005896413567</v>
      </c>
      <c r="AI15" s="31" t="s">
        <v>78</v>
      </c>
      <c r="AJ15" s="590"/>
      <c r="AK15" s="165" t="s">
        <v>402</v>
      </c>
      <c r="AL15" s="29">
        <v>1</v>
      </c>
      <c r="AM15" s="1">
        <v>1.3582005896413567</v>
      </c>
      <c r="AN15" s="139" t="s">
        <v>78</v>
      </c>
    </row>
    <row r="16" spans="1:40" ht="24">
      <c r="A16" s="127">
        <v>32065</v>
      </c>
      <c r="B16" s="163" t="s">
        <v>525</v>
      </c>
      <c r="C16" s="151" t="s">
        <v>525</v>
      </c>
      <c r="D16" s="152" t="s">
        <v>526</v>
      </c>
      <c r="E16" s="153" t="s">
        <v>402</v>
      </c>
      <c r="F16" s="144" t="s">
        <v>1298</v>
      </c>
      <c r="G16" s="125" t="s">
        <v>521</v>
      </c>
      <c r="H16" s="164" t="s">
        <v>402</v>
      </c>
      <c r="I16" s="123" t="s">
        <v>402</v>
      </c>
      <c r="J16" s="124">
        <v>1</v>
      </c>
      <c r="K16" s="125" t="s">
        <v>396</v>
      </c>
      <c r="L16" s="165">
        <v>0</v>
      </c>
      <c r="M16" s="29">
        <v>1</v>
      </c>
      <c r="N16" s="1">
        <v>1.3582005896413567</v>
      </c>
      <c r="O16" s="139" t="s">
        <v>78</v>
      </c>
      <c r="P16" s="165">
        <v>24.67065868263473</v>
      </c>
      <c r="Q16" s="29">
        <v>1</v>
      </c>
      <c r="R16" s="1">
        <v>1.3582005896413567</v>
      </c>
      <c r="S16" s="139" t="s">
        <v>78</v>
      </c>
      <c r="T16" s="165">
        <v>0</v>
      </c>
      <c r="U16" s="29">
        <v>1</v>
      </c>
      <c r="V16" s="1">
        <v>1.3582005896413567</v>
      </c>
      <c r="W16" s="139" t="s">
        <v>78</v>
      </c>
      <c r="X16" s="165">
        <v>0</v>
      </c>
      <c r="Y16" s="29">
        <v>1</v>
      </c>
      <c r="Z16" s="1">
        <v>1.3582005896413567</v>
      </c>
      <c r="AA16" s="139" t="s">
        <v>78</v>
      </c>
      <c r="AB16" s="165">
        <v>0</v>
      </c>
      <c r="AC16" s="29">
        <v>1</v>
      </c>
      <c r="AD16" s="1">
        <v>1.3582005896413567</v>
      </c>
      <c r="AE16" s="139" t="s">
        <v>78</v>
      </c>
      <c r="AF16" s="165">
        <v>0</v>
      </c>
      <c r="AG16" s="29">
        <v>1</v>
      </c>
      <c r="AH16" s="1">
        <v>1.3582005896413567</v>
      </c>
      <c r="AI16" s="31" t="s">
        <v>78</v>
      </c>
      <c r="AJ16" s="590"/>
      <c r="AK16" s="165">
        <v>0</v>
      </c>
      <c r="AL16" s="29">
        <v>1</v>
      </c>
      <c r="AM16" s="1">
        <v>1.3582005896413567</v>
      </c>
      <c r="AN16" s="139" t="s">
        <v>78</v>
      </c>
    </row>
    <row r="17" spans="1:40" ht="24">
      <c r="A17" s="120">
        <v>32129</v>
      </c>
      <c r="B17" s="163" t="s">
        <v>525</v>
      </c>
      <c r="C17" s="151" t="s">
        <v>525</v>
      </c>
      <c r="D17" s="152" t="s">
        <v>526</v>
      </c>
      <c r="E17" s="153" t="s">
        <v>402</v>
      </c>
      <c r="F17" s="144" t="s">
        <v>1366</v>
      </c>
      <c r="G17" s="125" t="s">
        <v>465</v>
      </c>
      <c r="H17" s="164" t="s">
        <v>402</v>
      </c>
      <c r="I17" s="123" t="s">
        <v>402</v>
      </c>
      <c r="J17" s="124">
        <v>1</v>
      </c>
      <c r="K17" s="125" t="s">
        <v>396</v>
      </c>
      <c r="L17" s="165">
        <v>0</v>
      </c>
      <c r="M17" s="29">
        <v>1</v>
      </c>
      <c r="N17" s="1">
        <v>2.0865051432908035</v>
      </c>
      <c r="O17" s="139" t="s">
        <v>78</v>
      </c>
      <c r="P17" s="165">
        <v>0</v>
      </c>
      <c r="Q17" s="29">
        <v>1</v>
      </c>
      <c r="R17" s="1">
        <v>2.0865051432908035</v>
      </c>
      <c r="S17" s="139" t="s">
        <v>78</v>
      </c>
      <c r="T17" s="165">
        <v>0</v>
      </c>
      <c r="U17" s="29">
        <v>1</v>
      </c>
      <c r="V17" s="1">
        <v>2.0865051432908035</v>
      </c>
      <c r="W17" s="139" t="s">
        <v>78</v>
      </c>
      <c r="X17" s="165">
        <v>0</v>
      </c>
      <c r="Y17" s="29">
        <v>1</v>
      </c>
      <c r="Z17" s="1">
        <v>2.0865051432908035</v>
      </c>
      <c r="AA17" s="139" t="s">
        <v>78</v>
      </c>
      <c r="AB17" s="165">
        <v>47.906976744186046</v>
      </c>
      <c r="AC17" s="29">
        <v>1</v>
      </c>
      <c r="AD17" s="1">
        <v>2.0865051432908035</v>
      </c>
      <c r="AE17" s="139" t="s">
        <v>78</v>
      </c>
      <c r="AF17" s="165">
        <v>0</v>
      </c>
      <c r="AG17" s="29">
        <v>1</v>
      </c>
      <c r="AH17" s="1">
        <v>2.0865051432908035</v>
      </c>
      <c r="AI17" s="31" t="s">
        <v>78</v>
      </c>
      <c r="AJ17" s="590"/>
      <c r="AK17" s="165">
        <v>0</v>
      </c>
      <c r="AL17" s="29">
        <v>1</v>
      </c>
      <c r="AM17" s="1">
        <v>2.0865051432908035</v>
      </c>
      <c r="AN17" s="139" t="s">
        <v>78</v>
      </c>
    </row>
    <row r="18" spans="1:40" ht="24">
      <c r="A18" s="120">
        <v>32128</v>
      </c>
      <c r="B18" s="163" t="s">
        <v>525</v>
      </c>
      <c r="C18" s="151" t="s">
        <v>525</v>
      </c>
      <c r="D18" s="152" t="s">
        <v>526</v>
      </c>
      <c r="E18" s="153" t="s">
        <v>402</v>
      </c>
      <c r="F18" s="144" t="s">
        <v>1367</v>
      </c>
      <c r="G18" s="125" t="s">
        <v>465</v>
      </c>
      <c r="H18" s="164" t="s">
        <v>402</v>
      </c>
      <c r="I18" s="123" t="s">
        <v>402</v>
      </c>
      <c r="J18" s="124">
        <v>1</v>
      </c>
      <c r="K18" s="125" t="s">
        <v>396</v>
      </c>
      <c r="L18" s="165">
        <v>0</v>
      </c>
      <c r="M18" s="29">
        <v>1</v>
      </c>
      <c r="N18" s="1">
        <v>2.0865051432908035</v>
      </c>
      <c r="O18" s="139" t="s">
        <v>78</v>
      </c>
      <c r="P18" s="165">
        <v>0</v>
      </c>
      <c r="Q18" s="29">
        <v>1</v>
      </c>
      <c r="R18" s="1">
        <v>2.0865051432908035</v>
      </c>
      <c r="S18" s="139" t="s">
        <v>78</v>
      </c>
      <c r="T18" s="165">
        <v>0</v>
      </c>
      <c r="U18" s="29">
        <v>1</v>
      </c>
      <c r="V18" s="1">
        <v>2.0865051432908035</v>
      </c>
      <c r="W18" s="139" t="s">
        <v>78</v>
      </c>
      <c r="X18" s="165">
        <v>0</v>
      </c>
      <c r="Y18" s="29">
        <v>1</v>
      </c>
      <c r="Z18" s="1">
        <v>2.0865051432908035</v>
      </c>
      <c r="AA18" s="139" t="s">
        <v>78</v>
      </c>
      <c r="AB18" s="165">
        <v>0</v>
      </c>
      <c r="AC18" s="29">
        <v>1</v>
      </c>
      <c r="AD18" s="1">
        <v>2.0865051432908035</v>
      </c>
      <c r="AE18" s="139" t="s">
        <v>78</v>
      </c>
      <c r="AF18" s="165">
        <v>47.906976744186046</v>
      </c>
      <c r="AG18" s="29">
        <v>1</v>
      </c>
      <c r="AH18" s="1">
        <v>2.0865051432908035</v>
      </c>
      <c r="AI18" s="31" t="s">
        <v>78</v>
      </c>
      <c r="AJ18" s="590"/>
      <c r="AK18" s="165">
        <v>0</v>
      </c>
      <c r="AL18" s="29">
        <v>1</v>
      </c>
      <c r="AM18" s="1">
        <v>2.0865051432908035</v>
      </c>
      <c r="AN18" s="139" t="s">
        <v>78</v>
      </c>
    </row>
    <row r="19" spans="1:40" ht="24">
      <c r="A19" s="120">
        <v>32079</v>
      </c>
      <c r="B19" s="163" t="s">
        <v>525</v>
      </c>
      <c r="C19" s="151" t="s">
        <v>525</v>
      </c>
      <c r="D19" s="152" t="s">
        <v>526</v>
      </c>
      <c r="E19" s="153" t="s">
        <v>402</v>
      </c>
      <c r="F19" s="144" t="s">
        <v>1338</v>
      </c>
      <c r="G19" s="125" t="s">
        <v>268</v>
      </c>
      <c r="H19" s="164" t="s">
        <v>402</v>
      </c>
      <c r="I19" s="123" t="s">
        <v>402</v>
      </c>
      <c r="J19" s="124">
        <v>1</v>
      </c>
      <c r="K19" s="125" t="s">
        <v>396</v>
      </c>
      <c r="L19" s="165">
        <v>28.512110726643609</v>
      </c>
      <c r="M19" s="29">
        <v>1</v>
      </c>
      <c r="N19" s="1">
        <v>1.3582005896413567</v>
      </c>
      <c r="O19" s="139" t="s">
        <v>78</v>
      </c>
      <c r="P19" s="165">
        <v>0</v>
      </c>
      <c r="Q19" s="29">
        <v>1</v>
      </c>
      <c r="R19" s="1">
        <v>1.3582005896413567</v>
      </c>
      <c r="S19" s="139" t="s">
        <v>78</v>
      </c>
      <c r="T19" s="165">
        <v>0</v>
      </c>
      <c r="U19" s="29">
        <v>1</v>
      </c>
      <c r="V19" s="1">
        <v>1.3582005896413567</v>
      </c>
      <c r="W19" s="139" t="s">
        <v>78</v>
      </c>
      <c r="X19" s="165">
        <v>0</v>
      </c>
      <c r="Y19" s="29">
        <v>1</v>
      </c>
      <c r="Z19" s="1">
        <v>1.3582005896413567</v>
      </c>
      <c r="AA19" s="139" t="s">
        <v>78</v>
      </c>
      <c r="AB19" s="165">
        <v>0</v>
      </c>
      <c r="AC19" s="29">
        <v>1</v>
      </c>
      <c r="AD19" s="1">
        <v>1.3582005896413567</v>
      </c>
      <c r="AE19" s="139" t="s">
        <v>78</v>
      </c>
      <c r="AF19" s="165">
        <v>0</v>
      </c>
      <c r="AG19" s="29">
        <v>1</v>
      </c>
      <c r="AH19" s="1">
        <v>1.3582005896413567</v>
      </c>
      <c r="AI19" s="31" t="s">
        <v>78</v>
      </c>
      <c r="AJ19" s="590"/>
      <c r="AK19" s="165">
        <v>0</v>
      </c>
      <c r="AL19" s="29">
        <v>1</v>
      </c>
      <c r="AM19" s="1">
        <v>1.3582005896413567</v>
      </c>
      <c r="AN19" s="139" t="s">
        <v>78</v>
      </c>
    </row>
    <row r="20" spans="1:40" ht="24">
      <c r="A20" s="120">
        <v>32075</v>
      </c>
      <c r="B20" s="163" t="s">
        <v>525</v>
      </c>
      <c r="C20" s="151" t="s">
        <v>525</v>
      </c>
      <c r="D20" s="152" t="s">
        <v>526</v>
      </c>
      <c r="E20" s="153" t="s">
        <v>402</v>
      </c>
      <c r="F20" s="144" t="s">
        <v>79</v>
      </c>
      <c r="G20" s="125" t="s">
        <v>521</v>
      </c>
      <c r="H20" s="164" t="s">
        <v>402</v>
      </c>
      <c r="I20" s="123" t="s">
        <v>402</v>
      </c>
      <c r="J20" s="124">
        <v>1</v>
      </c>
      <c r="K20" s="125" t="s">
        <v>396</v>
      </c>
      <c r="L20" s="165">
        <v>0</v>
      </c>
      <c r="M20" s="29">
        <v>1</v>
      </c>
      <c r="N20" s="1">
        <v>1.3582005896413567</v>
      </c>
      <c r="O20" s="139" t="s">
        <v>78</v>
      </c>
      <c r="P20" s="165">
        <v>0</v>
      </c>
      <c r="Q20" s="29">
        <v>1</v>
      </c>
      <c r="R20" s="1">
        <v>1.3582005896413567</v>
      </c>
      <c r="S20" s="139" t="s">
        <v>78</v>
      </c>
      <c r="T20" s="165">
        <v>23.059701492537314</v>
      </c>
      <c r="U20" s="29">
        <v>1</v>
      </c>
      <c r="V20" s="1">
        <v>1.3582005896413567</v>
      </c>
      <c r="W20" s="139" t="s">
        <v>78</v>
      </c>
      <c r="X20" s="165">
        <v>0</v>
      </c>
      <c r="Y20" s="29">
        <v>1</v>
      </c>
      <c r="Z20" s="1">
        <v>1.3582005896413567</v>
      </c>
      <c r="AA20" s="139" t="s">
        <v>78</v>
      </c>
      <c r="AB20" s="165">
        <v>0</v>
      </c>
      <c r="AC20" s="29">
        <v>1</v>
      </c>
      <c r="AD20" s="1">
        <v>1.3582005896413567</v>
      </c>
      <c r="AE20" s="139" t="s">
        <v>78</v>
      </c>
      <c r="AF20" s="165">
        <v>0</v>
      </c>
      <c r="AG20" s="29">
        <v>1</v>
      </c>
      <c r="AH20" s="1">
        <v>1.3582005896413567</v>
      </c>
      <c r="AI20" s="31" t="s">
        <v>78</v>
      </c>
      <c r="AJ20" s="590"/>
      <c r="AK20" s="165">
        <v>0</v>
      </c>
      <c r="AL20" s="29">
        <v>1</v>
      </c>
      <c r="AM20" s="1">
        <v>1.3582005896413567</v>
      </c>
      <c r="AN20" s="139" t="s">
        <v>78</v>
      </c>
    </row>
    <row r="21" spans="1:40" ht="24">
      <c r="A21" s="587">
        <v>32074</v>
      </c>
      <c r="B21" s="163" t="s">
        <v>525</v>
      </c>
      <c r="C21" s="151" t="s">
        <v>525</v>
      </c>
      <c r="D21" s="152" t="s">
        <v>526</v>
      </c>
      <c r="E21" s="153" t="s">
        <v>402</v>
      </c>
      <c r="F21" s="144" t="s">
        <v>793</v>
      </c>
      <c r="G21" s="125" t="s">
        <v>268</v>
      </c>
      <c r="H21" s="164" t="s">
        <v>402</v>
      </c>
      <c r="I21" s="123" t="s">
        <v>402</v>
      </c>
      <c r="J21" s="124">
        <v>1</v>
      </c>
      <c r="K21" s="125" t="s">
        <v>396</v>
      </c>
      <c r="L21" s="165">
        <v>0</v>
      </c>
      <c r="M21" s="29">
        <v>1</v>
      </c>
      <c r="N21" s="1">
        <v>2.0865051432908035</v>
      </c>
      <c r="O21" s="139" t="s">
        <v>78</v>
      </c>
      <c r="P21" s="165">
        <v>0</v>
      </c>
      <c r="Q21" s="29">
        <v>1</v>
      </c>
      <c r="R21" s="1">
        <v>2.0865051432908035</v>
      </c>
      <c r="S21" s="139" t="s">
        <v>78</v>
      </c>
      <c r="T21" s="586" t="s">
        <v>402</v>
      </c>
      <c r="U21" s="29">
        <v>1</v>
      </c>
      <c r="V21" s="1">
        <v>2.0865051432908035</v>
      </c>
      <c r="W21" s="139" t="s">
        <v>78</v>
      </c>
      <c r="X21" s="165">
        <v>0</v>
      </c>
      <c r="Y21" s="29">
        <v>1</v>
      </c>
      <c r="Z21" s="1">
        <v>2.0865051432908035</v>
      </c>
      <c r="AA21" s="139" t="s">
        <v>78</v>
      </c>
      <c r="AB21" s="165">
        <v>0</v>
      </c>
      <c r="AC21" s="29">
        <v>1</v>
      </c>
      <c r="AD21" s="1">
        <v>2.0865051432908035</v>
      </c>
      <c r="AE21" s="139" t="s">
        <v>78</v>
      </c>
      <c r="AF21" s="165">
        <v>0</v>
      </c>
      <c r="AG21" s="29">
        <v>1</v>
      </c>
      <c r="AH21" s="1">
        <v>2.0865051432908035</v>
      </c>
      <c r="AI21" s="31" t="s">
        <v>78</v>
      </c>
      <c r="AJ21" s="590"/>
      <c r="AK21" s="165">
        <v>23.059701492537314</v>
      </c>
      <c r="AL21" s="29">
        <v>1</v>
      </c>
      <c r="AM21" s="1">
        <v>2.0865051432908035</v>
      </c>
      <c r="AN21" s="139" t="s">
        <v>78</v>
      </c>
    </row>
    <row r="22" spans="1:40" ht="12.75">
      <c r="A22" s="157">
        <v>1802</v>
      </c>
      <c r="B22" s="163" t="s">
        <v>525</v>
      </c>
      <c r="C22" s="151" t="s">
        <v>525</v>
      </c>
      <c r="D22" s="152" t="s">
        <v>526</v>
      </c>
      <c r="E22" s="153" t="s">
        <v>402</v>
      </c>
      <c r="F22" s="144" t="s">
        <v>80</v>
      </c>
      <c r="G22" s="125" t="s">
        <v>393</v>
      </c>
      <c r="H22" s="164" t="s">
        <v>402</v>
      </c>
      <c r="I22" s="123" t="s">
        <v>402</v>
      </c>
      <c r="J22" s="124">
        <v>0</v>
      </c>
      <c r="K22" s="125" t="s">
        <v>81</v>
      </c>
      <c r="L22" s="165">
        <v>0</v>
      </c>
      <c r="M22" s="29">
        <v>1</v>
      </c>
      <c r="N22" s="1">
        <v>2.0865051432908035</v>
      </c>
      <c r="O22" s="139" t="s">
        <v>82</v>
      </c>
      <c r="P22" s="165">
        <v>0</v>
      </c>
      <c r="Q22" s="29">
        <v>1</v>
      </c>
      <c r="R22" s="1">
        <v>2.0865051432908035</v>
      </c>
      <c r="S22" s="139" t="s">
        <v>82</v>
      </c>
      <c r="T22" s="165">
        <v>0</v>
      </c>
      <c r="U22" s="29">
        <v>1</v>
      </c>
      <c r="V22" s="1">
        <v>2.0865051432908035</v>
      </c>
      <c r="W22" s="139" t="s">
        <v>82</v>
      </c>
      <c r="X22" s="165">
        <v>0</v>
      </c>
      <c r="Y22" s="29">
        <v>1</v>
      </c>
      <c r="Z22" s="1">
        <v>2.0865051432908035</v>
      </c>
      <c r="AA22" s="139" t="s">
        <v>82</v>
      </c>
      <c r="AB22" s="165">
        <v>0</v>
      </c>
      <c r="AC22" s="29">
        <v>1</v>
      </c>
      <c r="AD22" s="1">
        <v>2.0865051432908035</v>
      </c>
      <c r="AE22" s="139" t="s">
        <v>82</v>
      </c>
      <c r="AF22" s="165">
        <v>0</v>
      </c>
      <c r="AG22" s="29">
        <v>1</v>
      </c>
      <c r="AH22" s="1">
        <v>2.0865051432908035</v>
      </c>
      <c r="AI22" s="31" t="s">
        <v>82</v>
      </c>
      <c r="AJ22" s="590"/>
      <c r="AK22" s="165">
        <v>0</v>
      </c>
      <c r="AL22" s="29">
        <v>1</v>
      </c>
      <c r="AM22" s="1">
        <v>2.0865051432908035</v>
      </c>
      <c r="AN22" s="139" t="s">
        <v>82</v>
      </c>
    </row>
    <row r="23" spans="1:40" ht="24">
      <c r="A23" s="157">
        <v>2988</v>
      </c>
      <c r="B23" s="163" t="s">
        <v>525</v>
      </c>
      <c r="C23" s="151" t="s">
        <v>525</v>
      </c>
      <c r="D23" s="152" t="s">
        <v>526</v>
      </c>
      <c r="E23" s="153" t="s">
        <v>402</v>
      </c>
      <c r="F23" s="144" t="s">
        <v>63</v>
      </c>
      <c r="G23" s="125" t="s">
        <v>393</v>
      </c>
      <c r="H23" s="164" t="s">
        <v>402</v>
      </c>
      <c r="I23" s="123" t="s">
        <v>402</v>
      </c>
      <c r="J23" s="124">
        <v>0</v>
      </c>
      <c r="K23" s="125" t="s">
        <v>397</v>
      </c>
      <c r="L23" s="165">
        <v>57.993395309496378</v>
      </c>
      <c r="M23" s="29">
        <v>1</v>
      </c>
      <c r="N23" s="1">
        <v>2.0865051432908035</v>
      </c>
      <c r="O23" s="139" t="s">
        <v>83</v>
      </c>
      <c r="P23" s="165">
        <v>61.278901955887115</v>
      </c>
      <c r="Q23" s="29">
        <v>1</v>
      </c>
      <c r="R23" s="1">
        <v>2.0865051432908035</v>
      </c>
      <c r="S23" s="139" t="s">
        <v>83</v>
      </c>
      <c r="T23" s="165">
        <v>55.445554890298524</v>
      </c>
      <c r="U23" s="29">
        <v>1</v>
      </c>
      <c r="V23" s="1">
        <v>2.0865051432908035</v>
      </c>
      <c r="W23" s="139" t="s">
        <v>83</v>
      </c>
      <c r="X23" s="165">
        <v>56.036386985827249</v>
      </c>
      <c r="Y23" s="29">
        <v>1</v>
      </c>
      <c r="Z23" s="1">
        <v>2.0865051432908035</v>
      </c>
      <c r="AA23" s="139" t="s">
        <v>83</v>
      </c>
      <c r="AB23" s="165">
        <v>20.624796955809742</v>
      </c>
      <c r="AC23" s="29">
        <v>1</v>
      </c>
      <c r="AD23" s="1">
        <v>2.0865051432908035</v>
      </c>
      <c r="AE23" s="139" t="s">
        <v>83</v>
      </c>
      <c r="AF23" s="165">
        <v>47.070947295275737</v>
      </c>
      <c r="AG23" s="29">
        <v>1</v>
      </c>
      <c r="AH23" s="1">
        <v>2.0865051432908035</v>
      </c>
      <c r="AI23" s="31" t="s">
        <v>83</v>
      </c>
      <c r="AJ23" s="590"/>
      <c r="AK23" s="165">
        <v>55.445554890298524</v>
      </c>
      <c r="AL23" s="29">
        <v>1</v>
      </c>
      <c r="AM23" s="1">
        <v>2.0865051432908035</v>
      </c>
      <c r="AN23" s="139" t="s">
        <v>83</v>
      </c>
    </row>
    <row r="24" spans="1:40" ht="24">
      <c r="A24" s="2">
        <v>2987</v>
      </c>
      <c r="B24" s="163" t="s">
        <v>525</v>
      </c>
      <c r="C24" s="151" t="s">
        <v>525</v>
      </c>
      <c r="D24" s="152" t="s">
        <v>526</v>
      </c>
      <c r="E24" s="153" t="s">
        <v>402</v>
      </c>
      <c r="F24" s="144" t="s">
        <v>59</v>
      </c>
      <c r="G24" s="125" t="s">
        <v>521</v>
      </c>
      <c r="H24" s="164" t="s">
        <v>402</v>
      </c>
      <c r="I24" s="123" t="s">
        <v>402</v>
      </c>
      <c r="J24" s="124">
        <v>0</v>
      </c>
      <c r="K24" s="125" t="s">
        <v>397</v>
      </c>
      <c r="L24" s="165">
        <v>251.46097654748183</v>
      </c>
      <c r="M24" s="29">
        <v>1</v>
      </c>
      <c r="N24" s="1">
        <v>2.0865051432908035</v>
      </c>
      <c r="O24" s="139" t="s">
        <v>84</v>
      </c>
      <c r="P24" s="165">
        <v>267.88850977943559</v>
      </c>
      <c r="Q24" s="29">
        <v>1</v>
      </c>
      <c r="R24" s="1">
        <v>2.0865051432908035</v>
      </c>
      <c r="S24" s="139" t="s">
        <v>84</v>
      </c>
      <c r="T24" s="165">
        <v>238.72177445149262</v>
      </c>
      <c r="U24" s="29">
        <v>1</v>
      </c>
      <c r="V24" s="1">
        <v>2.0865051432908035</v>
      </c>
      <c r="W24" s="139" t="s">
        <v>84</v>
      </c>
      <c r="X24" s="165">
        <v>241.67593492913619</v>
      </c>
      <c r="Y24" s="29">
        <v>1</v>
      </c>
      <c r="Z24" s="1">
        <v>2.0865051432908035</v>
      </c>
      <c r="AA24" s="139" t="s">
        <v>84</v>
      </c>
      <c r="AB24" s="165">
        <v>64.617984779048697</v>
      </c>
      <c r="AC24" s="29">
        <v>1</v>
      </c>
      <c r="AD24" s="1">
        <v>2.0865051432908035</v>
      </c>
      <c r="AE24" s="139" t="s">
        <v>84</v>
      </c>
      <c r="AF24" s="165">
        <v>196.84873647637866</v>
      </c>
      <c r="AG24" s="29">
        <v>1</v>
      </c>
      <c r="AH24" s="1">
        <v>2.0865051432908035</v>
      </c>
      <c r="AI24" s="31" t="s">
        <v>84</v>
      </c>
      <c r="AJ24" s="590"/>
      <c r="AK24" s="165">
        <v>238.72177445149262</v>
      </c>
      <c r="AL24" s="29">
        <v>1</v>
      </c>
      <c r="AM24" s="1">
        <v>2.0865051432908035</v>
      </c>
      <c r="AN24" s="139" t="s">
        <v>84</v>
      </c>
    </row>
    <row r="25" spans="1:40" ht="24">
      <c r="A25" s="156">
        <v>1824</v>
      </c>
      <c r="B25" s="163" t="s">
        <v>525</v>
      </c>
      <c r="C25" s="151" t="s">
        <v>525</v>
      </c>
      <c r="D25" s="152" t="s">
        <v>526</v>
      </c>
      <c r="E25" s="153" t="s">
        <v>402</v>
      </c>
      <c r="F25" s="144" t="s">
        <v>85</v>
      </c>
      <c r="G25" s="125" t="s">
        <v>86</v>
      </c>
      <c r="H25" s="164" t="s">
        <v>402</v>
      </c>
      <c r="I25" s="123" t="s">
        <v>402</v>
      </c>
      <c r="J25" s="124">
        <v>0</v>
      </c>
      <c r="K25" s="125" t="s">
        <v>397</v>
      </c>
      <c r="L25" s="165">
        <v>1005.8439061899273</v>
      </c>
      <c r="M25" s="29">
        <v>1</v>
      </c>
      <c r="N25" s="1">
        <v>2.0865051432908035</v>
      </c>
      <c r="O25" s="139" t="s">
        <v>87</v>
      </c>
      <c r="P25" s="165">
        <v>1071.5540391177424</v>
      </c>
      <c r="Q25" s="29">
        <v>1</v>
      </c>
      <c r="R25" s="1">
        <v>2.0865051432908035</v>
      </c>
      <c r="S25" s="139" t="s">
        <v>87</v>
      </c>
      <c r="T25" s="165" t="s">
        <v>402</v>
      </c>
      <c r="U25" s="29">
        <v>1</v>
      </c>
      <c r="V25" s="1">
        <v>2.0865051432908035</v>
      </c>
      <c r="W25" s="139" t="s">
        <v>87</v>
      </c>
      <c r="X25" s="165">
        <v>966.70373971654476</v>
      </c>
      <c r="Y25" s="29">
        <v>1</v>
      </c>
      <c r="Z25" s="1">
        <v>2.0865051432908035</v>
      </c>
      <c r="AA25" s="139" t="s">
        <v>87</v>
      </c>
      <c r="AB25" s="165">
        <v>258.47193911619479</v>
      </c>
      <c r="AC25" s="29">
        <v>1</v>
      </c>
      <c r="AD25" s="1">
        <v>2.0865051432908035</v>
      </c>
      <c r="AE25" s="139" t="s">
        <v>87</v>
      </c>
      <c r="AF25" s="165">
        <v>787.39494590551465</v>
      </c>
      <c r="AG25" s="29">
        <v>1</v>
      </c>
      <c r="AH25" s="1">
        <v>2.0865051432908035</v>
      </c>
      <c r="AI25" s="31" t="s">
        <v>87</v>
      </c>
      <c r="AJ25" s="590"/>
      <c r="AK25" s="165" t="s">
        <v>402</v>
      </c>
      <c r="AL25" s="29">
        <v>1</v>
      </c>
      <c r="AM25" s="1">
        <v>2.0865051432908035</v>
      </c>
      <c r="AN25" s="139" t="s">
        <v>87</v>
      </c>
    </row>
    <row r="26" spans="1:40" ht="12.75">
      <c r="A26" s="214">
        <v>490</v>
      </c>
      <c r="B26" s="296" t="s">
        <v>692</v>
      </c>
      <c r="C26" s="169" t="s">
        <v>525</v>
      </c>
      <c r="D26" s="11" t="s">
        <v>402</v>
      </c>
      <c r="E26" s="170" t="s">
        <v>527</v>
      </c>
      <c r="F26" s="144" t="s">
        <v>324</v>
      </c>
      <c r="G26" s="125" t="s">
        <v>402</v>
      </c>
      <c r="H26" s="164" t="s">
        <v>325</v>
      </c>
      <c r="I26" s="123" t="s">
        <v>685</v>
      </c>
      <c r="J26" s="124" t="s">
        <v>402</v>
      </c>
      <c r="K26" s="125" t="s">
        <v>677</v>
      </c>
      <c r="L26" s="165">
        <v>0.14400000000000002</v>
      </c>
      <c r="M26" s="29">
        <v>1</v>
      </c>
      <c r="N26" s="1">
        <v>1.2849840792941758</v>
      </c>
      <c r="O26" s="139" t="s">
        <v>88</v>
      </c>
      <c r="P26" s="165">
        <v>0.14400000000000002</v>
      </c>
      <c r="Q26" s="29">
        <v>1</v>
      </c>
      <c r="R26" s="1">
        <v>1.2849840792941758</v>
      </c>
      <c r="S26" s="139" t="s">
        <v>88</v>
      </c>
      <c r="T26" s="165">
        <v>0.14400000000000002</v>
      </c>
      <c r="U26" s="29">
        <v>1</v>
      </c>
      <c r="V26" s="1">
        <v>1.2849840792941758</v>
      </c>
      <c r="W26" s="139" t="s">
        <v>88</v>
      </c>
      <c r="X26" s="165">
        <v>0.14400000000000002</v>
      </c>
      <c r="Y26" s="29">
        <v>1</v>
      </c>
      <c r="Z26" s="1">
        <v>1.2849840792941758</v>
      </c>
      <c r="AA26" s="139" t="s">
        <v>88</v>
      </c>
      <c r="AB26" s="165">
        <v>0.14400000000000002</v>
      </c>
      <c r="AC26" s="29">
        <v>1</v>
      </c>
      <c r="AD26" s="1">
        <v>1.2849840792941758</v>
      </c>
      <c r="AE26" s="139" t="s">
        <v>88</v>
      </c>
      <c r="AF26" s="165">
        <v>0.14400000000000002</v>
      </c>
      <c r="AG26" s="29">
        <v>1</v>
      </c>
      <c r="AH26" s="1">
        <v>1.2849840792941758</v>
      </c>
      <c r="AI26" s="31" t="s">
        <v>88</v>
      </c>
      <c r="AJ26" s="590"/>
      <c r="AK26" s="165">
        <v>0.14400000000000002</v>
      </c>
      <c r="AL26" s="29">
        <v>1</v>
      </c>
      <c r="AM26" s="1">
        <v>1.2849840792941758</v>
      </c>
      <c r="AN26" s="139" t="s">
        <v>88</v>
      </c>
    </row>
    <row r="27" spans="1:40">
      <c r="A27" s="120">
        <v>32066</v>
      </c>
      <c r="B27" s="168" t="s">
        <v>523</v>
      </c>
      <c r="C27" s="169"/>
      <c r="D27" s="11" t="s">
        <v>402</v>
      </c>
      <c r="E27" s="170">
        <v>0</v>
      </c>
      <c r="F27" s="145" t="s">
        <v>65</v>
      </c>
      <c r="G27" s="16" t="s">
        <v>393</v>
      </c>
      <c r="H27" s="14" t="s">
        <v>402</v>
      </c>
      <c r="I27" s="14" t="s">
        <v>402</v>
      </c>
      <c r="J27" s="15">
        <v>1</v>
      </c>
      <c r="K27" s="16" t="s">
        <v>522</v>
      </c>
      <c r="L27" s="149">
        <v>0</v>
      </c>
      <c r="M27" s="40"/>
      <c r="N27" s="89"/>
      <c r="O27" s="202"/>
      <c r="P27" s="149">
        <v>1</v>
      </c>
      <c r="Q27" s="40"/>
      <c r="R27" s="89"/>
      <c r="S27" s="202"/>
      <c r="T27" s="149">
        <v>0</v>
      </c>
      <c r="U27" s="40"/>
      <c r="V27" s="89"/>
      <c r="W27" s="202"/>
      <c r="X27" s="149">
        <v>0</v>
      </c>
      <c r="Y27" s="40"/>
      <c r="Z27" s="89"/>
      <c r="AA27" s="202"/>
      <c r="AB27" s="149">
        <v>0</v>
      </c>
      <c r="AC27" s="40"/>
      <c r="AD27" s="89"/>
      <c r="AE27" s="202"/>
      <c r="AF27" s="149">
        <v>0</v>
      </c>
      <c r="AG27" s="40"/>
      <c r="AH27" s="89"/>
      <c r="AI27" s="193"/>
      <c r="AJ27" s="591"/>
      <c r="AK27" s="149">
        <v>0</v>
      </c>
      <c r="AL27" s="40"/>
      <c r="AM27" s="89"/>
      <c r="AN27" s="193"/>
    </row>
    <row r="28" spans="1:40">
      <c r="A28" s="417">
        <v>32076</v>
      </c>
      <c r="B28" s="168"/>
      <c r="C28" s="169"/>
      <c r="D28" s="11" t="s">
        <v>402</v>
      </c>
      <c r="E28" s="170">
        <v>0</v>
      </c>
      <c r="F28" s="145" t="s">
        <v>66</v>
      </c>
      <c r="G28" s="16" t="s">
        <v>393</v>
      </c>
      <c r="H28" s="14" t="s">
        <v>402</v>
      </c>
      <c r="I28" s="14" t="s">
        <v>402</v>
      </c>
      <c r="J28" s="15">
        <v>1</v>
      </c>
      <c r="K28" s="16" t="s">
        <v>522</v>
      </c>
      <c r="L28" s="149">
        <v>0</v>
      </c>
      <c r="M28" s="40"/>
      <c r="N28" s="89"/>
      <c r="O28" s="202"/>
      <c r="P28" s="149">
        <v>0</v>
      </c>
      <c r="Q28" s="40"/>
      <c r="R28" s="89"/>
      <c r="S28" s="202"/>
      <c r="T28" s="149">
        <v>1</v>
      </c>
      <c r="U28" s="40"/>
      <c r="V28" s="89"/>
      <c r="W28" s="202"/>
      <c r="X28" s="149">
        <v>0</v>
      </c>
      <c r="Y28" s="40"/>
      <c r="Z28" s="89"/>
      <c r="AA28" s="202"/>
      <c r="AB28" s="149">
        <v>0</v>
      </c>
      <c r="AC28" s="40"/>
      <c r="AD28" s="89"/>
      <c r="AE28" s="202"/>
      <c r="AF28" s="149">
        <v>0</v>
      </c>
      <c r="AG28" s="40"/>
      <c r="AH28" s="89"/>
      <c r="AI28" s="193"/>
      <c r="AJ28" s="591"/>
      <c r="AK28" s="149">
        <v>0</v>
      </c>
      <c r="AL28" s="40"/>
      <c r="AM28" s="89"/>
      <c r="AN28" s="193"/>
    </row>
    <row r="29" spans="1:40">
      <c r="A29" s="120">
        <v>32080</v>
      </c>
      <c r="B29" s="168"/>
      <c r="C29" s="169"/>
      <c r="D29" s="11" t="s">
        <v>402</v>
      </c>
      <c r="E29" s="170">
        <v>0</v>
      </c>
      <c r="F29" s="145" t="s">
        <v>64</v>
      </c>
      <c r="G29" s="16" t="s">
        <v>393</v>
      </c>
      <c r="H29" s="14" t="s">
        <v>402</v>
      </c>
      <c r="I29" s="14" t="s">
        <v>402</v>
      </c>
      <c r="J29" s="15">
        <v>1</v>
      </c>
      <c r="K29" s="16" t="s">
        <v>522</v>
      </c>
      <c r="L29" s="149">
        <v>1</v>
      </c>
      <c r="M29" s="40"/>
      <c r="N29" s="89"/>
      <c r="O29" s="202"/>
      <c r="P29" s="149">
        <v>0</v>
      </c>
      <c r="Q29" s="40"/>
      <c r="R29" s="89"/>
      <c r="S29" s="202"/>
      <c r="T29" s="149">
        <v>0</v>
      </c>
      <c r="U29" s="40"/>
      <c r="V29" s="89"/>
      <c r="W29" s="202"/>
      <c r="X29" s="149">
        <v>0</v>
      </c>
      <c r="Y29" s="40"/>
      <c r="Z29" s="89"/>
      <c r="AA29" s="202"/>
      <c r="AB29" s="149">
        <v>0</v>
      </c>
      <c r="AC29" s="40"/>
      <c r="AD29" s="89"/>
      <c r="AE29" s="202"/>
      <c r="AF29" s="149">
        <v>0</v>
      </c>
      <c r="AG29" s="40"/>
      <c r="AH29" s="89"/>
      <c r="AI29" s="193"/>
      <c r="AJ29" s="591"/>
      <c r="AK29" s="149">
        <v>0</v>
      </c>
      <c r="AL29" s="40"/>
      <c r="AM29" s="89"/>
      <c r="AN29" s="193"/>
    </row>
    <row r="30" spans="1:40" ht="24">
      <c r="A30" s="120">
        <v>32068</v>
      </c>
      <c r="B30" s="168"/>
      <c r="C30" s="169"/>
      <c r="D30" s="11" t="s">
        <v>402</v>
      </c>
      <c r="E30" s="170">
        <v>0</v>
      </c>
      <c r="F30" s="145" t="s">
        <v>67</v>
      </c>
      <c r="G30" s="16" t="s">
        <v>393</v>
      </c>
      <c r="H30" s="14" t="s">
        <v>402</v>
      </c>
      <c r="I30" s="14" t="s">
        <v>402</v>
      </c>
      <c r="J30" s="15">
        <v>1</v>
      </c>
      <c r="K30" s="16" t="s">
        <v>522</v>
      </c>
      <c r="L30" s="149">
        <v>0</v>
      </c>
      <c r="M30" s="40"/>
      <c r="N30" s="89"/>
      <c r="O30" s="202"/>
      <c r="P30" s="149">
        <v>0</v>
      </c>
      <c r="Q30" s="40"/>
      <c r="R30" s="89"/>
      <c r="S30" s="202"/>
      <c r="T30" s="149">
        <v>0</v>
      </c>
      <c r="U30" s="40"/>
      <c r="V30" s="89"/>
      <c r="W30" s="202"/>
      <c r="X30" s="149">
        <v>1</v>
      </c>
      <c r="Y30" s="40"/>
      <c r="Z30" s="89"/>
      <c r="AA30" s="202"/>
      <c r="AB30" s="149">
        <v>0</v>
      </c>
      <c r="AC30" s="40"/>
      <c r="AD30" s="89"/>
      <c r="AE30" s="202"/>
      <c r="AF30" s="149">
        <v>0</v>
      </c>
      <c r="AG30" s="40"/>
      <c r="AH30" s="89"/>
      <c r="AI30" s="193"/>
      <c r="AJ30" s="591"/>
      <c r="AK30" s="149">
        <v>0</v>
      </c>
      <c r="AL30" s="40"/>
      <c r="AM30" s="89"/>
      <c r="AN30" s="193"/>
    </row>
    <row r="31" spans="1:40">
      <c r="A31" s="120">
        <v>32130</v>
      </c>
      <c r="B31" s="168"/>
      <c r="C31" s="169"/>
      <c r="D31" s="11" t="s">
        <v>402</v>
      </c>
      <c r="E31" s="170">
        <v>0</v>
      </c>
      <c r="F31" s="145" t="s">
        <v>68</v>
      </c>
      <c r="G31" s="16" t="s">
        <v>393</v>
      </c>
      <c r="H31" s="14" t="s">
        <v>402</v>
      </c>
      <c r="I31" s="14" t="s">
        <v>402</v>
      </c>
      <c r="J31" s="15">
        <v>1</v>
      </c>
      <c r="K31" s="16" t="s">
        <v>522</v>
      </c>
      <c r="L31" s="149">
        <v>0</v>
      </c>
      <c r="M31" s="40"/>
      <c r="N31" s="89"/>
      <c r="O31" s="202"/>
      <c r="P31" s="149">
        <v>0</v>
      </c>
      <c r="Q31" s="40"/>
      <c r="R31" s="89"/>
      <c r="S31" s="202"/>
      <c r="T31" s="149">
        <v>0</v>
      </c>
      <c r="U31" s="40"/>
      <c r="V31" s="89"/>
      <c r="W31" s="202"/>
      <c r="X31" s="149">
        <v>0</v>
      </c>
      <c r="Y31" s="40"/>
      <c r="Z31" s="89"/>
      <c r="AA31" s="202"/>
      <c r="AB31" s="149">
        <v>1</v>
      </c>
      <c r="AC31" s="40"/>
      <c r="AD31" s="89"/>
      <c r="AE31" s="202"/>
      <c r="AF31" s="149">
        <v>0</v>
      </c>
      <c r="AG31" s="40"/>
      <c r="AH31" s="89"/>
      <c r="AI31" s="193"/>
      <c r="AJ31" s="591"/>
      <c r="AK31" s="149">
        <v>0</v>
      </c>
      <c r="AL31" s="40"/>
      <c r="AM31" s="89"/>
      <c r="AN31" s="193"/>
    </row>
    <row r="32" spans="1:40">
      <c r="A32" s="120">
        <v>32131</v>
      </c>
      <c r="B32" s="168"/>
      <c r="C32" s="169"/>
      <c r="D32" s="11" t="s">
        <v>402</v>
      </c>
      <c r="E32" s="170">
        <v>0</v>
      </c>
      <c r="F32" s="145" t="s">
        <v>69</v>
      </c>
      <c r="G32" s="16" t="s">
        <v>393</v>
      </c>
      <c r="H32" s="14" t="s">
        <v>402</v>
      </c>
      <c r="I32" s="14" t="s">
        <v>402</v>
      </c>
      <c r="J32" s="15">
        <v>1</v>
      </c>
      <c r="K32" s="16" t="s">
        <v>522</v>
      </c>
      <c r="L32" s="149">
        <v>0</v>
      </c>
      <c r="M32" s="40"/>
      <c r="N32" s="89"/>
      <c r="O32" s="202"/>
      <c r="P32" s="149">
        <v>0</v>
      </c>
      <c r="Q32" s="40"/>
      <c r="R32" s="89"/>
      <c r="S32" s="202"/>
      <c r="T32" s="149">
        <v>0</v>
      </c>
      <c r="U32" s="40"/>
      <c r="V32" s="89"/>
      <c r="W32" s="202"/>
      <c r="X32" s="149">
        <v>0</v>
      </c>
      <c r="Y32" s="40"/>
      <c r="Z32" s="89"/>
      <c r="AA32" s="202"/>
      <c r="AB32" s="149">
        <v>0</v>
      </c>
      <c r="AC32" s="40"/>
      <c r="AD32" s="89"/>
      <c r="AE32" s="202"/>
      <c r="AF32" s="149">
        <v>1</v>
      </c>
      <c r="AG32" s="40"/>
      <c r="AH32" s="89"/>
      <c r="AI32" s="193"/>
      <c r="AJ32" s="591"/>
      <c r="AK32" s="149">
        <v>0</v>
      </c>
      <c r="AL32" s="40"/>
      <c r="AM32" s="89"/>
      <c r="AN32" s="193"/>
    </row>
    <row r="33" spans="1:40" ht="24">
      <c r="A33" s="478" t="s">
        <v>813</v>
      </c>
      <c r="B33" s="168"/>
      <c r="C33" s="169"/>
      <c r="D33" s="11" t="s">
        <v>402</v>
      </c>
      <c r="E33" s="170">
        <v>0</v>
      </c>
      <c r="F33" s="145" t="s">
        <v>1427</v>
      </c>
      <c r="G33" s="16" t="s">
        <v>393</v>
      </c>
      <c r="H33" s="14" t="s">
        <v>402</v>
      </c>
      <c r="I33" s="14" t="s">
        <v>402</v>
      </c>
      <c r="J33" s="15">
        <v>1</v>
      </c>
      <c r="K33" s="16" t="s">
        <v>522</v>
      </c>
      <c r="L33" s="149">
        <v>0</v>
      </c>
      <c r="M33" s="40"/>
      <c r="N33" s="89"/>
      <c r="O33" s="202"/>
      <c r="P33" s="149">
        <v>0</v>
      </c>
      <c r="Q33" s="40"/>
      <c r="R33" s="89"/>
      <c r="S33" s="202"/>
      <c r="T33" s="149">
        <v>0</v>
      </c>
      <c r="U33" s="40"/>
      <c r="V33" s="89"/>
      <c r="W33" s="202"/>
      <c r="X33" s="149">
        <v>0</v>
      </c>
      <c r="Y33" s="40"/>
      <c r="Z33" s="89"/>
      <c r="AA33" s="202"/>
      <c r="AB33" s="149">
        <v>0</v>
      </c>
      <c r="AC33" s="40"/>
      <c r="AD33" s="89"/>
      <c r="AE33" s="202"/>
      <c r="AF33" s="149">
        <v>0</v>
      </c>
      <c r="AG33" s="40"/>
      <c r="AH33" s="89"/>
      <c r="AI33" s="193"/>
      <c r="AJ33" s="591"/>
      <c r="AK33" s="149">
        <v>1</v>
      </c>
      <c r="AL33" s="40"/>
      <c r="AM33" s="89"/>
      <c r="AN33" s="193"/>
    </row>
    <row r="49" s="7" customFormat="1"/>
    <row r="50" s="7" customFormat="1"/>
    <row r="51" s="7" customFormat="1"/>
    <row r="52" s="7" customFormat="1"/>
    <row r="53" s="7" customFormat="1"/>
    <row r="54" s="7" customFormat="1"/>
    <row r="55" s="7" customFormat="1"/>
    <row r="56" s="7" customFormat="1"/>
    <row r="57" s="7" customFormat="1"/>
    <row r="58" s="7" customFormat="1"/>
    <row r="59" s="7" customFormat="1"/>
    <row r="60" s="7" customFormat="1"/>
    <row r="61" s="7" customFormat="1"/>
    <row r="62" s="7" customFormat="1"/>
    <row r="63" s="7" customFormat="1"/>
    <row r="64" s="7" customFormat="1"/>
    <row r="65" spans="2:40">
      <c r="B65" s="7"/>
      <c r="C65" s="7"/>
      <c r="F65" s="7"/>
      <c r="M65" s="7"/>
      <c r="N65" s="7"/>
      <c r="O65" s="7"/>
      <c r="Q65" s="7"/>
      <c r="R65" s="7"/>
      <c r="S65" s="7"/>
      <c r="U65" s="7"/>
      <c r="V65" s="7"/>
      <c r="W65" s="7"/>
      <c r="Y65" s="7"/>
      <c r="Z65" s="7"/>
      <c r="AA65" s="7"/>
      <c r="AC65" s="7"/>
      <c r="AD65" s="7"/>
      <c r="AE65" s="7"/>
      <c r="AG65" s="7"/>
      <c r="AH65" s="7"/>
      <c r="AI65" s="7"/>
      <c r="AJ65" s="7"/>
      <c r="AL65" s="7"/>
      <c r="AM65" s="7"/>
      <c r="AN65" s="7"/>
    </row>
    <row r="66" spans="2:40">
      <c r="B66" s="7"/>
      <c r="C66" s="7"/>
      <c r="F66" s="7"/>
      <c r="M66" s="7"/>
      <c r="N66" s="7"/>
      <c r="O66" s="7"/>
      <c r="Q66" s="7"/>
      <c r="R66" s="7"/>
      <c r="S66" s="7"/>
      <c r="U66" s="7"/>
      <c r="V66" s="7"/>
      <c r="W66" s="7"/>
      <c r="Y66" s="7"/>
      <c r="Z66" s="7"/>
      <c r="AA66" s="7"/>
      <c r="AC66" s="7"/>
      <c r="AD66" s="7"/>
      <c r="AE66" s="7"/>
      <c r="AG66" s="7"/>
      <c r="AH66" s="7"/>
      <c r="AI66" s="7"/>
      <c r="AJ66" s="7"/>
      <c r="AL66" s="7"/>
      <c r="AM66" s="7"/>
      <c r="AN66" s="7"/>
    </row>
    <row r="68" spans="2:40">
      <c r="B68" s="7"/>
      <c r="C68" s="7"/>
      <c r="F68" s="7"/>
      <c r="M68" s="7"/>
      <c r="N68" s="7"/>
      <c r="O68" s="7"/>
      <c r="Q68" s="7"/>
      <c r="R68" s="7"/>
      <c r="S68" s="7"/>
      <c r="U68" s="7"/>
      <c r="V68" s="7"/>
      <c r="W68" s="7"/>
      <c r="Y68" s="7"/>
      <c r="Z68" s="7"/>
      <c r="AA68" s="7"/>
      <c r="AC68" s="7"/>
      <c r="AD68" s="7"/>
      <c r="AE68" s="7"/>
      <c r="AG68" s="7"/>
      <c r="AH68" s="7"/>
      <c r="AI68" s="7"/>
      <c r="AJ68" s="7"/>
      <c r="AL68" s="7"/>
      <c r="AM68" s="7"/>
      <c r="AN68" s="7"/>
    </row>
    <row r="70" spans="2:40">
      <c r="B70" s="7"/>
      <c r="C70" s="7"/>
      <c r="F70" s="7"/>
      <c r="M70" s="7"/>
      <c r="N70" s="7"/>
      <c r="O70" s="7"/>
      <c r="Q70" s="7"/>
      <c r="R70" s="7"/>
      <c r="S70" s="7"/>
      <c r="U70" s="7"/>
      <c r="V70" s="7"/>
      <c r="W70" s="7"/>
      <c r="Y70" s="7"/>
      <c r="Z70" s="7"/>
      <c r="AA70" s="7"/>
      <c r="AC70" s="7"/>
      <c r="AD70" s="7"/>
      <c r="AE70" s="7"/>
      <c r="AG70" s="7"/>
      <c r="AH70" s="7"/>
      <c r="AI70" s="7"/>
      <c r="AJ70" s="7"/>
      <c r="AL70" s="7"/>
      <c r="AM70" s="7"/>
      <c r="AN70" s="7"/>
    </row>
    <row r="71" spans="2:40">
      <c r="B71" s="7"/>
      <c r="C71" s="7"/>
      <c r="F71" s="7"/>
      <c r="M71" s="7"/>
      <c r="N71" s="7"/>
      <c r="O71" s="7"/>
      <c r="Q71" s="7"/>
      <c r="R71" s="7"/>
      <c r="S71" s="7"/>
      <c r="U71" s="7"/>
      <c r="V71" s="7"/>
      <c r="W71" s="7"/>
      <c r="Y71" s="7"/>
      <c r="Z71" s="7"/>
      <c r="AA71" s="7"/>
      <c r="AC71" s="7"/>
      <c r="AD71" s="7"/>
      <c r="AE71" s="7"/>
      <c r="AG71" s="7"/>
      <c r="AH71" s="7"/>
      <c r="AI71" s="7"/>
      <c r="AJ71" s="7"/>
      <c r="AL71" s="7"/>
      <c r="AM71" s="7"/>
      <c r="AN71" s="7"/>
    </row>
    <row r="72" spans="2:40">
      <c r="B72" s="7"/>
      <c r="C72" s="7"/>
      <c r="F72" s="7"/>
      <c r="M72" s="7"/>
      <c r="N72" s="7"/>
      <c r="O72" s="7"/>
      <c r="Q72" s="7"/>
      <c r="R72" s="7"/>
      <c r="S72" s="7"/>
      <c r="U72" s="7"/>
      <c r="V72" s="7"/>
      <c r="W72" s="7"/>
      <c r="Y72" s="7"/>
      <c r="Z72" s="7"/>
      <c r="AA72" s="7"/>
      <c r="AC72" s="7"/>
      <c r="AD72" s="7"/>
      <c r="AE72" s="7"/>
      <c r="AG72" s="7"/>
      <c r="AH72" s="7"/>
      <c r="AI72" s="7"/>
      <c r="AJ72" s="7"/>
      <c r="AL72" s="7"/>
      <c r="AM72" s="7"/>
      <c r="AN72" s="7"/>
    </row>
    <row r="73" spans="2:40">
      <c r="B73" s="7"/>
      <c r="C73" s="7"/>
      <c r="F73" s="7"/>
      <c r="M73" s="7"/>
      <c r="N73" s="7"/>
      <c r="O73" s="7"/>
      <c r="Q73" s="7"/>
      <c r="R73" s="7"/>
      <c r="S73" s="7"/>
      <c r="U73" s="7"/>
      <c r="V73" s="7"/>
      <c r="W73" s="7"/>
      <c r="Y73" s="7"/>
      <c r="Z73" s="7"/>
      <c r="AA73" s="7"/>
      <c r="AC73" s="7"/>
      <c r="AD73" s="7"/>
      <c r="AE73" s="7"/>
      <c r="AG73" s="7"/>
      <c r="AH73" s="7"/>
      <c r="AI73" s="7"/>
      <c r="AJ73" s="7"/>
      <c r="AL73" s="7"/>
      <c r="AM73" s="7"/>
      <c r="AN73" s="7"/>
    </row>
    <row r="74" spans="2:40">
      <c r="B74" s="7"/>
      <c r="C74" s="7"/>
      <c r="F74" s="7"/>
      <c r="M74" s="7"/>
      <c r="N74" s="7"/>
      <c r="O74" s="7"/>
      <c r="Q74" s="7"/>
      <c r="R74" s="7"/>
      <c r="S74" s="7"/>
      <c r="U74" s="7"/>
      <c r="V74" s="7"/>
      <c r="W74" s="7"/>
      <c r="Y74" s="7"/>
      <c r="Z74" s="7"/>
      <c r="AA74" s="7"/>
      <c r="AC74" s="7"/>
      <c r="AD74" s="7"/>
      <c r="AE74" s="7"/>
      <c r="AG74" s="7"/>
      <c r="AH74" s="7"/>
      <c r="AI74" s="7"/>
      <c r="AJ74" s="7"/>
      <c r="AL74" s="7"/>
      <c r="AM74" s="7"/>
      <c r="AN74" s="7"/>
    </row>
    <row r="75" spans="2:40">
      <c r="B75" s="7"/>
      <c r="C75" s="7"/>
      <c r="F75" s="7"/>
      <c r="M75" s="7"/>
      <c r="N75" s="7"/>
      <c r="O75" s="7"/>
      <c r="Q75" s="7"/>
      <c r="R75" s="7"/>
      <c r="S75" s="7"/>
      <c r="U75" s="7"/>
      <c r="V75" s="7"/>
      <c r="W75" s="7"/>
      <c r="Y75" s="7"/>
      <c r="Z75" s="7"/>
      <c r="AA75" s="7"/>
      <c r="AC75" s="7"/>
      <c r="AD75" s="7"/>
      <c r="AE75" s="7"/>
      <c r="AG75" s="7"/>
      <c r="AH75" s="7"/>
      <c r="AI75" s="7"/>
      <c r="AJ75" s="7"/>
      <c r="AL75" s="7"/>
      <c r="AM75" s="7"/>
      <c r="AN75" s="7"/>
    </row>
    <row r="76" spans="2:40">
      <c r="B76" s="7"/>
      <c r="C76" s="7"/>
      <c r="F76" s="7"/>
      <c r="M76" s="7"/>
      <c r="N76" s="7"/>
      <c r="O76" s="7"/>
      <c r="Q76" s="7"/>
      <c r="R76" s="7"/>
      <c r="S76" s="7"/>
      <c r="U76" s="7"/>
      <c r="V76" s="7"/>
      <c r="W76" s="7"/>
      <c r="Y76" s="7"/>
      <c r="Z76" s="7"/>
      <c r="AA76" s="7"/>
      <c r="AC76" s="7"/>
      <c r="AD76" s="7"/>
      <c r="AE76" s="7"/>
      <c r="AG76" s="7"/>
      <c r="AH76" s="7"/>
      <c r="AI76" s="7"/>
      <c r="AJ76" s="7"/>
      <c r="AL76" s="7"/>
      <c r="AM76" s="7"/>
      <c r="AN76" s="7"/>
    </row>
  </sheetData>
  <phoneticPr fontId="0" type="noConversion"/>
  <pageMargins left="0.78740157499999996" right="0.78740157499999996" top="0.984251969" bottom="0.984251969" header="0.4921259845" footer="0.4921259845"/>
  <pageSetup paperSize="9" scale="81"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5"/>
  <dimension ref="A1:DM57"/>
  <sheetViews>
    <sheetView zoomScale="75" zoomScaleNormal="100" workbookViewId="0">
      <pane xSplit="11" ySplit="6" topLeftCell="L13" activePane="bottomRight" state="frozen"/>
      <selection activeCell="O46" sqref="O46"/>
      <selection pane="topRight" activeCell="O46" sqref="O46"/>
      <selection pane="bottomLeft" activeCell="O46" sqref="O46"/>
      <selection pane="bottomRight" activeCell="O46" sqref="O46"/>
    </sheetView>
  </sheetViews>
  <sheetFormatPr defaultColWidth="11.42578125" defaultRowHeight="12.75" outlineLevelCol="1"/>
  <cols>
    <col min="1" max="1" width="6.42578125" style="519" customWidth="1"/>
    <col min="2" max="2" width="15.28515625" style="520" bestFit="1" customWidth="1"/>
    <col min="3" max="3" width="4.140625" style="521" hidden="1" customWidth="1" outlineLevel="1"/>
    <col min="4" max="5" width="5.140625" style="519" hidden="1" customWidth="1" outlineLevel="1"/>
    <col min="6" max="6" width="57.140625" style="519" bestFit="1" customWidth="1" collapsed="1"/>
    <col min="7" max="7" width="5.140625" style="519" bestFit="1" customWidth="1"/>
    <col min="8" max="8" width="5.42578125" style="519" hidden="1" customWidth="1" outlineLevel="1"/>
    <col min="9" max="9" width="10.28515625" style="519" hidden="1" customWidth="1" outlineLevel="1"/>
    <col min="10" max="10" width="5.7109375" style="519" bestFit="1" customWidth="1" collapsed="1"/>
    <col min="11" max="11" width="5.140625" style="519" customWidth="1"/>
    <col min="12" max="12" width="14" style="519" customWidth="1"/>
    <col min="13" max="13" width="3.5703125" style="318" hidden="1" customWidth="1" outlineLevel="1"/>
    <col min="14" max="14" width="6.5703125" style="318" hidden="1" customWidth="1" outlineLevel="1"/>
    <col min="15" max="15" width="30.42578125" style="318" hidden="1" customWidth="1" outlineLevel="1"/>
    <col min="16" max="16" width="14" style="519" customWidth="1" collapsed="1"/>
    <col min="17" max="17" width="3.5703125" style="318" hidden="1" customWidth="1" outlineLevel="1"/>
    <col min="18" max="18" width="6.5703125" style="318" hidden="1" customWidth="1" outlineLevel="1"/>
    <col min="19" max="19" width="30.42578125" style="318" hidden="1" customWidth="1" outlineLevel="1"/>
    <col min="20" max="20" width="14" style="519" customWidth="1" collapsed="1"/>
    <col min="21" max="21" width="3.5703125" style="318" customWidth="1" outlineLevel="1"/>
    <col min="22" max="22" width="6.5703125" style="318" customWidth="1" outlineLevel="1"/>
    <col min="23" max="23" width="30.42578125" style="318" customWidth="1" outlineLevel="1"/>
    <col min="24" max="43" width="11.42578125" style="527"/>
    <col min="44" max="44" width="5.140625" style="527" bestFit="1" customWidth="1"/>
    <col min="45" max="45" width="15.28515625" style="527" bestFit="1" customWidth="1"/>
    <col min="46" max="46" width="6.5703125" style="527" hidden="1" customWidth="1"/>
    <col min="47" max="48" width="15" style="527" hidden="1" customWidth="1"/>
    <col min="49" max="49" width="57.140625" style="527" bestFit="1" customWidth="1"/>
    <col min="50" max="50" width="5.140625" style="527" bestFit="1" customWidth="1"/>
    <col min="51" max="51" width="0" style="527" hidden="1" customWidth="1"/>
    <col min="52" max="52" width="3.5703125" style="527" hidden="1" customWidth="1"/>
    <col min="53" max="53" width="5.7109375" style="527" bestFit="1" customWidth="1"/>
    <col min="54" max="54" width="5.140625" style="527" customWidth="1"/>
    <col min="55" max="55" width="14" style="527" customWidth="1"/>
    <col min="56" max="56" width="15" style="527" hidden="1" customWidth="1"/>
    <col min="57" max="57" width="30.42578125" style="527" hidden="1" customWidth="1"/>
    <col min="58" max="58" width="0" style="527" hidden="1" customWidth="1"/>
    <col min="59" max="59" width="3.5703125" style="527" hidden="1" customWidth="1"/>
    <col min="60" max="60" width="6.5703125" style="527" hidden="1" customWidth="1"/>
    <col min="61" max="61" width="15" style="527" hidden="1" customWidth="1"/>
    <col min="62" max="62" width="14" style="527" customWidth="1"/>
    <col min="63" max="63" width="15" style="527" hidden="1" customWidth="1"/>
    <col min="64" max="64" width="30.42578125" style="527" hidden="1" customWidth="1"/>
    <col min="65" max="65" width="0" style="527" hidden="1" customWidth="1"/>
    <col min="66" max="66" width="3.5703125" style="527" hidden="1" customWidth="1"/>
    <col min="67" max="67" width="6.5703125" style="527" hidden="1" customWidth="1"/>
    <col min="68" max="68" width="15" style="527" hidden="1" customWidth="1"/>
    <col min="69" max="69" width="14" style="527" customWidth="1"/>
    <col min="70" max="70" width="15" style="527" hidden="1" customWidth="1"/>
    <col min="71" max="71" width="30.42578125" style="527" hidden="1" customWidth="1"/>
    <col min="72" max="72" width="0" style="527" hidden="1" customWidth="1"/>
    <col min="73" max="73" width="3.5703125" style="527" hidden="1" customWidth="1"/>
    <col min="74" max="74" width="6.5703125" style="527" hidden="1" customWidth="1"/>
    <col min="75" max="75" width="15" style="527" hidden="1" customWidth="1"/>
    <col min="76" max="76" width="14" style="527" customWidth="1"/>
    <col min="77" max="77" width="15" style="527" hidden="1" customWidth="1"/>
    <col min="78" max="78" width="30.42578125" style="527" hidden="1" customWidth="1"/>
    <col min="79" max="79" width="0" style="527" hidden="1" customWidth="1"/>
    <col min="80" max="80" width="3.5703125" style="527" hidden="1" customWidth="1"/>
    <col min="81" max="81" width="6.5703125" style="527" hidden="1" customWidth="1"/>
    <col min="82" max="82" width="15" style="527" hidden="1" customWidth="1"/>
    <col min="83" max="83" width="14" style="527" customWidth="1"/>
    <col min="84" max="84" width="15" style="527" hidden="1" customWidth="1"/>
    <col min="85" max="85" width="30.42578125" style="516" hidden="1" customWidth="1"/>
    <col min="86" max="86" width="0" style="516" hidden="1" customWidth="1"/>
    <col min="87" max="87" width="15" style="516" hidden="1" customWidth="1"/>
    <col min="88" max="88" width="30.42578125" style="516" hidden="1" customWidth="1"/>
    <col min="89" max="89" width="0" style="516" hidden="1" customWidth="1"/>
    <col min="90" max="90" width="14" style="516" customWidth="1"/>
    <col min="91" max="91" width="30.42578125" style="516" hidden="1" customWidth="1"/>
    <col min="92" max="92" width="0" style="516" hidden="1" customWidth="1"/>
    <col min="93" max="93" width="15" style="516" hidden="1" customWidth="1"/>
    <col min="94" max="95" width="30.42578125" style="516" hidden="1" customWidth="1"/>
    <col min="96" max="96" width="6.5703125" style="516" hidden="1" customWidth="1"/>
    <col min="97" max="97" width="14" style="516" customWidth="1"/>
    <col min="98" max="98" width="0" style="516" hidden="1" customWidth="1"/>
    <col min="99" max="99" width="15" style="516" hidden="1" customWidth="1"/>
    <col min="100" max="100" width="30.42578125" style="516" hidden="1" customWidth="1"/>
    <col min="101" max="101" width="0" style="516" hidden="1" customWidth="1"/>
    <col min="102" max="102" width="3.5703125" style="516" hidden="1" customWidth="1"/>
    <col min="103" max="103" width="6.5703125" style="516" hidden="1" customWidth="1"/>
    <col min="104" max="104" width="14" style="516" customWidth="1"/>
    <col min="105" max="105" width="0" style="516" hidden="1" customWidth="1"/>
    <col min="106" max="106" width="15" style="516" hidden="1" customWidth="1"/>
    <col min="107" max="107" width="30.42578125" style="516" hidden="1" customWidth="1"/>
    <col min="108" max="108" width="0" style="516" hidden="1" customWidth="1"/>
    <col min="109" max="109" width="15" style="516" hidden="1" customWidth="1"/>
    <col min="110" max="110" width="30.42578125" style="516" hidden="1" customWidth="1"/>
    <col min="111" max="111" width="14" style="516" customWidth="1"/>
    <col min="112" max="112" width="0" style="516" hidden="1" customWidth="1"/>
    <col min="113" max="113" width="30.42578125" style="516" hidden="1" customWidth="1"/>
    <col min="114" max="114" width="0" style="516" hidden="1" customWidth="1"/>
    <col min="115" max="115" width="15" style="516" hidden="1" customWidth="1"/>
    <col min="116" max="117" width="30.42578125" style="516" hidden="1" customWidth="1"/>
    <col min="118" max="118" width="14" style="516" customWidth="1"/>
    <col min="119" max="124" width="0" style="516" hidden="1" customWidth="1"/>
    <col min="125" max="125" width="14" style="516" customWidth="1"/>
    <col min="126" max="131" width="0" style="516" hidden="1" customWidth="1"/>
    <col min="132" max="132" width="14" style="516" customWidth="1"/>
    <col min="133" max="138" width="0" style="516" hidden="1" customWidth="1"/>
    <col min="139" max="139" width="14" style="516" customWidth="1"/>
    <col min="140" max="145" width="0" style="516" hidden="1" customWidth="1"/>
    <col min="146" max="146" width="14" style="516" customWidth="1"/>
    <col min="147" max="152" width="0" style="516" hidden="1" customWidth="1"/>
    <col min="153" max="153" width="14" style="516" customWidth="1"/>
    <col min="154" max="159" width="0" style="516" hidden="1" customWidth="1"/>
    <col min="160" max="160" width="14" style="516" customWidth="1"/>
    <col min="161" max="299" width="11.42578125" style="516"/>
    <col min="300" max="300" width="5.140625" style="516" bestFit="1" customWidth="1"/>
    <col min="301" max="301" width="15.28515625" style="516" bestFit="1" customWidth="1"/>
    <col min="302" max="304" width="0" style="516" hidden="1" customWidth="1"/>
    <col min="305" max="305" width="57.140625" style="516" bestFit="1" customWidth="1"/>
    <col min="306" max="306" width="5.140625" style="516" bestFit="1" customWidth="1"/>
    <col min="307" max="308" width="0" style="516" hidden="1" customWidth="1"/>
    <col min="309" max="309" width="5.7109375" style="516" bestFit="1" customWidth="1"/>
    <col min="310" max="310" width="5.140625" style="516" customWidth="1"/>
    <col min="311" max="311" width="14" style="516" customWidth="1"/>
    <col min="312" max="317" width="0" style="516" hidden="1" customWidth="1"/>
    <col min="318" max="318" width="14" style="516" customWidth="1"/>
    <col min="319" max="324" width="0" style="516" hidden="1" customWidth="1"/>
    <col min="325" max="325" width="14" style="516" customWidth="1"/>
    <col min="326" max="331" width="0" style="516" hidden="1" customWidth="1"/>
    <col min="332" max="332" width="14" style="516" customWidth="1"/>
    <col min="333" max="338" width="0" style="516" hidden="1" customWidth="1"/>
    <col min="339" max="339" width="14" style="516" customWidth="1"/>
    <col min="340" max="345" width="0" style="516" hidden="1" customWidth="1"/>
    <col min="346" max="346" width="14" style="516" customWidth="1"/>
    <col min="347" max="352" width="0" style="516" hidden="1" customWidth="1"/>
    <col min="353" max="353" width="14" style="516" customWidth="1"/>
    <col min="354" max="359" width="0" style="516" hidden="1" customWidth="1"/>
    <col min="360" max="360" width="14" style="516" customWidth="1"/>
    <col min="361" max="366" width="0" style="516" hidden="1" customWidth="1"/>
    <col min="367" max="367" width="14" style="516" customWidth="1"/>
    <col min="368" max="373" width="0" style="516" hidden="1" customWidth="1"/>
    <col min="374" max="374" width="14" style="516" customWidth="1"/>
    <col min="375" max="380" width="0" style="516" hidden="1" customWidth="1"/>
    <col min="381" max="381" width="14" style="516" customWidth="1"/>
    <col min="382" max="387" width="0" style="516" hidden="1" customWidth="1"/>
    <col min="388" max="388" width="14" style="516" customWidth="1"/>
    <col min="389" max="394" width="0" style="516" hidden="1" customWidth="1"/>
    <col min="395" max="395" width="14" style="516" customWidth="1"/>
    <col min="396" max="401" width="0" style="516" hidden="1" customWidth="1"/>
    <col min="402" max="402" width="14" style="516" customWidth="1"/>
    <col min="403" max="408" width="0" style="516" hidden="1" customWidth="1"/>
    <col min="409" max="409" width="14" style="516" customWidth="1"/>
    <col min="410" max="415" width="0" style="516" hidden="1" customWidth="1"/>
    <col min="416" max="416" width="14" style="516" customWidth="1"/>
    <col min="417" max="555" width="11.42578125" style="516"/>
    <col min="556" max="556" width="5.140625" style="516" bestFit="1" customWidth="1"/>
    <col min="557" max="557" width="15.28515625" style="516" bestFit="1" customWidth="1"/>
    <col min="558" max="560" width="0" style="516" hidden="1" customWidth="1"/>
    <col min="561" max="561" width="57.140625" style="516" bestFit="1" customWidth="1"/>
    <col min="562" max="562" width="5.140625" style="516" bestFit="1" customWidth="1"/>
    <col min="563" max="564" width="0" style="516" hidden="1" customWidth="1"/>
    <col min="565" max="565" width="5.7109375" style="516" bestFit="1" customWidth="1"/>
    <col min="566" max="566" width="5.140625" style="516" customWidth="1"/>
    <col min="567" max="567" width="14" style="516" customWidth="1"/>
    <col min="568" max="573" width="0" style="516" hidden="1" customWidth="1"/>
    <col min="574" max="574" width="14" style="516" customWidth="1"/>
    <col min="575" max="580" width="0" style="516" hidden="1" customWidth="1"/>
    <col min="581" max="581" width="14" style="516" customWidth="1"/>
    <col min="582" max="587" width="0" style="516" hidden="1" customWidth="1"/>
    <col min="588" max="588" width="14" style="516" customWidth="1"/>
    <col min="589" max="594" width="0" style="516" hidden="1" customWidth="1"/>
    <col min="595" max="595" width="14" style="516" customWidth="1"/>
    <col min="596" max="601" width="0" style="516" hidden="1" customWidth="1"/>
    <col min="602" max="602" width="14" style="516" customWidth="1"/>
    <col min="603" max="608" width="0" style="516" hidden="1" customWidth="1"/>
    <col min="609" max="609" width="14" style="516" customWidth="1"/>
    <col min="610" max="615" width="0" style="516" hidden="1" customWidth="1"/>
    <col min="616" max="616" width="14" style="516" customWidth="1"/>
    <col min="617" max="622" width="0" style="516" hidden="1" customWidth="1"/>
    <col min="623" max="623" width="14" style="516" customWidth="1"/>
    <col min="624" max="629" width="0" style="516" hidden="1" customWidth="1"/>
    <col min="630" max="630" width="14" style="516" customWidth="1"/>
    <col min="631" max="636" width="0" style="516" hidden="1" customWidth="1"/>
    <col min="637" max="637" width="14" style="516" customWidth="1"/>
    <col min="638" max="643" width="0" style="516" hidden="1" customWidth="1"/>
    <col min="644" max="644" width="14" style="516" customWidth="1"/>
    <col min="645" max="650" width="0" style="516" hidden="1" customWidth="1"/>
    <col min="651" max="651" width="14" style="516" customWidth="1"/>
    <col min="652" max="657" width="0" style="516" hidden="1" customWidth="1"/>
    <col min="658" max="658" width="14" style="516" customWidth="1"/>
    <col min="659" max="664" width="0" style="516" hidden="1" customWidth="1"/>
    <col min="665" max="665" width="14" style="516" customWidth="1"/>
    <col min="666" max="671" width="0" style="516" hidden="1" customWidth="1"/>
    <col min="672" max="672" width="14" style="516" customWidth="1"/>
    <col min="673" max="811" width="11.42578125" style="516"/>
    <col min="812" max="812" width="5.140625" style="516" bestFit="1" customWidth="1"/>
    <col min="813" max="813" width="15.28515625" style="516" bestFit="1" customWidth="1"/>
    <col min="814" max="816" width="0" style="516" hidden="1" customWidth="1"/>
    <col min="817" max="817" width="57.140625" style="516" bestFit="1" customWidth="1"/>
    <col min="818" max="818" width="5.140625" style="516" bestFit="1" customWidth="1"/>
    <col min="819" max="820" width="0" style="516" hidden="1" customWidth="1"/>
    <col min="821" max="821" width="5.7109375" style="516" bestFit="1" customWidth="1"/>
    <col min="822" max="822" width="5.140625" style="516" customWidth="1"/>
    <col min="823" max="823" width="14" style="516" customWidth="1"/>
    <col min="824" max="829" width="0" style="516" hidden="1" customWidth="1"/>
    <col min="830" max="830" width="14" style="516" customWidth="1"/>
    <col min="831" max="836" width="0" style="516" hidden="1" customWidth="1"/>
    <col min="837" max="837" width="14" style="516" customWidth="1"/>
    <col min="838" max="843" width="0" style="516" hidden="1" customWidth="1"/>
    <col min="844" max="844" width="14" style="516" customWidth="1"/>
    <col min="845" max="850" width="0" style="516" hidden="1" customWidth="1"/>
    <col min="851" max="851" width="14" style="516" customWidth="1"/>
    <col min="852" max="857" width="0" style="516" hidden="1" customWidth="1"/>
    <col min="858" max="858" width="14" style="516" customWidth="1"/>
    <col min="859" max="864" width="0" style="516" hidden="1" customWidth="1"/>
    <col min="865" max="865" width="14" style="516" customWidth="1"/>
    <col min="866" max="871" width="0" style="516" hidden="1" customWidth="1"/>
    <col min="872" max="872" width="14" style="516" customWidth="1"/>
    <col min="873" max="878" width="0" style="516" hidden="1" customWidth="1"/>
    <col min="879" max="879" width="14" style="516" customWidth="1"/>
    <col min="880" max="885" width="0" style="516" hidden="1" customWidth="1"/>
    <col min="886" max="886" width="14" style="516" customWidth="1"/>
    <col min="887" max="892" width="0" style="516" hidden="1" customWidth="1"/>
    <col min="893" max="893" width="14" style="516" customWidth="1"/>
    <col min="894" max="899" width="0" style="516" hidden="1" customWidth="1"/>
    <col min="900" max="900" width="14" style="516" customWidth="1"/>
    <col min="901" max="906" width="0" style="516" hidden="1" customWidth="1"/>
    <col min="907" max="907" width="14" style="516" customWidth="1"/>
    <col min="908" max="913" width="0" style="516" hidden="1" customWidth="1"/>
    <col min="914" max="914" width="14" style="516" customWidth="1"/>
    <col min="915" max="920" width="0" style="516" hidden="1" customWidth="1"/>
    <col min="921" max="921" width="14" style="516" customWidth="1"/>
    <col min="922" max="927" width="0" style="516" hidden="1" customWidth="1"/>
    <col min="928" max="928" width="14" style="516" customWidth="1"/>
    <col min="929" max="1067" width="11.42578125" style="516"/>
    <col min="1068" max="1068" width="5.140625" style="516" bestFit="1" customWidth="1"/>
    <col min="1069" max="1069" width="15.28515625" style="516" bestFit="1" customWidth="1"/>
    <col min="1070" max="1072" width="0" style="516" hidden="1" customWidth="1"/>
    <col min="1073" max="1073" width="57.140625" style="516" bestFit="1" customWidth="1"/>
    <col min="1074" max="1074" width="5.140625" style="516" bestFit="1" customWidth="1"/>
    <col min="1075" max="1076" width="0" style="516" hidden="1" customWidth="1"/>
    <col min="1077" max="1077" width="5.7109375" style="516" bestFit="1" customWidth="1"/>
    <col min="1078" max="1078" width="5.140625" style="516" customWidth="1"/>
    <col min="1079" max="1079" width="14" style="516" customWidth="1"/>
    <col min="1080" max="1085" width="0" style="516" hidden="1" customWidth="1"/>
    <col min="1086" max="1086" width="14" style="516" customWidth="1"/>
    <col min="1087" max="1092" width="0" style="516" hidden="1" customWidth="1"/>
    <col min="1093" max="1093" width="14" style="516" customWidth="1"/>
    <col min="1094" max="1099" width="0" style="516" hidden="1" customWidth="1"/>
    <col min="1100" max="1100" width="14" style="516" customWidth="1"/>
    <col min="1101" max="1106" width="0" style="516" hidden="1" customWidth="1"/>
    <col min="1107" max="1107" width="14" style="516" customWidth="1"/>
    <col min="1108" max="1113" width="0" style="516" hidden="1" customWidth="1"/>
    <col min="1114" max="1114" width="14" style="516" customWidth="1"/>
    <col min="1115" max="1120" width="0" style="516" hidden="1" customWidth="1"/>
    <col min="1121" max="1121" width="14" style="516" customWidth="1"/>
    <col min="1122" max="1127" width="0" style="516" hidden="1" customWidth="1"/>
    <col min="1128" max="1128" width="14" style="516" customWidth="1"/>
    <col min="1129" max="1134" width="0" style="516" hidden="1" customWidth="1"/>
    <col min="1135" max="1135" width="14" style="516" customWidth="1"/>
    <col min="1136" max="1141" width="0" style="516" hidden="1" customWidth="1"/>
    <col min="1142" max="1142" width="14" style="516" customWidth="1"/>
    <col min="1143" max="1148" width="0" style="516" hidden="1" customWidth="1"/>
    <col min="1149" max="1149" width="14" style="516" customWidth="1"/>
    <col min="1150" max="1155" width="0" style="516" hidden="1" customWidth="1"/>
    <col min="1156" max="1156" width="14" style="516" customWidth="1"/>
    <col min="1157" max="1162" width="0" style="516" hidden="1" customWidth="1"/>
    <col min="1163" max="1163" width="14" style="516" customWidth="1"/>
    <col min="1164" max="1169" width="0" style="516" hidden="1" customWidth="1"/>
    <col min="1170" max="1170" width="14" style="516" customWidth="1"/>
    <col min="1171" max="1176" width="0" style="516" hidden="1" customWidth="1"/>
    <col min="1177" max="1177" width="14" style="516" customWidth="1"/>
    <col min="1178" max="1183" width="0" style="516" hidden="1" customWidth="1"/>
    <col min="1184" max="1184" width="14" style="516" customWidth="1"/>
    <col min="1185" max="1323" width="11.42578125" style="516"/>
    <col min="1324" max="1324" width="5.140625" style="516" bestFit="1" customWidth="1"/>
    <col min="1325" max="1325" width="15.28515625" style="516" bestFit="1" customWidth="1"/>
    <col min="1326" max="1328" width="0" style="516" hidden="1" customWidth="1"/>
    <col min="1329" max="1329" width="57.140625" style="516" bestFit="1" customWidth="1"/>
    <col min="1330" max="1330" width="5.140625" style="516" bestFit="1" customWidth="1"/>
    <col min="1331" max="1332" width="0" style="516" hidden="1" customWidth="1"/>
    <col min="1333" max="1333" width="5.7109375" style="516" bestFit="1" customWidth="1"/>
    <col min="1334" max="1334" width="5.140625" style="516" customWidth="1"/>
    <col min="1335" max="1335" width="14" style="516" customWidth="1"/>
    <col min="1336" max="1341" width="0" style="516" hidden="1" customWidth="1"/>
    <col min="1342" max="1342" width="14" style="516" customWidth="1"/>
    <col min="1343" max="1348" width="0" style="516" hidden="1" customWidth="1"/>
    <col min="1349" max="1349" width="14" style="516" customWidth="1"/>
    <col min="1350" max="1355" width="0" style="516" hidden="1" customWidth="1"/>
    <col min="1356" max="1356" width="14" style="516" customWidth="1"/>
    <col min="1357" max="1362" width="0" style="516" hidden="1" customWidth="1"/>
    <col min="1363" max="1363" width="14" style="516" customWidth="1"/>
    <col min="1364" max="1369" width="0" style="516" hidden="1" customWidth="1"/>
    <col min="1370" max="1370" width="14" style="516" customWidth="1"/>
    <col min="1371" max="1376" width="0" style="516" hidden="1" customWidth="1"/>
    <col min="1377" max="1377" width="14" style="516" customWidth="1"/>
    <col min="1378" max="1383" width="0" style="516" hidden="1" customWidth="1"/>
    <col min="1384" max="1384" width="14" style="516" customWidth="1"/>
    <col min="1385" max="1390" width="0" style="516" hidden="1" customWidth="1"/>
    <col min="1391" max="1391" width="14" style="516" customWidth="1"/>
    <col min="1392" max="1397" width="0" style="516" hidden="1" customWidth="1"/>
    <col min="1398" max="1398" width="14" style="516" customWidth="1"/>
    <col min="1399" max="1404" width="0" style="516" hidden="1" customWidth="1"/>
    <col min="1405" max="1405" width="14" style="516" customWidth="1"/>
    <col min="1406" max="1411" width="0" style="516" hidden="1" customWidth="1"/>
    <col min="1412" max="1412" width="14" style="516" customWidth="1"/>
    <col min="1413" max="1418" width="0" style="516" hidden="1" customWidth="1"/>
    <col min="1419" max="1419" width="14" style="516" customWidth="1"/>
    <col min="1420" max="1425" width="0" style="516" hidden="1" customWidth="1"/>
    <col min="1426" max="1426" width="14" style="516" customWidth="1"/>
    <col min="1427" max="1432" width="0" style="516" hidden="1" customWidth="1"/>
    <col min="1433" max="1433" width="14" style="516" customWidth="1"/>
    <col min="1434" max="1439" width="0" style="516" hidden="1" customWidth="1"/>
    <col min="1440" max="1440" width="14" style="516" customWidth="1"/>
    <col min="1441" max="1579" width="11.42578125" style="516"/>
    <col min="1580" max="1580" width="5.140625" style="516" bestFit="1" customWidth="1"/>
    <col min="1581" max="1581" width="15.28515625" style="516" bestFit="1" customWidth="1"/>
    <col min="1582" max="1584" width="0" style="516" hidden="1" customWidth="1"/>
    <col min="1585" max="1585" width="57.140625" style="516" bestFit="1" customWidth="1"/>
    <col min="1586" max="1586" width="5.140625" style="516" bestFit="1" customWidth="1"/>
    <col min="1587" max="1588" width="0" style="516" hidden="1" customWidth="1"/>
    <col min="1589" max="1589" width="5.7109375" style="516" bestFit="1" customWidth="1"/>
    <col min="1590" max="1590" width="5.140625" style="516" customWidth="1"/>
    <col min="1591" max="1591" width="14" style="516" customWidth="1"/>
    <col min="1592" max="1597" width="0" style="516" hidden="1" customWidth="1"/>
    <col min="1598" max="1598" width="14" style="516" customWidth="1"/>
    <col min="1599" max="1604" width="0" style="516" hidden="1" customWidth="1"/>
    <col min="1605" max="1605" width="14" style="516" customWidth="1"/>
    <col min="1606" max="1611" width="0" style="516" hidden="1" customWidth="1"/>
    <col min="1612" max="1612" width="14" style="516" customWidth="1"/>
    <col min="1613" max="1618" width="0" style="516" hidden="1" customWidth="1"/>
    <col min="1619" max="1619" width="14" style="516" customWidth="1"/>
    <col min="1620" max="1625" width="0" style="516" hidden="1" customWidth="1"/>
    <col min="1626" max="1626" width="14" style="516" customWidth="1"/>
    <col min="1627" max="1632" width="0" style="516" hidden="1" customWidth="1"/>
    <col min="1633" max="1633" width="14" style="516" customWidth="1"/>
    <col min="1634" max="1639" width="0" style="516" hidden="1" customWidth="1"/>
    <col min="1640" max="1640" width="14" style="516" customWidth="1"/>
    <col min="1641" max="1646" width="0" style="516" hidden="1" customWidth="1"/>
    <col min="1647" max="1647" width="14" style="516" customWidth="1"/>
    <col min="1648" max="1653" width="0" style="516" hidden="1" customWidth="1"/>
    <col min="1654" max="1654" width="14" style="516" customWidth="1"/>
    <col min="1655" max="1660" width="0" style="516" hidden="1" customWidth="1"/>
    <col min="1661" max="1661" width="14" style="516" customWidth="1"/>
    <col min="1662" max="1667" width="0" style="516" hidden="1" customWidth="1"/>
    <col min="1668" max="1668" width="14" style="516" customWidth="1"/>
    <col min="1669" max="1674" width="0" style="516" hidden="1" customWidth="1"/>
    <col min="1675" max="1675" width="14" style="516" customWidth="1"/>
    <col min="1676" max="1681" width="0" style="516" hidden="1" customWidth="1"/>
    <col min="1682" max="1682" width="14" style="516" customWidth="1"/>
    <col min="1683" max="1688" width="0" style="516" hidden="1" customWidth="1"/>
    <col min="1689" max="1689" width="14" style="516" customWidth="1"/>
    <col min="1690" max="1695" width="0" style="516" hidden="1" customWidth="1"/>
    <col min="1696" max="1696" width="14" style="516" customWidth="1"/>
    <col min="1697" max="1835" width="11.42578125" style="516"/>
    <col min="1836" max="1836" width="5.140625" style="516" bestFit="1" customWidth="1"/>
    <col min="1837" max="1837" width="15.28515625" style="516" bestFit="1" customWidth="1"/>
    <col min="1838" max="1840" width="0" style="516" hidden="1" customWidth="1"/>
    <col min="1841" max="1841" width="57.140625" style="516" bestFit="1" customWidth="1"/>
    <col min="1842" max="1842" width="5.140625" style="516" bestFit="1" customWidth="1"/>
    <col min="1843" max="1844" width="0" style="516" hidden="1" customWidth="1"/>
    <col min="1845" max="1845" width="5.7109375" style="516" bestFit="1" customWidth="1"/>
    <col min="1846" max="1846" width="5.140625" style="516" customWidth="1"/>
    <col min="1847" max="1847" width="14" style="516" customWidth="1"/>
    <col min="1848" max="1853" width="0" style="516" hidden="1" customWidth="1"/>
    <col min="1854" max="1854" width="14" style="516" customWidth="1"/>
    <col min="1855" max="1860" width="0" style="516" hidden="1" customWidth="1"/>
    <col min="1861" max="1861" width="14" style="516" customWidth="1"/>
    <col min="1862" max="1867" width="0" style="516" hidden="1" customWidth="1"/>
    <col min="1868" max="1868" width="14" style="516" customWidth="1"/>
    <col min="1869" max="1874" width="0" style="516" hidden="1" customWidth="1"/>
    <col min="1875" max="1875" width="14" style="516" customWidth="1"/>
    <col min="1876" max="1881" width="0" style="516" hidden="1" customWidth="1"/>
    <col min="1882" max="1882" width="14" style="516" customWidth="1"/>
    <col min="1883" max="1888" width="0" style="516" hidden="1" customWidth="1"/>
    <col min="1889" max="1889" width="14" style="516" customWidth="1"/>
    <col min="1890" max="1895" width="0" style="516" hidden="1" customWidth="1"/>
    <col min="1896" max="1896" width="14" style="516" customWidth="1"/>
    <col min="1897" max="1902" width="0" style="516" hidden="1" customWidth="1"/>
    <col min="1903" max="1903" width="14" style="516" customWidth="1"/>
    <col min="1904" max="1909" width="0" style="516" hidden="1" customWidth="1"/>
    <col min="1910" max="1910" width="14" style="516" customWidth="1"/>
    <col min="1911" max="1916" width="0" style="516" hidden="1" customWidth="1"/>
    <col min="1917" max="1917" width="14" style="516" customWidth="1"/>
    <col min="1918" max="1923" width="0" style="516" hidden="1" customWidth="1"/>
    <col min="1924" max="1924" width="14" style="516" customWidth="1"/>
    <col min="1925" max="1930" width="0" style="516" hidden="1" customWidth="1"/>
    <col min="1931" max="1931" width="14" style="516" customWidth="1"/>
    <col min="1932" max="1937" width="0" style="516" hidden="1" customWidth="1"/>
    <col min="1938" max="1938" width="14" style="516" customWidth="1"/>
    <col min="1939" max="1944" width="0" style="516" hidden="1" customWidth="1"/>
    <col min="1945" max="1945" width="14" style="516" customWidth="1"/>
    <col min="1946" max="1951" width="0" style="516" hidden="1" customWidth="1"/>
    <col min="1952" max="1952" width="14" style="516" customWidth="1"/>
    <col min="1953" max="2091" width="11.42578125" style="516"/>
    <col min="2092" max="2092" width="5.140625" style="516" bestFit="1" customWidth="1"/>
    <col min="2093" max="2093" width="15.28515625" style="516" bestFit="1" customWidth="1"/>
    <col min="2094" max="2096" width="0" style="516" hidden="1" customWidth="1"/>
    <col min="2097" max="2097" width="57.140625" style="516" bestFit="1" customWidth="1"/>
    <col min="2098" max="2098" width="5.140625" style="516" bestFit="1" customWidth="1"/>
    <col min="2099" max="2100" width="0" style="516" hidden="1" customWidth="1"/>
    <col min="2101" max="2101" width="5.7109375" style="516" bestFit="1" customWidth="1"/>
    <col min="2102" max="2102" width="5.140625" style="516" customWidth="1"/>
    <col min="2103" max="2103" width="14" style="516" customWidth="1"/>
    <col min="2104" max="2109" width="0" style="516" hidden="1" customWidth="1"/>
    <col min="2110" max="2110" width="14" style="516" customWidth="1"/>
    <col min="2111" max="2116" width="0" style="516" hidden="1" customWidth="1"/>
    <col min="2117" max="2117" width="14" style="516" customWidth="1"/>
    <col min="2118" max="2123" width="0" style="516" hidden="1" customWidth="1"/>
    <col min="2124" max="2124" width="14" style="516" customWidth="1"/>
    <col min="2125" max="2130" width="0" style="516" hidden="1" customWidth="1"/>
    <col min="2131" max="2131" width="14" style="516" customWidth="1"/>
    <col min="2132" max="2137" width="0" style="516" hidden="1" customWidth="1"/>
    <col min="2138" max="2138" width="14" style="516" customWidth="1"/>
    <col min="2139" max="2144" width="0" style="516" hidden="1" customWidth="1"/>
    <col min="2145" max="2145" width="14" style="516" customWidth="1"/>
    <col min="2146" max="2151" width="0" style="516" hidden="1" customWidth="1"/>
    <col min="2152" max="2152" width="14" style="516" customWidth="1"/>
    <col min="2153" max="2158" width="0" style="516" hidden="1" customWidth="1"/>
    <col min="2159" max="2159" width="14" style="516" customWidth="1"/>
    <col min="2160" max="2165" width="0" style="516" hidden="1" customWidth="1"/>
    <col min="2166" max="2166" width="14" style="516" customWidth="1"/>
    <col min="2167" max="2172" width="0" style="516" hidden="1" customWidth="1"/>
    <col min="2173" max="2173" width="14" style="516" customWidth="1"/>
    <col min="2174" max="2179" width="0" style="516" hidden="1" customWidth="1"/>
    <col min="2180" max="2180" width="14" style="516" customWidth="1"/>
    <col min="2181" max="2186" width="0" style="516" hidden="1" customWidth="1"/>
    <col min="2187" max="2187" width="14" style="516" customWidth="1"/>
    <col min="2188" max="2193" width="0" style="516" hidden="1" customWidth="1"/>
    <col min="2194" max="2194" width="14" style="516" customWidth="1"/>
    <col min="2195" max="2200" width="0" style="516" hidden="1" customWidth="1"/>
    <col min="2201" max="2201" width="14" style="516" customWidth="1"/>
    <col min="2202" max="2207" width="0" style="516" hidden="1" customWidth="1"/>
    <col min="2208" max="2208" width="14" style="516" customWidth="1"/>
    <col min="2209" max="2347" width="11.42578125" style="516"/>
    <col min="2348" max="2348" width="5.140625" style="516" bestFit="1" customWidth="1"/>
    <col min="2349" max="2349" width="15.28515625" style="516" bestFit="1" customWidth="1"/>
    <col min="2350" max="2352" width="0" style="516" hidden="1" customWidth="1"/>
    <col min="2353" max="2353" width="57.140625" style="516" bestFit="1" customWidth="1"/>
    <col min="2354" max="2354" width="5.140625" style="516" bestFit="1" customWidth="1"/>
    <col min="2355" max="2356" width="0" style="516" hidden="1" customWidth="1"/>
    <col min="2357" max="2357" width="5.7109375" style="516" bestFit="1" customWidth="1"/>
    <col min="2358" max="2358" width="5.140625" style="516" customWidth="1"/>
    <col min="2359" max="2359" width="14" style="516" customWidth="1"/>
    <col min="2360" max="2365" width="0" style="516" hidden="1" customWidth="1"/>
    <col min="2366" max="2366" width="14" style="516" customWidth="1"/>
    <col min="2367" max="2372" width="0" style="516" hidden="1" customWidth="1"/>
    <col min="2373" max="2373" width="14" style="516" customWidth="1"/>
    <col min="2374" max="2379" width="0" style="516" hidden="1" customWidth="1"/>
    <col min="2380" max="2380" width="14" style="516" customWidth="1"/>
    <col min="2381" max="2386" width="0" style="516" hidden="1" customWidth="1"/>
    <col min="2387" max="2387" width="14" style="516" customWidth="1"/>
    <col min="2388" max="2393" width="0" style="516" hidden="1" customWidth="1"/>
    <col min="2394" max="2394" width="14" style="516" customWidth="1"/>
    <col min="2395" max="2400" width="0" style="516" hidden="1" customWidth="1"/>
    <col min="2401" max="2401" width="14" style="516" customWidth="1"/>
    <col min="2402" max="2407" width="0" style="516" hidden="1" customWidth="1"/>
    <col min="2408" max="2408" width="14" style="516" customWidth="1"/>
    <col min="2409" max="2414" width="0" style="516" hidden="1" customWidth="1"/>
    <col min="2415" max="2415" width="14" style="516" customWidth="1"/>
    <col min="2416" max="2421" width="0" style="516" hidden="1" customWidth="1"/>
    <col min="2422" max="2422" width="14" style="516" customWidth="1"/>
    <col min="2423" max="2428" width="0" style="516" hidden="1" customWidth="1"/>
    <col min="2429" max="2429" width="14" style="516" customWidth="1"/>
    <col min="2430" max="2435" width="0" style="516" hidden="1" customWidth="1"/>
    <col min="2436" max="2436" width="14" style="516" customWidth="1"/>
    <col min="2437" max="2442" width="0" style="516" hidden="1" customWidth="1"/>
    <col min="2443" max="2443" width="14" style="516" customWidth="1"/>
    <col min="2444" max="2449" width="0" style="516" hidden="1" customWidth="1"/>
    <col min="2450" max="2450" width="14" style="516" customWidth="1"/>
    <col min="2451" max="2456" width="0" style="516" hidden="1" customWidth="1"/>
    <col min="2457" max="2457" width="14" style="516" customWidth="1"/>
    <col min="2458" max="2463" width="0" style="516" hidden="1" customWidth="1"/>
    <col min="2464" max="2464" width="14" style="516" customWidth="1"/>
    <col min="2465" max="2603" width="11.42578125" style="516"/>
    <col min="2604" max="2604" width="5.140625" style="516" bestFit="1" customWidth="1"/>
    <col min="2605" max="2605" width="15.28515625" style="516" bestFit="1" customWidth="1"/>
    <col min="2606" max="2608" width="0" style="516" hidden="1" customWidth="1"/>
    <col min="2609" max="2609" width="57.140625" style="516" bestFit="1" customWidth="1"/>
    <col min="2610" max="2610" width="5.140625" style="516" bestFit="1" customWidth="1"/>
    <col min="2611" max="2612" width="0" style="516" hidden="1" customWidth="1"/>
    <col min="2613" max="2613" width="5.7109375" style="516" bestFit="1" customWidth="1"/>
    <col min="2614" max="2614" width="5.140625" style="516" customWidth="1"/>
    <col min="2615" max="2615" width="14" style="516" customWidth="1"/>
    <col min="2616" max="2621" width="0" style="516" hidden="1" customWidth="1"/>
    <col min="2622" max="2622" width="14" style="516" customWidth="1"/>
    <col min="2623" max="2628" width="0" style="516" hidden="1" customWidth="1"/>
    <col min="2629" max="2629" width="14" style="516" customWidth="1"/>
    <col min="2630" max="2635" width="0" style="516" hidden="1" customWidth="1"/>
    <col min="2636" max="2636" width="14" style="516" customWidth="1"/>
    <col min="2637" max="2642" width="0" style="516" hidden="1" customWidth="1"/>
    <col min="2643" max="2643" width="14" style="516" customWidth="1"/>
    <col min="2644" max="2649" width="0" style="516" hidden="1" customWidth="1"/>
    <col min="2650" max="2650" width="14" style="516" customWidth="1"/>
    <col min="2651" max="2656" width="0" style="516" hidden="1" customWidth="1"/>
    <col min="2657" max="2657" width="14" style="516" customWidth="1"/>
    <col min="2658" max="2663" width="0" style="516" hidden="1" customWidth="1"/>
    <col min="2664" max="2664" width="14" style="516" customWidth="1"/>
    <col min="2665" max="2670" width="0" style="516" hidden="1" customWidth="1"/>
    <col min="2671" max="2671" width="14" style="516" customWidth="1"/>
    <col min="2672" max="2677" width="0" style="516" hidden="1" customWidth="1"/>
    <col min="2678" max="2678" width="14" style="516" customWidth="1"/>
    <col min="2679" max="2684" width="0" style="516" hidden="1" customWidth="1"/>
    <col min="2685" max="2685" width="14" style="516" customWidth="1"/>
    <col min="2686" max="2691" width="0" style="516" hidden="1" customWidth="1"/>
    <col min="2692" max="2692" width="14" style="516" customWidth="1"/>
    <col min="2693" max="2698" width="0" style="516" hidden="1" customWidth="1"/>
    <col min="2699" max="2699" width="14" style="516" customWidth="1"/>
    <col min="2700" max="2705" width="0" style="516" hidden="1" customWidth="1"/>
    <col min="2706" max="2706" width="14" style="516" customWidth="1"/>
    <col min="2707" max="2712" width="0" style="516" hidden="1" customWidth="1"/>
    <col min="2713" max="2713" width="14" style="516" customWidth="1"/>
    <col min="2714" max="2719" width="0" style="516" hidden="1" customWidth="1"/>
    <col min="2720" max="2720" width="14" style="516" customWidth="1"/>
    <col min="2721" max="2859" width="11.42578125" style="516"/>
    <col min="2860" max="2860" width="5.140625" style="516" bestFit="1" customWidth="1"/>
    <col min="2861" max="2861" width="15.28515625" style="516" bestFit="1" customWidth="1"/>
    <col min="2862" max="2864" width="0" style="516" hidden="1" customWidth="1"/>
    <col min="2865" max="2865" width="57.140625" style="516" bestFit="1" customWidth="1"/>
    <col min="2866" max="2866" width="5.140625" style="516" bestFit="1" customWidth="1"/>
    <col min="2867" max="2868" width="0" style="516" hidden="1" customWidth="1"/>
    <col min="2869" max="2869" width="5.7109375" style="516" bestFit="1" customWidth="1"/>
    <col min="2870" max="2870" width="5.140625" style="516" customWidth="1"/>
    <col min="2871" max="2871" width="14" style="516" customWidth="1"/>
    <col min="2872" max="2877" width="0" style="516" hidden="1" customWidth="1"/>
    <col min="2878" max="2878" width="14" style="516" customWidth="1"/>
    <col min="2879" max="2884" width="0" style="516" hidden="1" customWidth="1"/>
    <col min="2885" max="2885" width="14" style="516" customWidth="1"/>
    <col min="2886" max="2891" width="0" style="516" hidden="1" customWidth="1"/>
    <col min="2892" max="2892" width="14" style="516" customWidth="1"/>
    <col min="2893" max="2898" width="0" style="516" hidden="1" customWidth="1"/>
    <col min="2899" max="2899" width="14" style="516" customWidth="1"/>
    <col min="2900" max="2905" width="0" style="516" hidden="1" customWidth="1"/>
    <col min="2906" max="2906" width="14" style="516" customWidth="1"/>
    <col min="2907" max="2912" width="0" style="516" hidden="1" customWidth="1"/>
    <col min="2913" max="2913" width="14" style="516" customWidth="1"/>
    <col min="2914" max="2919" width="0" style="516" hidden="1" customWidth="1"/>
    <col min="2920" max="2920" width="14" style="516" customWidth="1"/>
    <col min="2921" max="2926" width="0" style="516" hidden="1" customWidth="1"/>
    <col min="2927" max="2927" width="14" style="516" customWidth="1"/>
    <col min="2928" max="2933" width="0" style="516" hidden="1" customWidth="1"/>
    <col min="2934" max="2934" width="14" style="516" customWidth="1"/>
    <col min="2935" max="2940" width="0" style="516" hidden="1" customWidth="1"/>
    <col min="2941" max="2941" width="14" style="516" customWidth="1"/>
    <col min="2942" max="2947" width="0" style="516" hidden="1" customWidth="1"/>
    <col min="2948" max="2948" width="14" style="516" customWidth="1"/>
    <col min="2949" max="2954" width="0" style="516" hidden="1" customWidth="1"/>
    <col min="2955" max="2955" width="14" style="516" customWidth="1"/>
    <col min="2956" max="2961" width="0" style="516" hidden="1" customWidth="1"/>
    <col min="2962" max="2962" width="14" style="516" customWidth="1"/>
    <col min="2963" max="2968" width="0" style="516" hidden="1" customWidth="1"/>
    <col min="2969" max="2969" width="14" style="516" customWidth="1"/>
    <col min="2970" max="2975" width="0" style="516" hidden="1" customWidth="1"/>
    <col min="2976" max="2976" width="14" style="516" customWidth="1"/>
    <col min="2977" max="3115" width="11.42578125" style="516"/>
    <col min="3116" max="3116" width="5.140625" style="516" bestFit="1" customWidth="1"/>
    <col min="3117" max="3117" width="15.28515625" style="516" bestFit="1" customWidth="1"/>
    <col min="3118" max="3120" width="0" style="516" hidden="1" customWidth="1"/>
    <col min="3121" max="3121" width="57.140625" style="516" bestFit="1" customWidth="1"/>
    <col min="3122" max="3122" width="5.140625" style="516" bestFit="1" customWidth="1"/>
    <col min="3123" max="3124" width="0" style="516" hidden="1" customWidth="1"/>
    <col min="3125" max="3125" width="5.7109375" style="516" bestFit="1" customWidth="1"/>
    <col min="3126" max="3126" width="5.140625" style="516" customWidth="1"/>
    <col min="3127" max="3127" width="14" style="516" customWidth="1"/>
    <col min="3128" max="3133" width="0" style="516" hidden="1" customWidth="1"/>
    <col min="3134" max="3134" width="14" style="516" customWidth="1"/>
    <col min="3135" max="3140" width="0" style="516" hidden="1" customWidth="1"/>
    <col min="3141" max="3141" width="14" style="516" customWidth="1"/>
    <col min="3142" max="3147" width="0" style="516" hidden="1" customWidth="1"/>
    <col min="3148" max="3148" width="14" style="516" customWidth="1"/>
    <col min="3149" max="3154" width="0" style="516" hidden="1" customWidth="1"/>
    <col min="3155" max="3155" width="14" style="516" customWidth="1"/>
    <col min="3156" max="3161" width="0" style="516" hidden="1" customWidth="1"/>
    <col min="3162" max="3162" width="14" style="516" customWidth="1"/>
    <col min="3163" max="3168" width="0" style="516" hidden="1" customWidth="1"/>
    <col min="3169" max="3169" width="14" style="516" customWidth="1"/>
    <col min="3170" max="3175" width="0" style="516" hidden="1" customWidth="1"/>
    <col min="3176" max="3176" width="14" style="516" customWidth="1"/>
    <col min="3177" max="3182" width="0" style="516" hidden="1" customWidth="1"/>
    <col min="3183" max="3183" width="14" style="516" customWidth="1"/>
    <col min="3184" max="3189" width="0" style="516" hidden="1" customWidth="1"/>
    <col min="3190" max="3190" width="14" style="516" customWidth="1"/>
    <col min="3191" max="3196" width="0" style="516" hidden="1" customWidth="1"/>
    <col min="3197" max="3197" width="14" style="516" customWidth="1"/>
    <col min="3198" max="3203" width="0" style="516" hidden="1" customWidth="1"/>
    <col min="3204" max="3204" width="14" style="516" customWidth="1"/>
    <col min="3205" max="3210" width="0" style="516" hidden="1" customWidth="1"/>
    <col min="3211" max="3211" width="14" style="516" customWidth="1"/>
    <col min="3212" max="3217" width="0" style="516" hidden="1" customWidth="1"/>
    <col min="3218" max="3218" width="14" style="516" customWidth="1"/>
    <col min="3219" max="3224" width="0" style="516" hidden="1" customWidth="1"/>
    <col min="3225" max="3225" width="14" style="516" customWidth="1"/>
    <col min="3226" max="3231" width="0" style="516" hidden="1" customWidth="1"/>
    <col min="3232" max="3232" width="14" style="516" customWidth="1"/>
    <col min="3233" max="3371" width="11.42578125" style="516"/>
    <col min="3372" max="3372" width="5.140625" style="516" bestFit="1" customWidth="1"/>
    <col min="3373" max="3373" width="15.28515625" style="516" bestFit="1" customWidth="1"/>
    <col min="3374" max="3376" width="0" style="516" hidden="1" customWidth="1"/>
    <col min="3377" max="3377" width="57.140625" style="516" bestFit="1" customWidth="1"/>
    <col min="3378" max="3378" width="5.140625" style="516" bestFit="1" customWidth="1"/>
    <col min="3379" max="3380" width="0" style="516" hidden="1" customWidth="1"/>
    <col min="3381" max="3381" width="5.7109375" style="516" bestFit="1" customWidth="1"/>
    <col min="3382" max="3382" width="5.140625" style="516" customWidth="1"/>
    <col min="3383" max="3383" width="14" style="516" customWidth="1"/>
    <col min="3384" max="3389" width="0" style="516" hidden="1" customWidth="1"/>
    <col min="3390" max="3390" width="14" style="516" customWidth="1"/>
    <col min="3391" max="3396" width="0" style="516" hidden="1" customWidth="1"/>
    <col min="3397" max="3397" width="14" style="516" customWidth="1"/>
    <col min="3398" max="3403" width="0" style="516" hidden="1" customWidth="1"/>
    <col min="3404" max="3404" width="14" style="516" customWidth="1"/>
    <col min="3405" max="3410" width="0" style="516" hidden="1" customWidth="1"/>
    <col min="3411" max="3411" width="14" style="516" customWidth="1"/>
    <col min="3412" max="3417" width="0" style="516" hidden="1" customWidth="1"/>
    <col min="3418" max="3418" width="14" style="516" customWidth="1"/>
    <col min="3419" max="3424" width="0" style="516" hidden="1" customWidth="1"/>
    <col min="3425" max="3425" width="14" style="516" customWidth="1"/>
    <col min="3426" max="3431" width="0" style="516" hidden="1" customWidth="1"/>
    <col min="3432" max="3432" width="14" style="516" customWidth="1"/>
    <col min="3433" max="3438" width="0" style="516" hidden="1" customWidth="1"/>
    <col min="3439" max="3439" width="14" style="516" customWidth="1"/>
    <col min="3440" max="3445" width="0" style="516" hidden="1" customWidth="1"/>
    <col min="3446" max="3446" width="14" style="516" customWidth="1"/>
    <col min="3447" max="3452" width="0" style="516" hidden="1" customWidth="1"/>
    <col min="3453" max="3453" width="14" style="516" customWidth="1"/>
    <col min="3454" max="3459" width="0" style="516" hidden="1" customWidth="1"/>
    <col min="3460" max="3460" width="14" style="516" customWidth="1"/>
    <col min="3461" max="3466" width="0" style="516" hidden="1" customWidth="1"/>
    <col min="3467" max="3467" width="14" style="516" customWidth="1"/>
    <col min="3468" max="3473" width="0" style="516" hidden="1" customWidth="1"/>
    <col min="3474" max="3474" width="14" style="516" customWidth="1"/>
    <col min="3475" max="3480" width="0" style="516" hidden="1" customWidth="1"/>
    <col min="3481" max="3481" width="14" style="516" customWidth="1"/>
    <col min="3482" max="3487" width="0" style="516" hidden="1" customWidth="1"/>
    <col min="3488" max="3488" width="14" style="516" customWidth="1"/>
    <col min="3489" max="3627" width="11.42578125" style="516"/>
    <col min="3628" max="3628" width="5.140625" style="516" bestFit="1" customWidth="1"/>
    <col min="3629" max="3629" width="15.28515625" style="516" bestFit="1" customWidth="1"/>
    <col min="3630" max="3632" width="0" style="516" hidden="1" customWidth="1"/>
    <col min="3633" max="3633" width="57.140625" style="516" bestFit="1" customWidth="1"/>
    <col min="3634" max="3634" width="5.140625" style="516" bestFit="1" customWidth="1"/>
    <col min="3635" max="3636" width="0" style="516" hidden="1" customWidth="1"/>
    <col min="3637" max="3637" width="5.7109375" style="516" bestFit="1" customWidth="1"/>
    <col min="3638" max="3638" width="5.140625" style="516" customWidth="1"/>
    <col min="3639" max="3639" width="14" style="516" customWidth="1"/>
    <col min="3640" max="3645" width="0" style="516" hidden="1" customWidth="1"/>
    <col min="3646" max="3646" width="14" style="516" customWidth="1"/>
    <col min="3647" max="3652" width="0" style="516" hidden="1" customWidth="1"/>
    <col min="3653" max="3653" width="14" style="516" customWidth="1"/>
    <col min="3654" max="3659" width="0" style="516" hidden="1" customWidth="1"/>
    <col min="3660" max="3660" width="14" style="516" customWidth="1"/>
    <col min="3661" max="3666" width="0" style="516" hidden="1" customWidth="1"/>
    <col min="3667" max="3667" width="14" style="516" customWidth="1"/>
    <col min="3668" max="3673" width="0" style="516" hidden="1" customWidth="1"/>
    <col min="3674" max="3674" width="14" style="516" customWidth="1"/>
    <col min="3675" max="3680" width="0" style="516" hidden="1" customWidth="1"/>
    <col min="3681" max="3681" width="14" style="516" customWidth="1"/>
    <col min="3682" max="3687" width="0" style="516" hidden="1" customWidth="1"/>
    <col min="3688" max="3688" width="14" style="516" customWidth="1"/>
    <col min="3689" max="3694" width="0" style="516" hidden="1" customWidth="1"/>
    <col min="3695" max="3695" width="14" style="516" customWidth="1"/>
    <col min="3696" max="3701" width="0" style="516" hidden="1" customWidth="1"/>
    <col min="3702" max="3702" width="14" style="516" customWidth="1"/>
    <col min="3703" max="3708" width="0" style="516" hidden="1" customWidth="1"/>
    <col min="3709" max="3709" width="14" style="516" customWidth="1"/>
    <col min="3710" max="3715" width="0" style="516" hidden="1" customWidth="1"/>
    <col min="3716" max="3716" width="14" style="516" customWidth="1"/>
    <col min="3717" max="3722" width="0" style="516" hidden="1" customWidth="1"/>
    <col min="3723" max="3723" width="14" style="516" customWidth="1"/>
    <col min="3724" max="3729" width="0" style="516" hidden="1" customWidth="1"/>
    <col min="3730" max="3730" width="14" style="516" customWidth="1"/>
    <col min="3731" max="3736" width="0" style="516" hidden="1" customWidth="1"/>
    <col min="3737" max="3737" width="14" style="516" customWidth="1"/>
    <col min="3738" max="3743" width="0" style="516" hidden="1" customWidth="1"/>
    <col min="3744" max="3744" width="14" style="516" customWidth="1"/>
    <col min="3745" max="3883" width="11.42578125" style="516"/>
    <col min="3884" max="3884" width="5.140625" style="516" bestFit="1" customWidth="1"/>
    <col min="3885" max="3885" width="15.28515625" style="516" bestFit="1" customWidth="1"/>
    <col min="3886" max="3888" width="0" style="516" hidden="1" customWidth="1"/>
    <col min="3889" max="3889" width="57.140625" style="516" bestFit="1" customWidth="1"/>
    <col min="3890" max="3890" width="5.140625" style="516" bestFit="1" customWidth="1"/>
    <col min="3891" max="3892" width="0" style="516" hidden="1" customWidth="1"/>
    <col min="3893" max="3893" width="5.7109375" style="516" bestFit="1" customWidth="1"/>
    <col min="3894" max="3894" width="5.140625" style="516" customWidth="1"/>
    <col min="3895" max="3895" width="14" style="516" customWidth="1"/>
    <col min="3896" max="3901" width="0" style="516" hidden="1" customWidth="1"/>
    <col min="3902" max="3902" width="14" style="516" customWidth="1"/>
    <col min="3903" max="3908" width="0" style="516" hidden="1" customWidth="1"/>
    <col min="3909" max="3909" width="14" style="516" customWidth="1"/>
    <col min="3910" max="3915" width="0" style="516" hidden="1" customWidth="1"/>
    <col min="3916" max="3916" width="14" style="516" customWidth="1"/>
    <col min="3917" max="3922" width="0" style="516" hidden="1" customWidth="1"/>
    <col min="3923" max="3923" width="14" style="516" customWidth="1"/>
    <col min="3924" max="3929" width="0" style="516" hidden="1" customWidth="1"/>
    <col min="3930" max="3930" width="14" style="516" customWidth="1"/>
    <col min="3931" max="3936" width="0" style="516" hidden="1" customWidth="1"/>
    <col min="3937" max="3937" width="14" style="516" customWidth="1"/>
    <col min="3938" max="3943" width="0" style="516" hidden="1" customWidth="1"/>
    <col min="3944" max="3944" width="14" style="516" customWidth="1"/>
    <col min="3945" max="3950" width="0" style="516" hidden="1" customWidth="1"/>
    <col min="3951" max="3951" width="14" style="516" customWidth="1"/>
    <col min="3952" max="3957" width="0" style="516" hidden="1" customWidth="1"/>
    <col min="3958" max="3958" width="14" style="516" customWidth="1"/>
    <col min="3959" max="3964" width="0" style="516" hidden="1" customWidth="1"/>
    <col min="3965" max="3965" width="14" style="516" customWidth="1"/>
    <col min="3966" max="3971" width="0" style="516" hidden="1" customWidth="1"/>
    <col min="3972" max="3972" width="14" style="516" customWidth="1"/>
    <col min="3973" max="3978" width="0" style="516" hidden="1" customWidth="1"/>
    <col min="3979" max="3979" width="14" style="516" customWidth="1"/>
    <col min="3980" max="3985" width="0" style="516" hidden="1" customWidth="1"/>
    <col min="3986" max="3986" width="14" style="516" customWidth="1"/>
    <col min="3987" max="3992" width="0" style="516" hidden="1" customWidth="1"/>
    <col min="3993" max="3993" width="14" style="516" customWidth="1"/>
    <col min="3994" max="3999" width="0" style="516" hidden="1" customWidth="1"/>
    <col min="4000" max="4000" width="14" style="516" customWidth="1"/>
    <col min="4001" max="4139" width="11.42578125" style="516"/>
    <col min="4140" max="4140" width="5.140625" style="516" bestFit="1" customWidth="1"/>
    <col min="4141" max="4141" width="15.28515625" style="516" bestFit="1" customWidth="1"/>
    <col min="4142" max="4144" width="0" style="516" hidden="1" customWidth="1"/>
    <col min="4145" max="4145" width="57.140625" style="516" bestFit="1" customWidth="1"/>
    <col min="4146" max="4146" width="5.140625" style="516" bestFit="1" customWidth="1"/>
    <col min="4147" max="4148" width="0" style="516" hidden="1" customWidth="1"/>
    <col min="4149" max="4149" width="5.7109375" style="516" bestFit="1" customWidth="1"/>
    <col min="4150" max="4150" width="5.140625" style="516" customWidth="1"/>
    <col min="4151" max="4151" width="14" style="516" customWidth="1"/>
    <col min="4152" max="4157" width="0" style="516" hidden="1" customWidth="1"/>
    <col min="4158" max="4158" width="14" style="516" customWidth="1"/>
    <col min="4159" max="4164" width="0" style="516" hidden="1" customWidth="1"/>
    <col min="4165" max="4165" width="14" style="516" customWidth="1"/>
    <col min="4166" max="4171" width="0" style="516" hidden="1" customWidth="1"/>
    <col min="4172" max="4172" width="14" style="516" customWidth="1"/>
    <col min="4173" max="4178" width="0" style="516" hidden="1" customWidth="1"/>
    <col min="4179" max="4179" width="14" style="516" customWidth="1"/>
    <col min="4180" max="4185" width="0" style="516" hidden="1" customWidth="1"/>
    <col min="4186" max="4186" width="14" style="516" customWidth="1"/>
    <col min="4187" max="4192" width="0" style="516" hidden="1" customWidth="1"/>
    <col min="4193" max="4193" width="14" style="516" customWidth="1"/>
    <col min="4194" max="4199" width="0" style="516" hidden="1" customWidth="1"/>
    <col min="4200" max="4200" width="14" style="516" customWidth="1"/>
    <col min="4201" max="4206" width="0" style="516" hidden="1" customWidth="1"/>
    <col min="4207" max="4207" width="14" style="516" customWidth="1"/>
    <col min="4208" max="4213" width="0" style="516" hidden="1" customWidth="1"/>
    <col min="4214" max="4214" width="14" style="516" customWidth="1"/>
    <col min="4215" max="4220" width="0" style="516" hidden="1" customWidth="1"/>
    <col min="4221" max="4221" width="14" style="516" customWidth="1"/>
    <col min="4222" max="4227" width="0" style="516" hidden="1" customWidth="1"/>
    <col min="4228" max="4228" width="14" style="516" customWidth="1"/>
    <col min="4229" max="4234" width="0" style="516" hidden="1" customWidth="1"/>
    <col min="4235" max="4235" width="14" style="516" customWidth="1"/>
    <col min="4236" max="4241" width="0" style="516" hidden="1" customWidth="1"/>
    <col min="4242" max="4242" width="14" style="516" customWidth="1"/>
    <col min="4243" max="4248" width="0" style="516" hidden="1" customWidth="1"/>
    <col min="4249" max="4249" width="14" style="516" customWidth="1"/>
    <col min="4250" max="4255" width="0" style="516" hidden="1" customWidth="1"/>
    <col min="4256" max="4256" width="14" style="516" customWidth="1"/>
    <col min="4257" max="4395" width="11.42578125" style="516"/>
    <col min="4396" max="4396" width="5.140625" style="516" bestFit="1" customWidth="1"/>
    <col min="4397" max="4397" width="15.28515625" style="516" bestFit="1" customWidth="1"/>
    <col min="4398" max="4400" width="0" style="516" hidden="1" customWidth="1"/>
    <col min="4401" max="4401" width="57.140625" style="516" bestFit="1" customWidth="1"/>
    <col min="4402" max="4402" width="5.140625" style="516" bestFit="1" customWidth="1"/>
    <col min="4403" max="4404" width="0" style="516" hidden="1" customWidth="1"/>
    <col min="4405" max="4405" width="5.7109375" style="516" bestFit="1" customWidth="1"/>
    <col min="4406" max="4406" width="5.140625" style="516" customWidth="1"/>
    <col min="4407" max="4407" width="14" style="516" customWidth="1"/>
    <col min="4408" max="4413" width="0" style="516" hidden="1" customWidth="1"/>
    <col min="4414" max="4414" width="14" style="516" customWidth="1"/>
    <col min="4415" max="4420" width="0" style="516" hidden="1" customWidth="1"/>
    <col min="4421" max="4421" width="14" style="516" customWidth="1"/>
    <col min="4422" max="4427" width="0" style="516" hidden="1" customWidth="1"/>
    <col min="4428" max="4428" width="14" style="516" customWidth="1"/>
    <col min="4429" max="4434" width="0" style="516" hidden="1" customWidth="1"/>
    <col min="4435" max="4435" width="14" style="516" customWidth="1"/>
    <col min="4436" max="4441" width="0" style="516" hidden="1" customWidth="1"/>
    <col min="4442" max="4442" width="14" style="516" customWidth="1"/>
    <col min="4443" max="4448" width="0" style="516" hidden="1" customWidth="1"/>
    <col min="4449" max="4449" width="14" style="516" customWidth="1"/>
    <col min="4450" max="4455" width="0" style="516" hidden="1" customWidth="1"/>
    <col min="4456" max="4456" width="14" style="516" customWidth="1"/>
    <col min="4457" max="4462" width="0" style="516" hidden="1" customWidth="1"/>
    <col min="4463" max="4463" width="14" style="516" customWidth="1"/>
    <col min="4464" max="4469" width="0" style="516" hidden="1" customWidth="1"/>
    <col min="4470" max="4470" width="14" style="516" customWidth="1"/>
    <col min="4471" max="4476" width="0" style="516" hidden="1" customWidth="1"/>
    <col min="4477" max="4477" width="14" style="516" customWidth="1"/>
    <col min="4478" max="4483" width="0" style="516" hidden="1" customWidth="1"/>
    <col min="4484" max="4484" width="14" style="516" customWidth="1"/>
    <col min="4485" max="4490" width="0" style="516" hidden="1" customWidth="1"/>
    <col min="4491" max="4491" width="14" style="516" customWidth="1"/>
    <col min="4492" max="4497" width="0" style="516" hidden="1" customWidth="1"/>
    <col min="4498" max="4498" width="14" style="516" customWidth="1"/>
    <col min="4499" max="4504" width="0" style="516" hidden="1" customWidth="1"/>
    <col min="4505" max="4505" width="14" style="516" customWidth="1"/>
    <col min="4506" max="4511" width="0" style="516" hidden="1" customWidth="1"/>
    <col min="4512" max="4512" width="14" style="516" customWidth="1"/>
    <col min="4513" max="4651" width="11.42578125" style="516"/>
    <col min="4652" max="4652" width="5.140625" style="516" bestFit="1" customWidth="1"/>
    <col min="4653" max="4653" width="15.28515625" style="516" bestFit="1" customWidth="1"/>
    <col min="4654" max="4656" width="0" style="516" hidden="1" customWidth="1"/>
    <col min="4657" max="4657" width="57.140625" style="516" bestFit="1" customWidth="1"/>
    <col min="4658" max="4658" width="5.140625" style="516" bestFit="1" customWidth="1"/>
    <col min="4659" max="4660" width="0" style="516" hidden="1" customWidth="1"/>
    <col min="4661" max="4661" width="5.7109375" style="516" bestFit="1" customWidth="1"/>
    <col min="4662" max="4662" width="5.140625" style="516" customWidth="1"/>
    <col min="4663" max="4663" width="14" style="516" customWidth="1"/>
    <col min="4664" max="4669" width="0" style="516" hidden="1" customWidth="1"/>
    <col min="4670" max="4670" width="14" style="516" customWidth="1"/>
    <col min="4671" max="4676" width="0" style="516" hidden="1" customWidth="1"/>
    <col min="4677" max="4677" width="14" style="516" customWidth="1"/>
    <col min="4678" max="4683" width="0" style="516" hidden="1" customWidth="1"/>
    <col min="4684" max="4684" width="14" style="516" customWidth="1"/>
    <col min="4685" max="4690" width="0" style="516" hidden="1" customWidth="1"/>
    <col min="4691" max="4691" width="14" style="516" customWidth="1"/>
    <col min="4692" max="4697" width="0" style="516" hidden="1" customWidth="1"/>
    <col min="4698" max="4698" width="14" style="516" customWidth="1"/>
    <col min="4699" max="4704" width="0" style="516" hidden="1" customWidth="1"/>
    <col min="4705" max="4705" width="14" style="516" customWidth="1"/>
    <col min="4706" max="4711" width="0" style="516" hidden="1" customWidth="1"/>
    <col min="4712" max="4712" width="14" style="516" customWidth="1"/>
    <col min="4713" max="4718" width="0" style="516" hidden="1" customWidth="1"/>
    <col min="4719" max="4719" width="14" style="516" customWidth="1"/>
    <col min="4720" max="4725" width="0" style="516" hidden="1" customWidth="1"/>
    <col min="4726" max="4726" width="14" style="516" customWidth="1"/>
    <col min="4727" max="4732" width="0" style="516" hidden="1" customWidth="1"/>
    <col min="4733" max="4733" width="14" style="516" customWidth="1"/>
    <col min="4734" max="4739" width="0" style="516" hidden="1" customWidth="1"/>
    <col min="4740" max="4740" width="14" style="516" customWidth="1"/>
    <col min="4741" max="4746" width="0" style="516" hidden="1" customWidth="1"/>
    <col min="4747" max="4747" width="14" style="516" customWidth="1"/>
    <col min="4748" max="4753" width="0" style="516" hidden="1" customWidth="1"/>
    <col min="4754" max="4754" width="14" style="516" customWidth="1"/>
    <col min="4755" max="4760" width="0" style="516" hidden="1" customWidth="1"/>
    <col min="4761" max="4761" width="14" style="516" customWidth="1"/>
    <col min="4762" max="4767" width="0" style="516" hidden="1" customWidth="1"/>
    <col min="4768" max="4768" width="14" style="516" customWidth="1"/>
    <col min="4769" max="4907" width="11.42578125" style="516"/>
    <col min="4908" max="4908" width="5.140625" style="516" bestFit="1" customWidth="1"/>
    <col min="4909" max="4909" width="15.28515625" style="516" bestFit="1" customWidth="1"/>
    <col min="4910" max="4912" width="0" style="516" hidden="1" customWidth="1"/>
    <col min="4913" max="4913" width="57.140625" style="516" bestFit="1" customWidth="1"/>
    <col min="4914" max="4914" width="5.140625" style="516" bestFit="1" customWidth="1"/>
    <col min="4915" max="4916" width="0" style="516" hidden="1" customWidth="1"/>
    <col min="4917" max="4917" width="5.7109375" style="516" bestFit="1" customWidth="1"/>
    <col min="4918" max="4918" width="5.140625" style="516" customWidth="1"/>
    <col min="4919" max="4919" width="14" style="516" customWidth="1"/>
    <col min="4920" max="4925" width="0" style="516" hidden="1" customWidth="1"/>
    <col min="4926" max="4926" width="14" style="516" customWidth="1"/>
    <col min="4927" max="4932" width="0" style="516" hidden="1" customWidth="1"/>
    <col min="4933" max="4933" width="14" style="516" customWidth="1"/>
    <col min="4934" max="4939" width="0" style="516" hidden="1" customWidth="1"/>
    <col min="4940" max="4940" width="14" style="516" customWidth="1"/>
    <col min="4941" max="4946" width="0" style="516" hidden="1" customWidth="1"/>
    <col min="4947" max="4947" width="14" style="516" customWidth="1"/>
    <col min="4948" max="4953" width="0" style="516" hidden="1" customWidth="1"/>
    <col min="4954" max="4954" width="14" style="516" customWidth="1"/>
    <col min="4955" max="4960" width="0" style="516" hidden="1" customWidth="1"/>
    <col min="4961" max="4961" width="14" style="516" customWidth="1"/>
    <col min="4962" max="4967" width="0" style="516" hidden="1" customWidth="1"/>
    <col min="4968" max="4968" width="14" style="516" customWidth="1"/>
    <col min="4969" max="4974" width="0" style="516" hidden="1" customWidth="1"/>
    <col min="4975" max="4975" width="14" style="516" customWidth="1"/>
    <col min="4976" max="4981" width="0" style="516" hidden="1" customWidth="1"/>
    <col min="4982" max="4982" width="14" style="516" customWidth="1"/>
    <col min="4983" max="4988" width="0" style="516" hidden="1" customWidth="1"/>
    <col min="4989" max="4989" width="14" style="516" customWidth="1"/>
    <col min="4990" max="4995" width="0" style="516" hidden="1" customWidth="1"/>
    <col min="4996" max="4996" width="14" style="516" customWidth="1"/>
    <col min="4997" max="5002" width="0" style="516" hidden="1" customWidth="1"/>
    <col min="5003" max="5003" width="14" style="516" customWidth="1"/>
    <col min="5004" max="5009" width="0" style="516" hidden="1" customWidth="1"/>
    <col min="5010" max="5010" width="14" style="516" customWidth="1"/>
    <col min="5011" max="5016" width="0" style="516" hidden="1" customWidth="1"/>
    <col min="5017" max="5017" width="14" style="516" customWidth="1"/>
    <col min="5018" max="5023" width="0" style="516" hidden="1" customWidth="1"/>
    <col min="5024" max="5024" width="14" style="516" customWidth="1"/>
    <col min="5025" max="5163" width="11.42578125" style="516"/>
    <col min="5164" max="5164" width="5.140625" style="516" bestFit="1" customWidth="1"/>
    <col min="5165" max="5165" width="15.28515625" style="516" bestFit="1" customWidth="1"/>
    <col min="5166" max="5168" width="0" style="516" hidden="1" customWidth="1"/>
    <col min="5169" max="5169" width="57.140625" style="516" bestFit="1" customWidth="1"/>
    <col min="5170" max="5170" width="5.140625" style="516" bestFit="1" customWidth="1"/>
    <col min="5171" max="5172" width="0" style="516" hidden="1" customWidth="1"/>
    <col min="5173" max="5173" width="5.7109375" style="516" bestFit="1" customWidth="1"/>
    <col min="5174" max="5174" width="5.140625" style="516" customWidth="1"/>
    <col min="5175" max="5175" width="14" style="516" customWidth="1"/>
    <col min="5176" max="5181" width="0" style="516" hidden="1" customWidth="1"/>
    <col min="5182" max="5182" width="14" style="516" customWidth="1"/>
    <col min="5183" max="5188" width="0" style="516" hidden="1" customWidth="1"/>
    <col min="5189" max="5189" width="14" style="516" customWidth="1"/>
    <col min="5190" max="5195" width="0" style="516" hidden="1" customWidth="1"/>
    <col min="5196" max="5196" width="14" style="516" customWidth="1"/>
    <col min="5197" max="5202" width="0" style="516" hidden="1" customWidth="1"/>
    <col min="5203" max="5203" width="14" style="516" customWidth="1"/>
    <col min="5204" max="5209" width="0" style="516" hidden="1" customWidth="1"/>
    <col min="5210" max="5210" width="14" style="516" customWidth="1"/>
    <col min="5211" max="5216" width="0" style="516" hidden="1" customWidth="1"/>
    <col min="5217" max="5217" width="14" style="516" customWidth="1"/>
    <col min="5218" max="5223" width="0" style="516" hidden="1" customWidth="1"/>
    <col min="5224" max="5224" width="14" style="516" customWidth="1"/>
    <col min="5225" max="5230" width="0" style="516" hidden="1" customWidth="1"/>
    <col min="5231" max="5231" width="14" style="516" customWidth="1"/>
    <col min="5232" max="5237" width="0" style="516" hidden="1" customWidth="1"/>
    <col min="5238" max="5238" width="14" style="516" customWidth="1"/>
    <col min="5239" max="5244" width="0" style="516" hidden="1" customWidth="1"/>
    <col min="5245" max="5245" width="14" style="516" customWidth="1"/>
    <col min="5246" max="5251" width="0" style="516" hidden="1" customWidth="1"/>
    <col min="5252" max="5252" width="14" style="516" customWidth="1"/>
    <col min="5253" max="5258" width="0" style="516" hidden="1" customWidth="1"/>
    <col min="5259" max="5259" width="14" style="516" customWidth="1"/>
    <col min="5260" max="5265" width="0" style="516" hidden="1" customWidth="1"/>
    <col min="5266" max="5266" width="14" style="516" customWidth="1"/>
    <col min="5267" max="5272" width="0" style="516" hidden="1" customWidth="1"/>
    <col min="5273" max="5273" width="14" style="516" customWidth="1"/>
    <col min="5274" max="5279" width="0" style="516" hidden="1" customWidth="1"/>
    <col min="5280" max="5280" width="14" style="516" customWidth="1"/>
    <col min="5281" max="5419" width="11.42578125" style="516"/>
    <col min="5420" max="5420" width="5.140625" style="516" bestFit="1" customWidth="1"/>
    <col min="5421" max="5421" width="15.28515625" style="516" bestFit="1" customWidth="1"/>
    <col min="5422" max="5424" width="0" style="516" hidden="1" customWidth="1"/>
    <col min="5425" max="5425" width="57.140625" style="516" bestFit="1" customWidth="1"/>
    <col min="5426" max="5426" width="5.140625" style="516" bestFit="1" customWidth="1"/>
    <col min="5427" max="5428" width="0" style="516" hidden="1" customWidth="1"/>
    <col min="5429" max="5429" width="5.7109375" style="516" bestFit="1" customWidth="1"/>
    <col min="5430" max="5430" width="5.140625" style="516" customWidth="1"/>
    <col min="5431" max="5431" width="14" style="516" customWidth="1"/>
    <col min="5432" max="5437" width="0" style="516" hidden="1" customWidth="1"/>
    <col min="5438" max="5438" width="14" style="516" customWidth="1"/>
    <col min="5439" max="5444" width="0" style="516" hidden="1" customWidth="1"/>
    <col min="5445" max="5445" width="14" style="516" customWidth="1"/>
    <col min="5446" max="5451" width="0" style="516" hidden="1" customWidth="1"/>
    <col min="5452" max="5452" width="14" style="516" customWidth="1"/>
    <col min="5453" max="5458" width="0" style="516" hidden="1" customWidth="1"/>
    <col min="5459" max="5459" width="14" style="516" customWidth="1"/>
    <col min="5460" max="5465" width="0" style="516" hidden="1" customWidth="1"/>
    <col min="5466" max="5466" width="14" style="516" customWidth="1"/>
    <col min="5467" max="5472" width="0" style="516" hidden="1" customWidth="1"/>
    <col min="5473" max="5473" width="14" style="516" customWidth="1"/>
    <col min="5474" max="5479" width="0" style="516" hidden="1" customWidth="1"/>
    <col min="5480" max="5480" width="14" style="516" customWidth="1"/>
    <col min="5481" max="5486" width="0" style="516" hidden="1" customWidth="1"/>
    <col min="5487" max="5487" width="14" style="516" customWidth="1"/>
    <col min="5488" max="5493" width="0" style="516" hidden="1" customWidth="1"/>
    <col min="5494" max="5494" width="14" style="516" customWidth="1"/>
    <col min="5495" max="5500" width="0" style="516" hidden="1" customWidth="1"/>
    <col min="5501" max="5501" width="14" style="516" customWidth="1"/>
    <col min="5502" max="5507" width="0" style="516" hidden="1" customWidth="1"/>
    <col min="5508" max="5508" width="14" style="516" customWidth="1"/>
    <col min="5509" max="5514" width="0" style="516" hidden="1" customWidth="1"/>
    <col min="5515" max="5515" width="14" style="516" customWidth="1"/>
    <col min="5516" max="5521" width="0" style="516" hidden="1" customWidth="1"/>
    <col min="5522" max="5522" width="14" style="516" customWidth="1"/>
    <col min="5523" max="5528" width="0" style="516" hidden="1" customWidth="1"/>
    <col min="5529" max="5529" width="14" style="516" customWidth="1"/>
    <col min="5530" max="5535" width="0" style="516" hidden="1" customWidth="1"/>
    <col min="5536" max="5536" width="14" style="516" customWidth="1"/>
    <col min="5537" max="5675" width="11.42578125" style="516"/>
    <col min="5676" max="5676" width="5.140625" style="516" bestFit="1" customWidth="1"/>
    <col min="5677" max="5677" width="15.28515625" style="516" bestFit="1" customWidth="1"/>
    <col min="5678" max="5680" width="0" style="516" hidden="1" customWidth="1"/>
    <col min="5681" max="5681" width="57.140625" style="516" bestFit="1" customWidth="1"/>
    <col min="5682" max="5682" width="5.140625" style="516" bestFit="1" customWidth="1"/>
    <col min="5683" max="5684" width="0" style="516" hidden="1" customWidth="1"/>
    <col min="5685" max="5685" width="5.7109375" style="516" bestFit="1" customWidth="1"/>
    <col min="5686" max="5686" width="5.140625" style="516" customWidth="1"/>
    <col min="5687" max="5687" width="14" style="516" customWidth="1"/>
    <col min="5688" max="5693" width="0" style="516" hidden="1" customWidth="1"/>
    <col min="5694" max="5694" width="14" style="516" customWidth="1"/>
    <col min="5695" max="5700" width="0" style="516" hidden="1" customWidth="1"/>
    <col min="5701" max="5701" width="14" style="516" customWidth="1"/>
    <col min="5702" max="5707" width="0" style="516" hidden="1" customWidth="1"/>
    <col min="5708" max="5708" width="14" style="516" customWidth="1"/>
    <col min="5709" max="5714" width="0" style="516" hidden="1" customWidth="1"/>
    <col min="5715" max="5715" width="14" style="516" customWidth="1"/>
    <col min="5716" max="5721" width="0" style="516" hidden="1" customWidth="1"/>
    <col min="5722" max="5722" width="14" style="516" customWidth="1"/>
    <col min="5723" max="5728" width="0" style="516" hidden="1" customWidth="1"/>
    <col min="5729" max="5729" width="14" style="516" customWidth="1"/>
    <col min="5730" max="5735" width="0" style="516" hidden="1" customWidth="1"/>
    <col min="5736" max="5736" width="14" style="516" customWidth="1"/>
    <col min="5737" max="5742" width="0" style="516" hidden="1" customWidth="1"/>
    <col min="5743" max="5743" width="14" style="516" customWidth="1"/>
    <col min="5744" max="5749" width="0" style="516" hidden="1" customWidth="1"/>
    <col min="5750" max="5750" width="14" style="516" customWidth="1"/>
    <col min="5751" max="5756" width="0" style="516" hidden="1" customWidth="1"/>
    <col min="5757" max="5757" width="14" style="516" customWidth="1"/>
    <col min="5758" max="5763" width="0" style="516" hidden="1" customWidth="1"/>
    <col min="5764" max="5764" width="14" style="516" customWidth="1"/>
    <col min="5765" max="5770" width="0" style="516" hidden="1" customWidth="1"/>
    <col min="5771" max="5771" width="14" style="516" customWidth="1"/>
    <col min="5772" max="5777" width="0" style="516" hidden="1" customWidth="1"/>
    <col min="5778" max="5778" width="14" style="516" customWidth="1"/>
    <col min="5779" max="5784" width="0" style="516" hidden="1" customWidth="1"/>
    <col min="5785" max="5785" width="14" style="516" customWidth="1"/>
    <col min="5786" max="5791" width="0" style="516" hidden="1" customWidth="1"/>
    <col min="5792" max="5792" width="14" style="516" customWidth="1"/>
    <col min="5793" max="5931" width="11.42578125" style="516"/>
    <col min="5932" max="5932" width="5.140625" style="516" bestFit="1" customWidth="1"/>
    <col min="5933" max="5933" width="15.28515625" style="516" bestFit="1" customWidth="1"/>
    <col min="5934" max="5936" width="0" style="516" hidden="1" customWidth="1"/>
    <col min="5937" max="5937" width="57.140625" style="516" bestFit="1" customWidth="1"/>
    <col min="5938" max="5938" width="5.140625" style="516" bestFit="1" customWidth="1"/>
    <col min="5939" max="5940" width="0" style="516" hidden="1" customWidth="1"/>
    <col min="5941" max="5941" width="5.7109375" style="516" bestFit="1" customWidth="1"/>
    <col min="5942" max="5942" width="5.140625" style="516" customWidth="1"/>
    <col min="5943" max="5943" width="14" style="516" customWidth="1"/>
    <col min="5944" max="5949" width="0" style="516" hidden="1" customWidth="1"/>
    <col min="5950" max="5950" width="14" style="516" customWidth="1"/>
    <col min="5951" max="5956" width="0" style="516" hidden="1" customWidth="1"/>
    <col min="5957" max="5957" width="14" style="516" customWidth="1"/>
    <col min="5958" max="5963" width="0" style="516" hidden="1" customWidth="1"/>
    <col min="5964" max="5964" width="14" style="516" customWidth="1"/>
    <col min="5965" max="5970" width="0" style="516" hidden="1" customWidth="1"/>
    <col min="5971" max="5971" width="14" style="516" customWidth="1"/>
    <col min="5972" max="5977" width="0" style="516" hidden="1" customWidth="1"/>
    <col min="5978" max="5978" width="14" style="516" customWidth="1"/>
    <col min="5979" max="5984" width="0" style="516" hidden="1" customWidth="1"/>
    <col min="5985" max="5985" width="14" style="516" customWidth="1"/>
    <col min="5986" max="5991" width="0" style="516" hidden="1" customWidth="1"/>
    <col min="5992" max="5992" width="14" style="516" customWidth="1"/>
    <col min="5993" max="5998" width="0" style="516" hidden="1" customWidth="1"/>
    <col min="5999" max="5999" width="14" style="516" customWidth="1"/>
    <col min="6000" max="6005" width="0" style="516" hidden="1" customWidth="1"/>
    <col min="6006" max="6006" width="14" style="516" customWidth="1"/>
    <col min="6007" max="6012" width="0" style="516" hidden="1" customWidth="1"/>
    <col min="6013" max="6013" width="14" style="516" customWidth="1"/>
    <col min="6014" max="6019" width="0" style="516" hidden="1" customWidth="1"/>
    <col min="6020" max="6020" width="14" style="516" customWidth="1"/>
    <col min="6021" max="6026" width="0" style="516" hidden="1" customWidth="1"/>
    <col min="6027" max="6027" width="14" style="516" customWidth="1"/>
    <col min="6028" max="6033" width="0" style="516" hidden="1" customWidth="1"/>
    <col min="6034" max="6034" width="14" style="516" customWidth="1"/>
    <col min="6035" max="6040" width="0" style="516" hidden="1" customWidth="1"/>
    <col min="6041" max="6041" width="14" style="516" customWidth="1"/>
    <col min="6042" max="6047" width="0" style="516" hidden="1" customWidth="1"/>
    <col min="6048" max="6048" width="14" style="516" customWidth="1"/>
    <col min="6049" max="6187" width="11.42578125" style="516"/>
    <col min="6188" max="6188" width="5.140625" style="516" bestFit="1" customWidth="1"/>
    <col min="6189" max="6189" width="15.28515625" style="516" bestFit="1" customWidth="1"/>
    <col min="6190" max="6192" width="0" style="516" hidden="1" customWidth="1"/>
    <col min="6193" max="6193" width="57.140625" style="516" bestFit="1" customWidth="1"/>
    <col min="6194" max="6194" width="5.140625" style="516" bestFit="1" customWidth="1"/>
    <col min="6195" max="6196" width="0" style="516" hidden="1" customWidth="1"/>
    <col min="6197" max="6197" width="5.7109375" style="516" bestFit="1" customWidth="1"/>
    <col min="6198" max="6198" width="5.140625" style="516" customWidth="1"/>
    <col min="6199" max="6199" width="14" style="516" customWidth="1"/>
    <col min="6200" max="6205" width="0" style="516" hidden="1" customWidth="1"/>
    <col min="6206" max="6206" width="14" style="516" customWidth="1"/>
    <col min="6207" max="6212" width="0" style="516" hidden="1" customWidth="1"/>
    <col min="6213" max="6213" width="14" style="516" customWidth="1"/>
    <col min="6214" max="6219" width="0" style="516" hidden="1" customWidth="1"/>
    <col min="6220" max="6220" width="14" style="516" customWidth="1"/>
    <col min="6221" max="6226" width="0" style="516" hidden="1" customWidth="1"/>
    <col min="6227" max="6227" width="14" style="516" customWidth="1"/>
    <col min="6228" max="6233" width="0" style="516" hidden="1" customWidth="1"/>
    <col min="6234" max="6234" width="14" style="516" customWidth="1"/>
    <col min="6235" max="6240" width="0" style="516" hidden="1" customWidth="1"/>
    <col min="6241" max="6241" width="14" style="516" customWidth="1"/>
    <col min="6242" max="6247" width="0" style="516" hidden="1" customWidth="1"/>
    <col min="6248" max="6248" width="14" style="516" customWidth="1"/>
    <col min="6249" max="6254" width="0" style="516" hidden="1" customWidth="1"/>
    <col min="6255" max="6255" width="14" style="516" customWidth="1"/>
    <col min="6256" max="6261" width="0" style="516" hidden="1" customWidth="1"/>
    <col min="6262" max="6262" width="14" style="516" customWidth="1"/>
    <col min="6263" max="6268" width="0" style="516" hidden="1" customWidth="1"/>
    <col min="6269" max="6269" width="14" style="516" customWidth="1"/>
    <col min="6270" max="6275" width="0" style="516" hidden="1" customWidth="1"/>
    <col min="6276" max="6276" width="14" style="516" customWidth="1"/>
    <col min="6277" max="6282" width="0" style="516" hidden="1" customWidth="1"/>
    <col min="6283" max="6283" width="14" style="516" customWidth="1"/>
    <col min="6284" max="6289" width="0" style="516" hidden="1" customWidth="1"/>
    <col min="6290" max="6290" width="14" style="516" customWidth="1"/>
    <col min="6291" max="6296" width="0" style="516" hidden="1" customWidth="1"/>
    <col min="6297" max="6297" width="14" style="516" customWidth="1"/>
    <col min="6298" max="6303" width="0" style="516" hidden="1" customWidth="1"/>
    <col min="6304" max="6304" width="14" style="516" customWidth="1"/>
    <col min="6305" max="6443" width="11.42578125" style="516"/>
    <col min="6444" max="6444" width="5.140625" style="516" bestFit="1" customWidth="1"/>
    <col min="6445" max="6445" width="15.28515625" style="516" bestFit="1" customWidth="1"/>
    <col min="6446" max="6448" width="0" style="516" hidden="1" customWidth="1"/>
    <col min="6449" max="6449" width="57.140625" style="516" bestFit="1" customWidth="1"/>
    <col min="6450" max="6450" width="5.140625" style="516" bestFit="1" customWidth="1"/>
    <col min="6451" max="6452" width="0" style="516" hidden="1" customWidth="1"/>
    <col min="6453" max="6453" width="5.7109375" style="516" bestFit="1" customWidth="1"/>
    <col min="6454" max="6454" width="5.140625" style="516" customWidth="1"/>
    <col min="6455" max="6455" width="14" style="516" customWidth="1"/>
    <col min="6456" max="6461" width="0" style="516" hidden="1" customWidth="1"/>
    <col min="6462" max="6462" width="14" style="516" customWidth="1"/>
    <col min="6463" max="6468" width="0" style="516" hidden="1" customWidth="1"/>
    <col min="6469" max="6469" width="14" style="516" customWidth="1"/>
    <col min="6470" max="6475" width="0" style="516" hidden="1" customWidth="1"/>
    <col min="6476" max="6476" width="14" style="516" customWidth="1"/>
    <col min="6477" max="6482" width="0" style="516" hidden="1" customWidth="1"/>
    <col min="6483" max="6483" width="14" style="516" customWidth="1"/>
    <col min="6484" max="6489" width="0" style="516" hidden="1" customWidth="1"/>
    <col min="6490" max="6490" width="14" style="516" customWidth="1"/>
    <col min="6491" max="6496" width="0" style="516" hidden="1" customWidth="1"/>
    <col min="6497" max="6497" width="14" style="516" customWidth="1"/>
    <col min="6498" max="6503" width="0" style="516" hidden="1" customWidth="1"/>
    <col min="6504" max="6504" width="14" style="516" customWidth="1"/>
    <col min="6505" max="6510" width="0" style="516" hidden="1" customWidth="1"/>
    <col min="6511" max="6511" width="14" style="516" customWidth="1"/>
    <col min="6512" max="6517" width="0" style="516" hidden="1" customWidth="1"/>
    <col min="6518" max="6518" width="14" style="516" customWidth="1"/>
    <col min="6519" max="6524" width="0" style="516" hidden="1" customWidth="1"/>
    <col min="6525" max="6525" width="14" style="516" customWidth="1"/>
    <col min="6526" max="6531" width="0" style="516" hidden="1" customWidth="1"/>
    <col min="6532" max="6532" width="14" style="516" customWidth="1"/>
    <col min="6533" max="6538" width="0" style="516" hidden="1" customWidth="1"/>
    <col min="6539" max="6539" width="14" style="516" customWidth="1"/>
    <col min="6540" max="6545" width="0" style="516" hidden="1" customWidth="1"/>
    <col min="6546" max="6546" width="14" style="516" customWidth="1"/>
    <col min="6547" max="6552" width="0" style="516" hidden="1" customWidth="1"/>
    <col min="6553" max="6553" width="14" style="516" customWidth="1"/>
    <col min="6554" max="6559" width="0" style="516" hidden="1" customWidth="1"/>
    <col min="6560" max="6560" width="14" style="516" customWidth="1"/>
    <col min="6561" max="6699" width="11.42578125" style="516"/>
    <col min="6700" max="6700" width="5.140625" style="516" bestFit="1" customWidth="1"/>
    <col min="6701" max="6701" width="15.28515625" style="516" bestFit="1" customWidth="1"/>
    <col min="6702" max="6704" width="0" style="516" hidden="1" customWidth="1"/>
    <col min="6705" max="6705" width="57.140625" style="516" bestFit="1" customWidth="1"/>
    <col min="6706" max="6706" width="5.140625" style="516" bestFit="1" customWidth="1"/>
    <col min="6707" max="6708" width="0" style="516" hidden="1" customWidth="1"/>
    <col min="6709" max="6709" width="5.7109375" style="516" bestFit="1" customWidth="1"/>
    <col min="6710" max="6710" width="5.140625" style="516" customWidth="1"/>
    <col min="6711" max="6711" width="14" style="516" customWidth="1"/>
    <col min="6712" max="6717" width="0" style="516" hidden="1" customWidth="1"/>
    <col min="6718" max="6718" width="14" style="516" customWidth="1"/>
    <col min="6719" max="6724" width="0" style="516" hidden="1" customWidth="1"/>
    <col min="6725" max="6725" width="14" style="516" customWidth="1"/>
    <col min="6726" max="6731" width="0" style="516" hidden="1" customWidth="1"/>
    <col min="6732" max="6732" width="14" style="516" customWidth="1"/>
    <col min="6733" max="6738" width="0" style="516" hidden="1" customWidth="1"/>
    <col min="6739" max="6739" width="14" style="516" customWidth="1"/>
    <col min="6740" max="6745" width="0" style="516" hidden="1" customWidth="1"/>
    <col min="6746" max="6746" width="14" style="516" customWidth="1"/>
    <col min="6747" max="6752" width="0" style="516" hidden="1" customWidth="1"/>
    <col min="6753" max="6753" width="14" style="516" customWidth="1"/>
    <col min="6754" max="6759" width="0" style="516" hidden="1" customWidth="1"/>
    <col min="6760" max="6760" width="14" style="516" customWidth="1"/>
    <col min="6761" max="6766" width="0" style="516" hidden="1" customWidth="1"/>
    <col min="6767" max="6767" width="14" style="516" customWidth="1"/>
    <col min="6768" max="6773" width="0" style="516" hidden="1" customWidth="1"/>
    <col min="6774" max="6774" width="14" style="516" customWidth="1"/>
    <col min="6775" max="6780" width="0" style="516" hidden="1" customWidth="1"/>
    <col min="6781" max="6781" width="14" style="516" customWidth="1"/>
    <col min="6782" max="6787" width="0" style="516" hidden="1" customWidth="1"/>
    <col min="6788" max="6788" width="14" style="516" customWidth="1"/>
    <col min="6789" max="6794" width="0" style="516" hidden="1" customWidth="1"/>
    <col min="6795" max="6795" width="14" style="516" customWidth="1"/>
    <col min="6796" max="6801" width="0" style="516" hidden="1" customWidth="1"/>
    <col min="6802" max="6802" width="14" style="516" customWidth="1"/>
    <col min="6803" max="6808" width="0" style="516" hidden="1" customWidth="1"/>
    <col min="6809" max="6809" width="14" style="516" customWidth="1"/>
    <col min="6810" max="6815" width="0" style="516" hidden="1" customWidth="1"/>
    <col min="6816" max="6816" width="14" style="516" customWidth="1"/>
    <col min="6817" max="6955" width="11.42578125" style="516"/>
    <col min="6956" max="6956" width="5.140625" style="516" bestFit="1" customWidth="1"/>
    <col min="6957" max="6957" width="15.28515625" style="516" bestFit="1" customWidth="1"/>
    <col min="6958" max="6960" width="0" style="516" hidden="1" customWidth="1"/>
    <col min="6961" max="6961" width="57.140625" style="516" bestFit="1" customWidth="1"/>
    <col min="6962" max="6962" width="5.140625" style="516" bestFit="1" customWidth="1"/>
    <col min="6963" max="6964" width="0" style="516" hidden="1" customWidth="1"/>
    <col min="6965" max="6965" width="5.7109375" style="516" bestFit="1" customWidth="1"/>
    <col min="6966" max="6966" width="5.140625" style="516" customWidth="1"/>
    <col min="6967" max="6967" width="14" style="516" customWidth="1"/>
    <col min="6968" max="6973" width="0" style="516" hidden="1" customWidth="1"/>
    <col min="6974" max="6974" width="14" style="516" customWidth="1"/>
    <col min="6975" max="6980" width="0" style="516" hidden="1" customWidth="1"/>
    <col min="6981" max="6981" width="14" style="516" customWidth="1"/>
    <col min="6982" max="6987" width="0" style="516" hidden="1" customWidth="1"/>
    <col min="6988" max="6988" width="14" style="516" customWidth="1"/>
    <col min="6989" max="6994" width="0" style="516" hidden="1" customWidth="1"/>
    <col min="6995" max="6995" width="14" style="516" customWidth="1"/>
    <col min="6996" max="7001" width="0" style="516" hidden="1" customWidth="1"/>
    <col min="7002" max="7002" width="14" style="516" customWidth="1"/>
    <col min="7003" max="7008" width="0" style="516" hidden="1" customWidth="1"/>
    <col min="7009" max="7009" width="14" style="516" customWidth="1"/>
    <col min="7010" max="7015" width="0" style="516" hidden="1" customWidth="1"/>
    <col min="7016" max="7016" width="14" style="516" customWidth="1"/>
    <col min="7017" max="7022" width="0" style="516" hidden="1" customWidth="1"/>
    <col min="7023" max="7023" width="14" style="516" customWidth="1"/>
    <col min="7024" max="7029" width="0" style="516" hidden="1" customWidth="1"/>
    <col min="7030" max="7030" width="14" style="516" customWidth="1"/>
    <col min="7031" max="7036" width="0" style="516" hidden="1" customWidth="1"/>
    <col min="7037" max="7037" width="14" style="516" customWidth="1"/>
    <col min="7038" max="7043" width="0" style="516" hidden="1" customWidth="1"/>
    <col min="7044" max="7044" width="14" style="516" customWidth="1"/>
    <col min="7045" max="7050" width="0" style="516" hidden="1" customWidth="1"/>
    <col min="7051" max="7051" width="14" style="516" customWidth="1"/>
    <col min="7052" max="7057" width="0" style="516" hidden="1" customWidth="1"/>
    <col min="7058" max="7058" width="14" style="516" customWidth="1"/>
    <col min="7059" max="7064" width="0" style="516" hidden="1" customWidth="1"/>
    <col min="7065" max="7065" width="14" style="516" customWidth="1"/>
    <col min="7066" max="7071" width="0" style="516" hidden="1" customWidth="1"/>
    <col min="7072" max="7072" width="14" style="516" customWidth="1"/>
    <col min="7073" max="7211" width="11.42578125" style="516"/>
    <col min="7212" max="7212" width="5.140625" style="516" bestFit="1" customWidth="1"/>
    <col min="7213" max="7213" width="15.28515625" style="516" bestFit="1" customWidth="1"/>
    <col min="7214" max="7216" width="0" style="516" hidden="1" customWidth="1"/>
    <col min="7217" max="7217" width="57.140625" style="516" bestFit="1" customWidth="1"/>
    <col min="7218" max="7218" width="5.140625" style="516" bestFit="1" customWidth="1"/>
    <col min="7219" max="7220" width="0" style="516" hidden="1" customWidth="1"/>
    <col min="7221" max="7221" width="5.7109375" style="516" bestFit="1" customWidth="1"/>
    <col min="7222" max="7222" width="5.140625" style="516" customWidth="1"/>
    <col min="7223" max="7223" width="14" style="516" customWidth="1"/>
    <col min="7224" max="7229" width="0" style="516" hidden="1" customWidth="1"/>
    <col min="7230" max="7230" width="14" style="516" customWidth="1"/>
    <col min="7231" max="7236" width="0" style="516" hidden="1" customWidth="1"/>
    <col min="7237" max="7237" width="14" style="516" customWidth="1"/>
    <col min="7238" max="7243" width="0" style="516" hidden="1" customWidth="1"/>
    <col min="7244" max="7244" width="14" style="516" customWidth="1"/>
    <col min="7245" max="7250" width="0" style="516" hidden="1" customWidth="1"/>
    <col min="7251" max="7251" width="14" style="516" customWidth="1"/>
    <col min="7252" max="7257" width="0" style="516" hidden="1" customWidth="1"/>
    <col min="7258" max="7258" width="14" style="516" customWidth="1"/>
    <col min="7259" max="7264" width="0" style="516" hidden="1" customWidth="1"/>
    <col min="7265" max="7265" width="14" style="516" customWidth="1"/>
    <col min="7266" max="7271" width="0" style="516" hidden="1" customWidth="1"/>
    <col min="7272" max="7272" width="14" style="516" customWidth="1"/>
    <col min="7273" max="7278" width="0" style="516" hidden="1" customWidth="1"/>
    <col min="7279" max="7279" width="14" style="516" customWidth="1"/>
    <col min="7280" max="7285" width="0" style="516" hidden="1" customWidth="1"/>
    <col min="7286" max="7286" width="14" style="516" customWidth="1"/>
    <col min="7287" max="7292" width="0" style="516" hidden="1" customWidth="1"/>
    <col min="7293" max="7293" width="14" style="516" customWidth="1"/>
    <col min="7294" max="7299" width="0" style="516" hidden="1" customWidth="1"/>
    <col min="7300" max="7300" width="14" style="516" customWidth="1"/>
    <col min="7301" max="7306" width="0" style="516" hidden="1" customWidth="1"/>
    <col min="7307" max="7307" width="14" style="516" customWidth="1"/>
    <col min="7308" max="7313" width="0" style="516" hidden="1" customWidth="1"/>
    <col min="7314" max="7314" width="14" style="516" customWidth="1"/>
    <col min="7315" max="7320" width="0" style="516" hidden="1" customWidth="1"/>
    <col min="7321" max="7321" width="14" style="516" customWidth="1"/>
    <col min="7322" max="7327" width="0" style="516" hidden="1" customWidth="1"/>
    <col min="7328" max="7328" width="14" style="516" customWidth="1"/>
    <col min="7329" max="7467" width="11.42578125" style="516"/>
    <col min="7468" max="7468" width="5.140625" style="516" bestFit="1" customWidth="1"/>
    <col min="7469" max="7469" width="15.28515625" style="516" bestFit="1" customWidth="1"/>
    <col min="7470" max="7472" width="0" style="516" hidden="1" customWidth="1"/>
    <col min="7473" max="7473" width="57.140625" style="516" bestFit="1" customWidth="1"/>
    <col min="7474" max="7474" width="5.140625" style="516" bestFit="1" customWidth="1"/>
    <col min="7475" max="7476" width="0" style="516" hidden="1" customWidth="1"/>
    <col min="7477" max="7477" width="5.7109375" style="516" bestFit="1" customWidth="1"/>
    <col min="7478" max="7478" width="5.140625" style="516" customWidth="1"/>
    <col min="7479" max="7479" width="14" style="516" customWidth="1"/>
    <col min="7480" max="7485" width="0" style="516" hidden="1" customWidth="1"/>
    <col min="7486" max="7486" width="14" style="516" customWidth="1"/>
    <col min="7487" max="7492" width="0" style="516" hidden="1" customWidth="1"/>
    <col min="7493" max="7493" width="14" style="516" customWidth="1"/>
    <col min="7494" max="7499" width="0" style="516" hidden="1" customWidth="1"/>
    <col min="7500" max="7500" width="14" style="516" customWidth="1"/>
    <col min="7501" max="7506" width="0" style="516" hidden="1" customWidth="1"/>
    <col min="7507" max="7507" width="14" style="516" customWidth="1"/>
    <col min="7508" max="7513" width="0" style="516" hidden="1" customWidth="1"/>
    <col min="7514" max="7514" width="14" style="516" customWidth="1"/>
    <col min="7515" max="7520" width="0" style="516" hidden="1" customWidth="1"/>
    <col min="7521" max="7521" width="14" style="516" customWidth="1"/>
    <col min="7522" max="7527" width="0" style="516" hidden="1" customWidth="1"/>
    <col min="7528" max="7528" width="14" style="516" customWidth="1"/>
    <col min="7529" max="7534" width="0" style="516" hidden="1" customWidth="1"/>
    <col min="7535" max="7535" width="14" style="516" customWidth="1"/>
    <col min="7536" max="7541" width="0" style="516" hidden="1" customWidth="1"/>
    <col min="7542" max="7542" width="14" style="516" customWidth="1"/>
    <col min="7543" max="7548" width="0" style="516" hidden="1" customWidth="1"/>
    <col min="7549" max="7549" width="14" style="516" customWidth="1"/>
    <col min="7550" max="7555" width="0" style="516" hidden="1" customWidth="1"/>
    <col min="7556" max="7556" width="14" style="516" customWidth="1"/>
    <col min="7557" max="7562" width="0" style="516" hidden="1" customWidth="1"/>
    <col min="7563" max="7563" width="14" style="516" customWidth="1"/>
    <col min="7564" max="7569" width="0" style="516" hidden="1" customWidth="1"/>
    <col min="7570" max="7570" width="14" style="516" customWidth="1"/>
    <col min="7571" max="7576" width="0" style="516" hidden="1" customWidth="1"/>
    <col min="7577" max="7577" width="14" style="516" customWidth="1"/>
    <col min="7578" max="7583" width="0" style="516" hidden="1" customWidth="1"/>
    <col min="7584" max="7584" width="14" style="516" customWidth="1"/>
    <col min="7585" max="7723" width="11.42578125" style="516"/>
    <col min="7724" max="7724" width="5.140625" style="516" bestFit="1" customWidth="1"/>
    <col min="7725" max="7725" width="15.28515625" style="516" bestFit="1" customWidth="1"/>
    <col min="7726" max="7728" width="0" style="516" hidden="1" customWidth="1"/>
    <col min="7729" max="7729" width="57.140625" style="516" bestFit="1" customWidth="1"/>
    <col min="7730" max="7730" width="5.140625" style="516" bestFit="1" customWidth="1"/>
    <col min="7731" max="7732" width="0" style="516" hidden="1" customWidth="1"/>
    <col min="7733" max="7733" width="5.7109375" style="516" bestFit="1" customWidth="1"/>
    <col min="7734" max="7734" width="5.140625" style="516" customWidth="1"/>
    <col min="7735" max="7735" width="14" style="516" customWidth="1"/>
    <col min="7736" max="7741" width="0" style="516" hidden="1" customWidth="1"/>
    <col min="7742" max="7742" width="14" style="516" customWidth="1"/>
    <col min="7743" max="7748" width="0" style="516" hidden="1" customWidth="1"/>
    <col min="7749" max="7749" width="14" style="516" customWidth="1"/>
    <col min="7750" max="7755" width="0" style="516" hidden="1" customWidth="1"/>
    <col min="7756" max="7756" width="14" style="516" customWidth="1"/>
    <col min="7757" max="7762" width="0" style="516" hidden="1" customWidth="1"/>
    <col min="7763" max="7763" width="14" style="516" customWidth="1"/>
    <col min="7764" max="7769" width="0" style="516" hidden="1" customWidth="1"/>
    <col min="7770" max="7770" width="14" style="516" customWidth="1"/>
    <col min="7771" max="7776" width="0" style="516" hidden="1" customWidth="1"/>
    <col min="7777" max="7777" width="14" style="516" customWidth="1"/>
    <col min="7778" max="7783" width="0" style="516" hidden="1" customWidth="1"/>
    <col min="7784" max="7784" width="14" style="516" customWidth="1"/>
    <col min="7785" max="7790" width="0" style="516" hidden="1" customWidth="1"/>
    <col min="7791" max="7791" width="14" style="516" customWidth="1"/>
    <col min="7792" max="7797" width="0" style="516" hidden="1" customWidth="1"/>
    <col min="7798" max="7798" width="14" style="516" customWidth="1"/>
    <col min="7799" max="7804" width="0" style="516" hidden="1" customWidth="1"/>
    <col min="7805" max="7805" width="14" style="516" customWidth="1"/>
    <col min="7806" max="7811" width="0" style="516" hidden="1" customWidth="1"/>
    <col min="7812" max="7812" width="14" style="516" customWidth="1"/>
    <col min="7813" max="7818" width="0" style="516" hidden="1" customWidth="1"/>
    <col min="7819" max="7819" width="14" style="516" customWidth="1"/>
    <col min="7820" max="7825" width="0" style="516" hidden="1" customWidth="1"/>
    <col min="7826" max="7826" width="14" style="516" customWidth="1"/>
    <col min="7827" max="7832" width="0" style="516" hidden="1" customWidth="1"/>
    <col min="7833" max="7833" width="14" style="516" customWidth="1"/>
    <col min="7834" max="7839" width="0" style="516" hidden="1" customWidth="1"/>
    <col min="7840" max="7840" width="14" style="516" customWidth="1"/>
    <col min="7841" max="7979" width="11.42578125" style="516"/>
    <col min="7980" max="7980" width="5.140625" style="516" bestFit="1" customWidth="1"/>
    <col min="7981" max="7981" width="15.28515625" style="516" bestFit="1" customWidth="1"/>
    <col min="7982" max="7984" width="0" style="516" hidden="1" customWidth="1"/>
    <col min="7985" max="7985" width="57.140625" style="516" bestFit="1" customWidth="1"/>
    <col min="7986" max="7986" width="5.140625" style="516" bestFit="1" customWidth="1"/>
    <col min="7987" max="7988" width="0" style="516" hidden="1" customWidth="1"/>
    <col min="7989" max="7989" width="5.7109375" style="516" bestFit="1" customWidth="1"/>
    <col min="7990" max="7990" width="5.140625" style="516" customWidth="1"/>
    <col min="7991" max="7991" width="14" style="516" customWidth="1"/>
    <col min="7992" max="7997" width="0" style="516" hidden="1" customWidth="1"/>
    <col min="7998" max="7998" width="14" style="516" customWidth="1"/>
    <col min="7999" max="8004" width="0" style="516" hidden="1" customWidth="1"/>
    <col min="8005" max="8005" width="14" style="516" customWidth="1"/>
    <col min="8006" max="8011" width="0" style="516" hidden="1" customWidth="1"/>
    <col min="8012" max="8012" width="14" style="516" customWidth="1"/>
    <col min="8013" max="8018" width="0" style="516" hidden="1" customWidth="1"/>
    <col min="8019" max="8019" width="14" style="516" customWidth="1"/>
    <col min="8020" max="8025" width="0" style="516" hidden="1" customWidth="1"/>
    <col min="8026" max="8026" width="14" style="516" customWidth="1"/>
    <col min="8027" max="8032" width="0" style="516" hidden="1" customWidth="1"/>
    <col min="8033" max="8033" width="14" style="516" customWidth="1"/>
    <col min="8034" max="8039" width="0" style="516" hidden="1" customWidth="1"/>
    <col min="8040" max="8040" width="14" style="516" customWidth="1"/>
    <col min="8041" max="8046" width="0" style="516" hidden="1" customWidth="1"/>
    <col min="8047" max="8047" width="14" style="516" customWidth="1"/>
    <col min="8048" max="8053" width="0" style="516" hidden="1" customWidth="1"/>
    <col min="8054" max="8054" width="14" style="516" customWidth="1"/>
    <col min="8055" max="8060" width="0" style="516" hidden="1" customWidth="1"/>
    <col min="8061" max="8061" width="14" style="516" customWidth="1"/>
    <col min="8062" max="8067" width="0" style="516" hidden="1" customWidth="1"/>
    <col min="8068" max="8068" width="14" style="516" customWidth="1"/>
    <col min="8069" max="8074" width="0" style="516" hidden="1" customWidth="1"/>
    <col min="8075" max="8075" width="14" style="516" customWidth="1"/>
    <col min="8076" max="8081" width="0" style="516" hidden="1" customWidth="1"/>
    <col min="8082" max="8082" width="14" style="516" customWidth="1"/>
    <col min="8083" max="8088" width="0" style="516" hidden="1" customWidth="1"/>
    <col min="8089" max="8089" width="14" style="516" customWidth="1"/>
    <col min="8090" max="8095" width="0" style="516" hidden="1" customWidth="1"/>
    <col min="8096" max="8096" width="14" style="516" customWidth="1"/>
    <col min="8097" max="8235" width="11.42578125" style="516"/>
    <col min="8236" max="8236" width="5.140625" style="516" bestFit="1" customWidth="1"/>
    <col min="8237" max="8237" width="15.28515625" style="516" bestFit="1" customWidth="1"/>
    <col min="8238" max="8240" width="0" style="516" hidden="1" customWidth="1"/>
    <col min="8241" max="8241" width="57.140625" style="516" bestFit="1" customWidth="1"/>
    <col min="8242" max="8242" width="5.140625" style="516" bestFit="1" customWidth="1"/>
    <col min="8243" max="8244" width="0" style="516" hidden="1" customWidth="1"/>
    <col min="8245" max="8245" width="5.7109375" style="516" bestFit="1" customWidth="1"/>
    <col min="8246" max="8246" width="5.140625" style="516" customWidth="1"/>
    <col min="8247" max="8247" width="14" style="516" customWidth="1"/>
    <col min="8248" max="8253" width="0" style="516" hidden="1" customWidth="1"/>
    <col min="8254" max="8254" width="14" style="516" customWidth="1"/>
    <col min="8255" max="8260" width="0" style="516" hidden="1" customWidth="1"/>
    <col min="8261" max="8261" width="14" style="516" customWidth="1"/>
    <col min="8262" max="8267" width="0" style="516" hidden="1" customWidth="1"/>
    <col min="8268" max="8268" width="14" style="516" customWidth="1"/>
    <col min="8269" max="8274" width="0" style="516" hidden="1" customWidth="1"/>
    <col min="8275" max="8275" width="14" style="516" customWidth="1"/>
    <col min="8276" max="8281" width="0" style="516" hidden="1" customWidth="1"/>
    <col min="8282" max="8282" width="14" style="516" customWidth="1"/>
    <col min="8283" max="8288" width="0" style="516" hidden="1" customWidth="1"/>
    <col min="8289" max="8289" width="14" style="516" customWidth="1"/>
    <col min="8290" max="8295" width="0" style="516" hidden="1" customWidth="1"/>
    <col min="8296" max="8296" width="14" style="516" customWidth="1"/>
    <col min="8297" max="8302" width="0" style="516" hidden="1" customWidth="1"/>
    <col min="8303" max="8303" width="14" style="516" customWidth="1"/>
    <col min="8304" max="8309" width="0" style="516" hidden="1" customWidth="1"/>
    <col min="8310" max="8310" width="14" style="516" customWidth="1"/>
    <col min="8311" max="8316" width="0" style="516" hidden="1" customWidth="1"/>
    <col min="8317" max="8317" width="14" style="516" customWidth="1"/>
    <col min="8318" max="8323" width="0" style="516" hidden="1" customWidth="1"/>
    <col min="8324" max="8324" width="14" style="516" customWidth="1"/>
    <col min="8325" max="8330" width="0" style="516" hidden="1" customWidth="1"/>
    <col min="8331" max="8331" width="14" style="516" customWidth="1"/>
    <col min="8332" max="8337" width="0" style="516" hidden="1" customWidth="1"/>
    <col min="8338" max="8338" width="14" style="516" customWidth="1"/>
    <col min="8339" max="8344" width="0" style="516" hidden="1" customWidth="1"/>
    <col min="8345" max="8345" width="14" style="516" customWidth="1"/>
    <col min="8346" max="8351" width="0" style="516" hidden="1" customWidth="1"/>
    <col min="8352" max="8352" width="14" style="516" customWidth="1"/>
    <col min="8353" max="8491" width="11.42578125" style="516"/>
    <col min="8492" max="8492" width="5.140625" style="516" bestFit="1" customWidth="1"/>
    <col min="8493" max="8493" width="15.28515625" style="516" bestFit="1" customWidth="1"/>
    <col min="8494" max="8496" width="0" style="516" hidden="1" customWidth="1"/>
    <col min="8497" max="8497" width="57.140625" style="516" bestFit="1" customWidth="1"/>
    <col min="8498" max="8498" width="5.140625" style="516" bestFit="1" customWidth="1"/>
    <col min="8499" max="8500" width="0" style="516" hidden="1" customWidth="1"/>
    <col min="8501" max="8501" width="5.7109375" style="516" bestFit="1" customWidth="1"/>
    <col min="8502" max="8502" width="5.140625" style="516" customWidth="1"/>
    <col min="8503" max="8503" width="14" style="516" customWidth="1"/>
    <col min="8504" max="8509" width="0" style="516" hidden="1" customWidth="1"/>
    <col min="8510" max="8510" width="14" style="516" customWidth="1"/>
    <col min="8511" max="8516" width="0" style="516" hidden="1" customWidth="1"/>
    <col min="8517" max="8517" width="14" style="516" customWidth="1"/>
    <col min="8518" max="8523" width="0" style="516" hidden="1" customWidth="1"/>
    <col min="8524" max="8524" width="14" style="516" customWidth="1"/>
    <col min="8525" max="8530" width="0" style="516" hidden="1" customWidth="1"/>
    <col min="8531" max="8531" width="14" style="516" customWidth="1"/>
    <col min="8532" max="8537" width="0" style="516" hidden="1" customWidth="1"/>
    <col min="8538" max="8538" width="14" style="516" customWidth="1"/>
    <col min="8539" max="8544" width="0" style="516" hidden="1" customWidth="1"/>
    <col min="8545" max="8545" width="14" style="516" customWidth="1"/>
    <col min="8546" max="8551" width="0" style="516" hidden="1" customWidth="1"/>
    <col min="8552" max="8552" width="14" style="516" customWidth="1"/>
    <col min="8553" max="8558" width="0" style="516" hidden="1" customWidth="1"/>
    <col min="8559" max="8559" width="14" style="516" customWidth="1"/>
    <col min="8560" max="8565" width="0" style="516" hidden="1" customWidth="1"/>
    <col min="8566" max="8566" width="14" style="516" customWidth="1"/>
    <col min="8567" max="8572" width="0" style="516" hidden="1" customWidth="1"/>
    <col min="8573" max="8573" width="14" style="516" customWidth="1"/>
    <col min="8574" max="8579" width="0" style="516" hidden="1" customWidth="1"/>
    <col min="8580" max="8580" width="14" style="516" customWidth="1"/>
    <col min="8581" max="8586" width="0" style="516" hidden="1" customWidth="1"/>
    <col min="8587" max="8587" width="14" style="516" customWidth="1"/>
    <col min="8588" max="8593" width="0" style="516" hidden="1" customWidth="1"/>
    <col min="8594" max="8594" width="14" style="516" customWidth="1"/>
    <col min="8595" max="8600" width="0" style="516" hidden="1" customWidth="1"/>
    <col min="8601" max="8601" width="14" style="516" customWidth="1"/>
    <col min="8602" max="8607" width="0" style="516" hidden="1" customWidth="1"/>
    <col min="8608" max="8608" width="14" style="516" customWidth="1"/>
    <col min="8609" max="8747" width="11.42578125" style="516"/>
    <col min="8748" max="8748" width="5.140625" style="516" bestFit="1" customWidth="1"/>
    <col min="8749" max="8749" width="15.28515625" style="516" bestFit="1" customWidth="1"/>
    <col min="8750" max="8752" width="0" style="516" hidden="1" customWidth="1"/>
    <col min="8753" max="8753" width="57.140625" style="516" bestFit="1" customWidth="1"/>
    <col min="8754" max="8754" width="5.140625" style="516" bestFit="1" customWidth="1"/>
    <col min="8755" max="8756" width="0" style="516" hidden="1" customWidth="1"/>
    <col min="8757" max="8757" width="5.7109375" style="516" bestFit="1" customWidth="1"/>
    <col min="8758" max="8758" width="5.140625" style="516" customWidth="1"/>
    <col min="8759" max="8759" width="14" style="516" customWidth="1"/>
    <col min="8760" max="8765" width="0" style="516" hidden="1" customWidth="1"/>
    <col min="8766" max="8766" width="14" style="516" customWidth="1"/>
    <col min="8767" max="8772" width="0" style="516" hidden="1" customWidth="1"/>
    <col min="8773" max="8773" width="14" style="516" customWidth="1"/>
    <col min="8774" max="8779" width="0" style="516" hidden="1" customWidth="1"/>
    <col min="8780" max="8780" width="14" style="516" customWidth="1"/>
    <col min="8781" max="8786" width="0" style="516" hidden="1" customWidth="1"/>
    <col min="8787" max="8787" width="14" style="516" customWidth="1"/>
    <col min="8788" max="8793" width="0" style="516" hidden="1" customWidth="1"/>
    <col min="8794" max="8794" width="14" style="516" customWidth="1"/>
    <col min="8795" max="8800" width="0" style="516" hidden="1" customWidth="1"/>
    <col min="8801" max="8801" width="14" style="516" customWidth="1"/>
    <col min="8802" max="8807" width="0" style="516" hidden="1" customWidth="1"/>
    <col min="8808" max="8808" width="14" style="516" customWidth="1"/>
    <col min="8809" max="8814" width="0" style="516" hidden="1" customWidth="1"/>
    <col min="8815" max="8815" width="14" style="516" customWidth="1"/>
    <col min="8816" max="8821" width="0" style="516" hidden="1" customWidth="1"/>
    <col min="8822" max="8822" width="14" style="516" customWidth="1"/>
    <col min="8823" max="8828" width="0" style="516" hidden="1" customWidth="1"/>
    <col min="8829" max="8829" width="14" style="516" customWidth="1"/>
    <col min="8830" max="8835" width="0" style="516" hidden="1" customWidth="1"/>
    <col min="8836" max="8836" width="14" style="516" customWidth="1"/>
    <col min="8837" max="8842" width="0" style="516" hidden="1" customWidth="1"/>
    <col min="8843" max="8843" width="14" style="516" customWidth="1"/>
    <col min="8844" max="8849" width="0" style="516" hidden="1" customWidth="1"/>
    <col min="8850" max="8850" width="14" style="516" customWidth="1"/>
    <col min="8851" max="8856" width="0" style="516" hidden="1" customWidth="1"/>
    <col min="8857" max="8857" width="14" style="516" customWidth="1"/>
    <col min="8858" max="8863" width="0" style="516" hidden="1" customWidth="1"/>
    <col min="8864" max="8864" width="14" style="516" customWidth="1"/>
    <col min="8865" max="9003" width="11.42578125" style="516"/>
    <col min="9004" max="9004" width="5.140625" style="516" bestFit="1" customWidth="1"/>
    <col min="9005" max="9005" width="15.28515625" style="516" bestFit="1" customWidth="1"/>
    <col min="9006" max="9008" width="0" style="516" hidden="1" customWidth="1"/>
    <col min="9009" max="9009" width="57.140625" style="516" bestFit="1" customWidth="1"/>
    <col min="9010" max="9010" width="5.140625" style="516" bestFit="1" customWidth="1"/>
    <col min="9011" max="9012" width="0" style="516" hidden="1" customWidth="1"/>
    <col min="9013" max="9013" width="5.7109375" style="516" bestFit="1" customWidth="1"/>
    <col min="9014" max="9014" width="5.140625" style="516" customWidth="1"/>
    <col min="9015" max="9015" width="14" style="516" customWidth="1"/>
    <col min="9016" max="9021" width="0" style="516" hidden="1" customWidth="1"/>
    <col min="9022" max="9022" width="14" style="516" customWidth="1"/>
    <col min="9023" max="9028" width="0" style="516" hidden="1" customWidth="1"/>
    <col min="9029" max="9029" width="14" style="516" customWidth="1"/>
    <col min="9030" max="9035" width="0" style="516" hidden="1" customWidth="1"/>
    <col min="9036" max="9036" width="14" style="516" customWidth="1"/>
    <col min="9037" max="9042" width="0" style="516" hidden="1" customWidth="1"/>
    <col min="9043" max="9043" width="14" style="516" customWidth="1"/>
    <col min="9044" max="9049" width="0" style="516" hidden="1" customWidth="1"/>
    <col min="9050" max="9050" width="14" style="516" customWidth="1"/>
    <col min="9051" max="9056" width="0" style="516" hidden="1" customWidth="1"/>
    <col min="9057" max="9057" width="14" style="516" customWidth="1"/>
    <col min="9058" max="9063" width="0" style="516" hidden="1" customWidth="1"/>
    <col min="9064" max="9064" width="14" style="516" customWidth="1"/>
    <col min="9065" max="9070" width="0" style="516" hidden="1" customWidth="1"/>
    <col min="9071" max="9071" width="14" style="516" customWidth="1"/>
    <col min="9072" max="9077" width="0" style="516" hidden="1" customWidth="1"/>
    <col min="9078" max="9078" width="14" style="516" customWidth="1"/>
    <col min="9079" max="9084" width="0" style="516" hidden="1" customWidth="1"/>
    <col min="9085" max="9085" width="14" style="516" customWidth="1"/>
    <col min="9086" max="9091" width="0" style="516" hidden="1" customWidth="1"/>
    <col min="9092" max="9092" width="14" style="516" customWidth="1"/>
    <col min="9093" max="9098" width="0" style="516" hidden="1" customWidth="1"/>
    <col min="9099" max="9099" width="14" style="516" customWidth="1"/>
    <col min="9100" max="9105" width="0" style="516" hidden="1" customWidth="1"/>
    <col min="9106" max="9106" width="14" style="516" customWidth="1"/>
    <col min="9107" max="9112" width="0" style="516" hidden="1" customWidth="1"/>
    <col min="9113" max="9113" width="14" style="516" customWidth="1"/>
    <col min="9114" max="9119" width="0" style="516" hidden="1" customWidth="1"/>
    <col min="9120" max="9120" width="14" style="516" customWidth="1"/>
    <col min="9121" max="9259" width="11.42578125" style="516"/>
    <col min="9260" max="9260" width="5.140625" style="516" bestFit="1" customWidth="1"/>
    <col min="9261" max="9261" width="15.28515625" style="516" bestFit="1" customWidth="1"/>
    <col min="9262" max="9264" width="0" style="516" hidden="1" customWidth="1"/>
    <col min="9265" max="9265" width="57.140625" style="516" bestFit="1" customWidth="1"/>
    <col min="9266" max="9266" width="5.140625" style="516" bestFit="1" customWidth="1"/>
    <col min="9267" max="9268" width="0" style="516" hidden="1" customWidth="1"/>
    <col min="9269" max="9269" width="5.7109375" style="516" bestFit="1" customWidth="1"/>
    <col min="9270" max="9270" width="5.140625" style="516" customWidth="1"/>
    <col min="9271" max="9271" width="14" style="516" customWidth="1"/>
    <col min="9272" max="9277" width="0" style="516" hidden="1" customWidth="1"/>
    <col min="9278" max="9278" width="14" style="516" customWidth="1"/>
    <col min="9279" max="9284" width="0" style="516" hidden="1" customWidth="1"/>
    <col min="9285" max="9285" width="14" style="516" customWidth="1"/>
    <col min="9286" max="9291" width="0" style="516" hidden="1" customWidth="1"/>
    <col min="9292" max="9292" width="14" style="516" customWidth="1"/>
    <col min="9293" max="9298" width="0" style="516" hidden="1" customWidth="1"/>
    <col min="9299" max="9299" width="14" style="516" customWidth="1"/>
    <col min="9300" max="9305" width="0" style="516" hidden="1" customWidth="1"/>
    <col min="9306" max="9306" width="14" style="516" customWidth="1"/>
    <col min="9307" max="9312" width="0" style="516" hidden="1" customWidth="1"/>
    <col min="9313" max="9313" width="14" style="516" customWidth="1"/>
    <col min="9314" max="9319" width="0" style="516" hidden="1" customWidth="1"/>
    <col min="9320" max="9320" width="14" style="516" customWidth="1"/>
    <col min="9321" max="9326" width="0" style="516" hidden="1" customWidth="1"/>
    <col min="9327" max="9327" width="14" style="516" customWidth="1"/>
    <col min="9328" max="9333" width="0" style="516" hidden="1" customWidth="1"/>
    <col min="9334" max="9334" width="14" style="516" customWidth="1"/>
    <col min="9335" max="9340" width="0" style="516" hidden="1" customWidth="1"/>
    <col min="9341" max="9341" width="14" style="516" customWidth="1"/>
    <col min="9342" max="9347" width="0" style="516" hidden="1" customWidth="1"/>
    <col min="9348" max="9348" width="14" style="516" customWidth="1"/>
    <col min="9349" max="9354" width="0" style="516" hidden="1" customWidth="1"/>
    <col min="9355" max="9355" width="14" style="516" customWidth="1"/>
    <col min="9356" max="9361" width="0" style="516" hidden="1" customWidth="1"/>
    <col min="9362" max="9362" width="14" style="516" customWidth="1"/>
    <col min="9363" max="9368" width="0" style="516" hidden="1" customWidth="1"/>
    <col min="9369" max="9369" width="14" style="516" customWidth="1"/>
    <col min="9370" max="9375" width="0" style="516" hidden="1" customWidth="1"/>
    <col min="9376" max="9376" width="14" style="516" customWidth="1"/>
    <col min="9377" max="9515" width="11.42578125" style="516"/>
    <col min="9516" max="9516" width="5.140625" style="516" bestFit="1" customWidth="1"/>
    <col min="9517" max="9517" width="15.28515625" style="516" bestFit="1" customWidth="1"/>
    <col min="9518" max="9520" width="0" style="516" hidden="1" customWidth="1"/>
    <col min="9521" max="9521" width="57.140625" style="516" bestFit="1" customWidth="1"/>
    <col min="9522" max="9522" width="5.140625" style="516" bestFit="1" customWidth="1"/>
    <col min="9523" max="9524" width="0" style="516" hidden="1" customWidth="1"/>
    <col min="9525" max="9525" width="5.7109375" style="516" bestFit="1" customWidth="1"/>
    <col min="9526" max="9526" width="5.140625" style="516" customWidth="1"/>
    <col min="9527" max="9527" width="14" style="516" customWidth="1"/>
    <col min="9528" max="9533" width="0" style="516" hidden="1" customWidth="1"/>
    <col min="9534" max="9534" width="14" style="516" customWidth="1"/>
    <col min="9535" max="9540" width="0" style="516" hidden="1" customWidth="1"/>
    <col min="9541" max="9541" width="14" style="516" customWidth="1"/>
    <col min="9542" max="9547" width="0" style="516" hidden="1" customWidth="1"/>
    <col min="9548" max="9548" width="14" style="516" customWidth="1"/>
    <col min="9549" max="9554" width="0" style="516" hidden="1" customWidth="1"/>
    <col min="9555" max="9555" width="14" style="516" customWidth="1"/>
    <col min="9556" max="9561" width="0" style="516" hidden="1" customWidth="1"/>
    <col min="9562" max="9562" width="14" style="516" customWidth="1"/>
    <col min="9563" max="9568" width="0" style="516" hidden="1" customWidth="1"/>
    <col min="9569" max="9569" width="14" style="516" customWidth="1"/>
    <col min="9570" max="9575" width="0" style="516" hidden="1" customWidth="1"/>
    <col min="9576" max="9576" width="14" style="516" customWidth="1"/>
    <col min="9577" max="9582" width="0" style="516" hidden="1" customWidth="1"/>
    <col min="9583" max="9583" width="14" style="516" customWidth="1"/>
    <col min="9584" max="9589" width="0" style="516" hidden="1" customWidth="1"/>
    <col min="9590" max="9590" width="14" style="516" customWidth="1"/>
    <col min="9591" max="9596" width="0" style="516" hidden="1" customWidth="1"/>
    <col min="9597" max="9597" width="14" style="516" customWidth="1"/>
    <col min="9598" max="9603" width="0" style="516" hidden="1" customWidth="1"/>
    <col min="9604" max="9604" width="14" style="516" customWidth="1"/>
    <col min="9605" max="9610" width="0" style="516" hidden="1" customWidth="1"/>
    <col min="9611" max="9611" width="14" style="516" customWidth="1"/>
    <col min="9612" max="9617" width="0" style="516" hidden="1" customWidth="1"/>
    <col min="9618" max="9618" width="14" style="516" customWidth="1"/>
    <col min="9619" max="9624" width="0" style="516" hidden="1" customWidth="1"/>
    <col min="9625" max="9625" width="14" style="516" customWidth="1"/>
    <col min="9626" max="9631" width="0" style="516" hidden="1" customWidth="1"/>
    <col min="9632" max="9632" width="14" style="516" customWidth="1"/>
    <col min="9633" max="9771" width="11.42578125" style="516"/>
    <col min="9772" max="9772" width="5.140625" style="516" bestFit="1" customWidth="1"/>
    <col min="9773" max="9773" width="15.28515625" style="516" bestFit="1" customWidth="1"/>
    <col min="9774" max="9776" width="0" style="516" hidden="1" customWidth="1"/>
    <col min="9777" max="9777" width="57.140625" style="516" bestFit="1" customWidth="1"/>
    <col min="9778" max="9778" width="5.140625" style="516" bestFit="1" customWidth="1"/>
    <col min="9779" max="9780" width="0" style="516" hidden="1" customWidth="1"/>
    <col min="9781" max="9781" width="5.7109375" style="516" bestFit="1" customWidth="1"/>
    <col min="9782" max="9782" width="5.140625" style="516" customWidth="1"/>
    <col min="9783" max="9783" width="14" style="516" customWidth="1"/>
    <col min="9784" max="9789" width="0" style="516" hidden="1" customWidth="1"/>
    <col min="9790" max="9790" width="14" style="516" customWidth="1"/>
    <col min="9791" max="9796" width="0" style="516" hidden="1" customWidth="1"/>
    <col min="9797" max="9797" width="14" style="516" customWidth="1"/>
    <col min="9798" max="9803" width="0" style="516" hidden="1" customWidth="1"/>
    <col min="9804" max="9804" width="14" style="516" customWidth="1"/>
    <col min="9805" max="9810" width="0" style="516" hidden="1" customWidth="1"/>
    <col min="9811" max="9811" width="14" style="516" customWidth="1"/>
    <col min="9812" max="9817" width="0" style="516" hidden="1" customWidth="1"/>
    <col min="9818" max="9818" width="14" style="516" customWidth="1"/>
    <col min="9819" max="9824" width="0" style="516" hidden="1" customWidth="1"/>
    <col min="9825" max="9825" width="14" style="516" customWidth="1"/>
    <col min="9826" max="9831" width="0" style="516" hidden="1" customWidth="1"/>
    <col min="9832" max="9832" width="14" style="516" customWidth="1"/>
    <col min="9833" max="9838" width="0" style="516" hidden="1" customWidth="1"/>
    <col min="9839" max="9839" width="14" style="516" customWidth="1"/>
    <col min="9840" max="9845" width="0" style="516" hidden="1" customWidth="1"/>
    <col min="9846" max="9846" width="14" style="516" customWidth="1"/>
    <col min="9847" max="9852" width="0" style="516" hidden="1" customWidth="1"/>
    <col min="9853" max="9853" width="14" style="516" customWidth="1"/>
    <col min="9854" max="9859" width="0" style="516" hidden="1" customWidth="1"/>
    <col min="9860" max="9860" width="14" style="516" customWidth="1"/>
    <col min="9861" max="9866" width="0" style="516" hidden="1" customWidth="1"/>
    <col min="9867" max="9867" width="14" style="516" customWidth="1"/>
    <col min="9868" max="9873" width="0" style="516" hidden="1" customWidth="1"/>
    <col min="9874" max="9874" width="14" style="516" customWidth="1"/>
    <col min="9875" max="9880" width="0" style="516" hidden="1" customWidth="1"/>
    <col min="9881" max="9881" width="14" style="516" customWidth="1"/>
    <col min="9882" max="9887" width="0" style="516" hidden="1" customWidth="1"/>
    <col min="9888" max="9888" width="14" style="516" customWidth="1"/>
    <col min="9889" max="10027" width="11.42578125" style="516"/>
    <col min="10028" max="10028" width="5.140625" style="516" bestFit="1" customWidth="1"/>
    <col min="10029" max="10029" width="15.28515625" style="516" bestFit="1" customWidth="1"/>
    <col min="10030" max="10032" width="0" style="516" hidden="1" customWidth="1"/>
    <col min="10033" max="10033" width="57.140625" style="516" bestFit="1" customWidth="1"/>
    <col min="10034" max="10034" width="5.140625" style="516" bestFit="1" customWidth="1"/>
    <col min="10035" max="10036" width="0" style="516" hidden="1" customWidth="1"/>
    <col min="10037" max="10037" width="5.7109375" style="516" bestFit="1" customWidth="1"/>
    <col min="10038" max="10038" width="5.140625" style="516" customWidth="1"/>
    <col min="10039" max="10039" width="14" style="516" customWidth="1"/>
    <col min="10040" max="10045" width="0" style="516" hidden="1" customWidth="1"/>
    <col min="10046" max="10046" width="14" style="516" customWidth="1"/>
    <col min="10047" max="10052" width="0" style="516" hidden="1" customWidth="1"/>
    <col min="10053" max="10053" width="14" style="516" customWidth="1"/>
    <col min="10054" max="10059" width="0" style="516" hidden="1" customWidth="1"/>
    <col min="10060" max="10060" width="14" style="516" customWidth="1"/>
    <col min="10061" max="10066" width="0" style="516" hidden="1" customWidth="1"/>
    <col min="10067" max="10067" width="14" style="516" customWidth="1"/>
    <col min="10068" max="10073" width="0" style="516" hidden="1" customWidth="1"/>
    <col min="10074" max="10074" width="14" style="516" customWidth="1"/>
    <col min="10075" max="10080" width="0" style="516" hidden="1" customWidth="1"/>
    <col min="10081" max="10081" width="14" style="516" customWidth="1"/>
    <col min="10082" max="10087" width="0" style="516" hidden="1" customWidth="1"/>
    <col min="10088" max="10088" width="14" style="516" customWidth="1"/>
    <col min="10089" max="10094" width="0" style="516" hidden="1" customWidth="1"/>
    <col min="10095" max="10095" width="14" style="516" customWidth="1"/>
    <col min="10096" max="10101" width="0" style="516" hidden="1" customWidth="1"/>
    <col min="10102" max="10102" width="14" style="516" customWidth="1"/>
    <col min="10103" max="10108" width="0" style="516" hidden="1" customWidth="1"/>
    <col min="10109" max="10109" width="14" style="516" customWidth="1"/>
    <col min="10110" max="10115" width="0" style="516" hidden="1" customWidth="1"/>
    <col min="10116" max="10116" width="14" style="516" customWidth="1"/>
    <col min="10117" max="10122" width="0" style="516" hidden="1" customWidth="1"/>
    <col min="10123" max="10123" width="14" style="516" customWidth="1"/>
    <col min="10124" max="10129" width="0" style="516" hidden="1" customWidth="1"/>
    <col min="10130" max="10130" width="14" style="516" customWidth="1"/>
    <col min="10131" max="10136" width="0" style="516" hidden="1" customWidth="1"/>
    <col min="10137" max="10137" width="14" style="516" customWidth="1"/>
    <col min="10138" max="10143" width="0" style="516" hidden="1" customWidth="1"/>
    <col min="10144" max="10144" width="14" style="516" customWidth="1"/>
    <col min="10145" max="10283" width="11.42578125" style="516"/>
    <col min="10284" max="10284" width="5.140625" style="516" bestFit="1" customWidth="1"/>
    <col min="10285" max="10285" width="15.28515625" style="516" bestFit="1" customWidth="1"/>
    <col min="10286" max="10288" width="0" style="516" hidden="1" customWidth="1"/>
    <col min="10289" max="10289" width="57.140625" style="516" bestFit="1" customWidth="1"/>
    <col min="10290" max="10290" width="5.140625" style="516" bestFit="1" customWidth="1"/>
    <col min="10291" max="10292" width="0" style="516" hidden="1" customWidth="1"/>
    <col min="10293" max="10293" width="5.7109375" style="516" bestFit="1" customWidth="1"/>
    <col min="10294" max="10294" width="5.140625" style="516" customWidth="1"/>
    <col min="10295" max="10295" width="14" style="516" customWidth="1"/>
    <col min="10296" max="10301" width="0" style="516" hidden="1" customWidth="1"/>
    <col min="10302" max="10302" width="14" style="516" customWidth="1"/>
    <col min="10303" max="10308" width="0" style="516" hidden="1" customWidth="1"/>
    <col min="10309" max="10309" width="14" style="516" customWidth="1"/>
    <col min="10310" max="10315" width="0" style="516" hidden="1" customWidth="1"/>
    <col min="10316" max="10316" width="14" style="516" customWidth="1"/>
    <col min="10317" max="10322" width="0" style="516" hidden="1" customWidth="1"/>
    <col min="10323" max="10323" width="14" style="516" customWidth="1"/>
    <col min="10324" max="10329" width="0" style="516" hidden="1" customWidth="1"/>
    <col min="10330" max="10330" width="14" style="516" customWidth="1"/>
    <col min="10331" max="10336" width="0" style="516" hidden="1" customWidth="1"/>
    <col min="10337" max="10337" width="14" style="516" customWidth="1"/>
    <col min="10338" max="10343" width="0" style="516" hidden="1" customWidth="1"/>
    <col min="10344" max="10344" width="14" style="516" customWidth="1"/>
    <col min="10345" max="10350" width="0" style="516" hidden="1" customWidth="1"/>
    <col min="10351" max="10351" width="14" style="516" customWidth="1"/>
    <col min="10352" max="10357" width="0" style="516" hidden="1" customWidth="1"/>
    <col min="10358" max="10358" width="14" style="516" customWidth="1"/>
    <col min="10359" max="10364" width="0" style="516" hidden="1" customWidth="1"/>
    <col min="10365" max="10365" width="14" style="516" customWidth="1"/>
    <col min="10366" max="10371" width="0" style="516" hidden="1" customWidth="1"/>
    <col min="10372" max="10372" width="14" style="516" customWidth="1"/>
    <col min="10373" max="10378" width="0" style="516" hidden="1" customWidth="1"/>
    <col min="10379" max="10379" width="14" style="516" customWidth="1"/>
    <col min="10380" max="10385" width="0" style="516" hidden="1" customWidth="1"/>
    <col min="10386" max="10386" width="14" style="516" customWidth="1"/>
    <col min="10387" max="10392" width="0" style="516" hidden="1" customWidth="1"/>
    <col min="10393" max="10393" width="14" style="516" customWidth="1"/>
    <col min="10394" max="10399" width="0" style="516" hidden="1" customWidth="1"/>
    <col min="10400" max="10400" width="14" style="516" customWidth="1"/>
    <col min="10401" max="10539" width="11.42578125" style="516"/>
    <col min="10540" max="10540" width="5.140625" style="516" bestFit="1" customWidth="1"/>
    <col min="10541" max="10541" width="15.28515625" style="516" bestFit="1" customWidth="1"/>
    <col min="10542" max="10544" width="0" style="516" hidden="1" customWidth="1"/>
    <col min="10545" max="10545" width="57.140625" style="516" bestFit="1" customWidth="1"/>
    <col min="10546" max="10546" width="5.140625" style="516" bestFit="1" customWidth="1"/>
    <col min="10547" max="10548" width="0" style="516" hidden="1" customWidth="1"/>
    <col min="10549" max="10549" width="5.7109375" style="516" bestFit="1" customWidth="1"/>
    <col min="10550" max="10550" width="5.140625" style="516" customWidth="1"/>
    <col min="10551" max="10551" width="14" style="516" customWidth="1"/>
    <col min="10552" max="10557" width="0" style="516" hidden="1" customWidth="1"/>
    <col min="10558" max="10558" width="14" style="516" customWidth="1"/>
    <col min="10559" max="10564" width="0" style="516" hidden="1" customWidth="1"/>
    <col min="10565" max="10565" width="14" style="516" customWidth="1"/>
    <col min="10566" max="10571" width="0" style="516" hidden="1" customWidth="1"/>
    <col min="10572" max="10572" width="14" style="516" customWidth="1"/>
    <col min="10573" max="10578" width="0" style="516" hidden="1" customWidth="1"/>
    <col min="10579" max="10579" width="14" style="516" customWidth="1"/>
    <col min="10580" max="10585" width="0" style="516" hidden="1" customWidth="1"/>
    <col min="10586" max="10586" width="14" style="516" customWidth="1"/>
    <col min="10587" max="10592" width="0" style="516" hidden="1" customWidth="1"/>
    <col min="10593" max="10593" width="14" style="516" customWidth="1"/>
    <col min="10594" max="10599" width="0" style="516" hidden="1" customWidth="1"/>
    <col min="10600" max="10600" width="14" style="516" customWidth="1"/>
    <col min="10601" max="10606" width="0" style="516" hidden="1" customWidth="1"/>
    <col min="10607" max="10607" width="14" style="516" customWidth="1"/>
    <col min="10608" max="10613" width="0" style="516" hidden="1" customWidth="1"/>
    <col min="10614" max="10614" width="14" style="516" customWidth="1"/>
    <col min="10615" max="10620" width="0" style="516" hidden="1" customWidth="1"/>
    <col min="10621" max="10621" width="14" style="516" customWidth="1"/>
    <col min="10622" max="10627" width="0" style="516" hidden="1" customWidth="1"/>
    <col min="10628" max="10628" width="14" style="516" customWidth="1"/>
    <col min="10629" max="10634" width="0" style="516" hidden="1" customWidth="1"/>
    <col min="10635" max="10635" width="14" style="516" customWidth="1"/>
    <col min="10636" max="10641" width="0" style="516" hidden="1" customWidth="1"/>
    <col min="10642" max="10642" width="14" style="516" customWidth="1"/>
    <col min="10643" max="10648" width="0" style="516" hidden="1" customWidth="1"/>
    <col min="10649" max="10649" width="14" style="516" customWidth="1"/>
    <col min="10650" max="10655" width="0" style="516" hidden="1" customWidth="1"/>
    <col min="10656" max="10656" width="14" style="516" customWidth="1"/>
    <col min="10657" max="10795" width="11.42578125" style="516"/>
    <col min="10796" max="10796" width="5.140625" style="516" bestFit="1" customWidth="1"/>
    <col min="10797" max="10797" width="15.28515625" style="516" bestFit="1" customWidth="1"/>
    <col min="10798" max="10800" width="0" style="516" hidden="1" customWidth="1"/>
    <col min="10801" max="10801" width="57.140625" style="516" bestFit="1" customWidth="1"/>
    <col min="10802" max="10802" width="5.140625" style="516" bestFit="1" customWidth="1"/>
    <col min="10803" max="10804" width="0" style="516" hidden="1" customWidth="1"/>
    <col min="10805" max="10805" width="5.7109375" style="516" bestFit="1" customWidth="1"/>
    <col min="10806" max="10806" width="5.140625" style="516" customWidth="1"/>
    <col min="10807" max="10807" width="14" style="516" customWidth="1"/>
    <col min="10808" max="10813" width="0" style="516" hidden="1" customWidth="1"/>
    <col min="10814" max="10814" width="14" style="516" customWidth="1"/>
    <col min="10815" max="10820" width="0" style="516" hidden="1" customWidth="1"/>
    <col min="10821" max="10821" width="14" style="516" customWidth="1"/>
    <col min="10822" max="10827" width="0" style="516" hidden="1" customWidth="1"/>
    <col min="10828" max="10828" width="14" style="516" customWidth="1"/>
    <col min="10829" max="10834" width="0" style="516" hidden="1" customWidth="1"/>
    <col min="10835" max="10835" width="14" style="516" customWidth="1"/>
    <col min="10836" max="10841" width="0" style="516" hidden="1" customWidth="1"/>
    <col min="10842" max="10842" width="14" style="516" customWidth="1"/>
    <col min="10843" max="10848" width="0" style="516" hidden="1" customWidth="1"/>
    <col min="10849" max="10849" width="14" style="516" customWidth="1"/>
    <col min="10850" max="10855" width="0" style="516" hidden="1" customWidth="1"/>
    <col min="10856" max="10856" width="14" style="516" customWidth="1"/>
    <col min="10857" max="10862" width="0" style="516" hidden="1" customWidth="1"/>
    <col min="10863" max="10863" width="14" style="516" customWidth="1"/>
    <col min="10864" max="10869" width="0" style="516" hidden="1" customWidth="1"/>
    <col min="10870" max="10870" width="14" style="516" customWidth="1"/>
    <col min="10871" max="10876" width="0" style="516" hidden="1" customWidth="1"/>
    <col min="10877" max="10877" width="14" style="516" customWidth="1"/>
    <col min="10878" max="10883" width="0" style="516" hidden="1" customWidth="1"/>
    <col min="10884" max="10884" width="14" style="516" customWidth="1"/>
    <col min="10885" max="10890" width="0" style="516" hidden="1" customWidth="1"/>
    <col min="10891" max="10891" width="14" style="516" customWidth="1"/>
    <col min="10892" max="10897" width="0" style="516" hidden="1" customWidth="1"/>
    <col min="10898" max="10898" width="14" style="516" customWidth="1"/>
    <col min="10899" max="10904" width="0" style="516" hidden="1" customWidth="1"/>
    <col min="10905" max="10905" width="14" style="516" customWidth="1"/>
    <col min="10906" max="10911" width="0" style="516" hidden="1" customWidth="1"/>
    <col min="10912" max="10912" width="14" style="516" customWidth="1"/>
    <col min="10913" max="11051" width="11.42578125" style="516"/>
    <col min="11052" max="11052" width="5.140625" style="516" bestFit="1" customWidth="1"/>
    <col min="11053" max="11053" width="15.28515625" style="516" bestFit="1" customWidth="1"/>
    <col min="11054" max="11056" width="0" style="516" hidden="1" customWidth="1"/>
    <col min="11057" max="11057" width="57.140625" style="516" bestFit="1" customWidth="1"/>
    <col min="11058" max="11058" width="5.140625" style="516" bestFit="1" customWidth="1"/>
    <col min="11059" max="11060" width="0" style="516" hidden="1" customWidth="1"/>
    <col min="11061" max="11061" width="5.7109375" style="516" bestFit="1" customWidth="1"/>
    <col min="11062" max="11062" width="5.140625" style="516" customWidth="1"/>
    <col min="11063" max="11063" width="14" style="516" customWidth="1"/>
    <col min="11064" max="11069" width="0" style="516" hidden="1" customWidth="1"/>
    <col min="11070" max="11070" width="14" style="516" customWidth="1"/>
    <col min="11071" max="11076" width="0" style="516" hidden="1" customWidth="1"/>
    <col min="11077" max="11077" width="14" style="516" customWidth="1"/>
    <col min="11078" max="11083" width="0" style="516" hidden="1" customWidth="1"/>
    <col min="11084" max="11084" width="14" style="516" customWidth="1"/>
    <col min="11085" max="11090" width="0" style="516" hidden="1" customWidth="1"/>
    <col min="11091" max="11091" width="14" style="516" customWidth="1"/>
    <col min="11092" max="11097" width="0" style="516" hidden="1" customWidth="1"/>
    <col min="11098" max="11098" width="14" style="516" customWidth="1"/>
    <col min="11099" max="11104" width="0" style="516" hidden="1" customWidth="1"/>
    <col min="11105" max="11105" width="14" style="516" customWidth="1"/>
    <col min="11106" max="11111" width="0" style="516" hidden="1" customWidth="1"/>
    <col min="11112" max="11112" width="14" style="516" customWidth="1"/>
    <col min="11113" max="11118" width="0" style="516" hidden="1" customWidth="1"/>
    <col min="11119" max="11119" width="14" style="516" customWidth="1"/>
    <col min="11120" max="11125" width="0" style="516" hidden="1" customWidth="1"/>
    <col min="11126" max="11126" width="14" style="516" customWidth="1"/>
    <col min="11127" max="11132" width="0" style="516" hidden="1" customWidth="1"/>
    <col min="11133" max="11133" width="14" style="516" customWidth="1"/>
    <col min="11134" max="11139" width="0" style="516" hidden="1" customWidth="1"/>
    <col min="11140" max="11140" width="14" style="516" customWidth="1"/>
    <col min="11141" max="11146" width="0" style="516" hidden="1" customWidth="1"/>
    <col min="11147" max="11147" width="14" style="516" customWidth="1"/>
    <col min="11148" max="11153" width="0" style="516" hidden="1" customWidth="1"/>
    <col min="11154" max="11154" width="14" style="516" customWidth="1"/>
    <col min="11155" max="11160" width="0" style="516" hidden="1" customWidth="1"/>
    <col min="11161" max="11161" width="14" style="516" customWidth="1"/>
    <col min="11162" max="11167" width="0" style="516" hidden="1" customWidth="1"/>
    <col min="11168" max="11168" width="14" style="516" customWidth="1"/>
    <col min="11169" max="11307" width="11.42578125" style="516"/>
    <col min="11308" max="11308" width="5.140625" style="516" bestFit="1" customWidth="1"/>
    <col min="11309" max="11309" width="15.28515625" style="516" bestFit="1" customWidth="1"/>
    <col min="11310" max="11312" width="0" style="516" hidden="1" customWidth="1"/>
    <col min="11313" max="11313" width="57.140625" style="516" bestFit="1" customWidth="1"/>
    <col min="11314" max="11314" width="5.140625" style="516" bestFit="1" customWidth="1"/>
    <col min="11315" max="11316" width="0" style="516" hidden="1" customWidth="1"/>
    <col min="11317" max="11317" width="5.7109375" style="516" bestFit="1" customWidth="1"/>
    <col min="11318" max="11318" width="5.140625" style="516" customWidth="1"/>
    <col min="11319" max="11319" width="14" style="516" customWidth="1"/>
    <col min="11320" max="11325" width="0" style="516" hidden="1" customWidth="1"/>
    <col min="11326" max="11326" width="14" style="516" customWidth="1"/>
    <col min="11327" max="11332" width="0" style="516" hidden="1" customWidth="1"/>
    <col min="11333" max="11333" width="14" style="516" customWidth="1"/>
    <col min="11334" max="11339" width="0" style="516" hidden="1" customWidth="1"/>
    <col min="11340" max="11340" width="14" style="516" customWidth="1"/>
    <col min="11341" max="11346" width="0" style="516" hidden="1" customWidth="1"/>
    <col min="11347" max="11347" width="14" style="516" customWidth="1"/>
    <col min="11348" max="11353" width="0" style="516" hidden="1" customWidth="1"/>
    <col min="11354" max="11354" width="14" style="516" customWidth="1"/>
    <col min="11355" max="11360" width="0" style="516" hidden="1" customWidth="1"/>
    <col min="11361" max="11361" width="14" style="516" customWidth="1"/>
    <col min="11362" max="11367" width="0" style="516" hidden="1" customWidth="1"/>
    <col min="11368" max="11368" width="14" style="516" customWidth="1"/>
    <col min="11369" max="11374" width="0" style="516" hidden="1" customWidth="1"/>
    <col min="11375" max="11375" width="14" style="516" customWidth="1"/>
    <col min="11376" max="11381" width="0" style="516" hidden="1" customWidth="1"/>
    <col min="11382" max="11382" width="14" style="516" customWidth="1"/>
    <col min="11383" max="11388" width="0" style="516" hidden="1" customWidth="1"/>
    <col min="11389" max="11389" width="14" style="516" customWidth="1"/>
    <col min="11390" max="11395" width="0" style="516" hidden="1" customWidth="1"/>
    <col min="11396" max="11396" width="14" style="516" customWidth="1"/>
    <col min="11397" max="11402" width="0" style="516" hidden="1" customWidth="1"/>
    <col min="11403" max="11403" width="14" style="516" customWidth="1"/>
    <col min="11404" max="11409" width="0" style="516" hidden="1" customWidth="1"/>
    <col min="11410" max="11410" width="14" style="516" customWidth="1"/>
    <col min="11411" max="11416" width="0" style="516" hidden="1" customWidth="1"/>
    <col min="11417" max="11417" width="14" style="516" customWidth="1"/>
    <col min="11418" max="11423" width="0" style="516" hidden="1" customWidth="1"/>
    <col min="11424" max="11424" width="14" style="516" customWidth="1"/>
    <col min="11425" max="11563" width="11.42578125" style="516"/>
    <col min="11564" max="11564" width="5.140625" style="516" bestFit="1" customWidth="1"/>
    <col min="11565" max="11565" width="15.28515625" style="516" bestFit="1" customWidth="1"/>
    <col min="11566" max="11568" width="0" style="516" hidden="1" customWidth="1"/>
    <col min="11569" max="11569" width="57.140625" style="516" bestFit="1" customWidth="1"/>
    <col min="11570" max="11570" width="5.140625" style="516" bestFit="1" customWidth="1"/>
    <col min="11571" max="11572" width="0" style="516" hidden="1" customWidth="1"/>
    <col min="11573" max="11573" width="5.7109375" style="516" bestFit="1" customWidth="1"/>
    <col min="11574" max="11574" width="5.140625" style="516" customWidth="1"/>
    <col min="11575" max="11575" width="14" style="516" customWidth="1"/>
    <col min="11576" max="11581" width="0" style="516" hidden="1" customWidth="1"/>
    <col min="11582" max="11582" width="14" style="516" customWidth="1"/>
    <col min="11583" max="11588" width="0" style="516" hidden="1" customWidth="1"/>
    <col min="11589" max="11589" width="14" style="516" customWidth="1"/>
    <col min="11590" max="11595" width="0" style="516" hidden="1" customWidth="1"/>
    <col min="11596" max="11596" width="14" style="516" customWidth="1"/>
    <col min="11597" max="11602" width="0" style="516" hidden="1" customWidth="1"/>
    <col min="11603" max="11603" width="14" style="516" customWidth="1"/>
    <col min="11604" max="11609" width="0" style="516" hidden="1" customWidth="1"/>
    <col min="11610" max="11610" width="14" style="516" customWidth="1"/>
    <col min="11611" max="11616" width="0" style="516" hidden="1" customWidth="1"/>
    <col min="11617" max="11617" width="14" style="516" customWidth="1"/>
    <col min="11618" max="11623" width="0" style="516" hidden="1" customWidth="1"/>
    <col min="11624" max="11624" width="14" style="516" customWidth="1"/>
    <col min="11625" max="11630" width="0" style="516" hidden="1" customWidth="1"/>
    <col min="11631" max="11631" width="14" style="516" customWidth="1"/>
    <col min="11632" max="11637" width="0" style="516" hidden="1" customWidth="1"/>
    <col min="11638" max="11638" width="14" style="516" customWidth="1"/>
    <col min="11639" max="11644" width="0" style="516" hidden="1" customWidth="1"/>
    <col min="11645" max="11645" width="14" style="516" customWidth="1"/>
    <col min="11646" max="11651" width="0" style="516" hidden="1" customWidth="1"/>
    <col min="11652" max="11652" width="14" style="516" customWidth="1"/>
    <col min="11653" max="11658" width="0" style="516" hidden="1" customWidth="1"/>
    <col min="11659" max="11659" width="14" style="516" customWidth="1"/>
    <col min="11660" max="11665" width="0" style="516" hidden="1" customWidth="1"/>
    <col min="11666" max="11666" width="14" style="516" customWidth="1"/>
    <col min="11667" max="11672" width="0" style="516" hidden="1" customWidth="1"/>
    <col min="11673" max="11673" width="14" style="516" customWidth="1"/>
    <col min="11674" max="11679" width="0" style="516" hidden="1" customWidth="1"/>
    <col min="11680" max="11680" width="14" style="516" customWidth="1"/>
    <col min="11681" max="11819" width="11.42578125" style="516"/>
    <col min="11820" max="11820" width="5.140625" style="516" bestFit="1" customWidth="1"/>
    <col min="11821" max="11821" width="15.28515625" style="516" bestFit="1" customWidth="1"/>
    <col min="11822" max="11824" width="0" style="516" hidden="1" customWidth="1"/>
    <col min="11825" max="11825" width="57.140625" style="516" bestFit="1" customWidth="1"/>
    <col min="11826" max="11826" width="5.140625" style="516" bestFit="1" customWidth="1"/>
    <col min="11827" max="11828" width="0" style="516" hidden="1" customWidth="1"/>
    <col min="11829" max="11829" width="5.7109375" style="516" bestFit="1" customWidth="1"/>
    <col min="11830" max="11830" width="5.140625" style="516" customWidth="1"/>
    <col min="11831" max="11831" width="14" style="516" customWidth="1"/>
    <col min="11832" max="11837" width="0" style="516" hidden="1" customWidth="1"/>
    <col min="11838" max="11838" width="14" style="516" customWidth="1"/>
    <col min="11839" max="11844" width="0" style="516" hidden="1" customWidth="1"/>
    <col min="11845" max="11845" width="14" style="516" customWidth="1"/>
    <col min="11846" max="11851" width="0" style="516" hidden="1" customWidth="1"/>
    <col min="11852" max="11852" width="14" style="516" customWidth="1"/>
    <col min="11853" max="11858" width="0" style="516" hidden="1" customWidth="1"/>
    <col min="11859" max="11859" width="14" style="516" customWidth="1"/>
    <col min="11860" max="11865" width="0" style="516" hidden="1" customWidth="1"/>
    <col min="11866" max="11866" width="14" style="516" customWidth="1"/>
    <col min="11867" max="11872" width="0" style="516" hidden="1" customWidth="1"/>
    <col min="11873" max="11873" width="14" style="516" customWidth="1"/>
    <col min="11874" max="11879" width="0" style="516" hidden="1" customWidth="1"/>
    <col min="11880" max="11880" width="14" style="516" customWidth="1"/>
    <col min="11881" max="11886" width="0" style="516" hidden="1" customWidth="1"/>
    <col min="11887" max="11887" width="14" style="516" customWidth="1"/>
    <col min="11888" max="11893" width="0" style="516" hidden="1" customWidth="1"/>
    <col min="11894" max="11894" width="14" style="516" customWidth="1"/>
    <col min="11895" max="11900" width="0" style="516" hidden="1" customWidth="1"/>
    <col min="11901" max="11901" width="14" style="516" customWidth="1"/>
    <col min="11902" max="11907" width="0" style="516" hidden="1" customWidth="1"/>
    <col min="11908" max="11908" width="14" style="516" customWidth="1"/>
    <col min="11909" max="11914" width="0" style="516" hidden="1" customWidth="1"/>
    <col min="11915" max="11915" width="14" style="516" customWidth="1"/>
    <col min="11916" max="11921" width="0" style="516" hidden="1" customWidth="1"/>
    <col min="11922" max="11922" width="14" style="516" customWidth="1"/>
    <col min="11923" max="11928" width="0" style="516" hidden="1" customWidth="1"/>
    <col min="11929" max="11929" width="14" style="516" customWidth="1"/>
    <col min="11930" max="11935" width="0" style="516" hidden="1" customWidth="1"/>
    <col min="11936" max="11936" width="14" style="516" customWidth="1"/>
    <col min="11937" max="12075" width="11.42578125" style="516"/>
    <col min="12076" max="12076" width="5.140625" style="516" bestFit="1" customWidth="1"/>
    <col min="12077" max="12077" width="15.28515625" style="516" bestFit="1" customWidth="1"/>
    <col min="12078" max="12080" width="0" style="516" hidden="1" customWidth="1"/>
    <col min="12081" max="12081" width="57.140625" style="516" bestFit="1" customWidth="1"/>
    <col min="12082" max="12082" width="5.140625" style="516" bestFit="1" customWidth="1"/>
    <col min="12083" max="12084" width="0" style="516" hidden="1" customWidth="1"/>
    <col min="12085" max="12085" width="5.7109375" style="516" bestFit="1" customWidth="1"/>
    <col min="12086" max="12086" width="5.140625" style="516" customWidth="1"/>
    <col min="12087" max="12087" width="14" style="516" customWidth="1"/>
    <col min="12088" max="12093" width="0" style="516" hidden="1" customWidth="1"/>
    <col min="12094" max="12094" width="14" style="516" customWidth="1"/>
    <col min="12095" max="12100" width="0" style="516" hidden="1" customWidth="1"/>
    <col min="12101" max="12101" width="14" style="516" customWidth="1"/>
    <col min="12102" max="12107" width="0" style="516" hidden="1" customWidth="1"/>
    <col min="12108" max="12108" width="14" style="516" customWidth="1"/>
    <col min="12109" max="12114" width="0" style="516" hidden="1" customWidth="1"/>
    <col min="12115" max="12115" width="14" style="516" customWidth="1"/>
    <col min="12116" max="12121" width="0" style="516" hidden="1" customWidth="1"/>
    <col min="12122" max="12122" width="14" style="516" customWidth="1"/>
    <col min="12123" max="12128" width="0" style="516" hidden="1" customWidth="1"/>
    <col min="12129" max="12129" width="14" style="516" customWidth="1"/>
    <col min="12130" max="12135" width="0" style="516" hidden="1" customWidth="1"/>
    <col min="12136" max="12136" width="14" style="516" customWidth="1"/>
    <col min="12137" max="12142" width="0" style="516" hidden="1" customWidth="1"/>
    <col min="12143" max="12143" width="14" style="516" customWidth="1"/>
    <col min="12144" max="12149" width="0" style="516" hidden="1" customWidth="1"/>
    <col min="12150" max="12150" width="14" style="516" customWidth="1"/>
    <col min="12151" max="12156" width="0" style="516" hidden="1" customWidth="1"/>
    <col min="12157" max="12157" width="14" style="516" customWidth="1"/>
    <col min="12158" max="12163" width="0" style="516" hidden="1" customWidth="1"/>
    <col min="12164" max="12164" width="14" style="516" customWidth="1"/>
    <col min="12165" max="12170" width="0" style="516" hidden="1" customWidth="1"/>
    <col min="12171" max="12171" width="14" style="516" customWidth="1"/>
    <col min="12172" max="12177" width="0" style="516" hidden="1" customWidth="1"/>
    <col min="12178" max="12178" width="14" style="516" customWidth="1"/>
    <col min="12179" max="12184" width="0" style="516" hidden="1" customWidth="1"/>
    <col min="12185" max="12185" width="14" style="516" customWidth="1"/>
    <col min="12186" max="12191" width="0" style="516" hidden="1" customWidth="1"/>
    <col min="12192" max="12192" width="14" style="516" customWidth="1"/>
    <col min="12193" max="12331" width="11.42578125" style="516"/>
    <col min="12332" max="12332" width="5.140625" style="516" bestFit="1" customWidth="1"/>
    <col min="12333" max="12333" width="15.28515625" style="516" bestFit="1" customWidth="1"/>
    <col min="12334" max="12336" width="0" style="516" hidden="1" customWidth="1"/>
    <col min="12337" max="12337" width="57.140625" style="516" bestFit="1" customWidth="1"/>
    <col min="12338" max="12338" width="5.140625" style="516" bestFit="1" customWidth="1"/>
    <col min="12339" max="12340" width="0" style="516" hidden="1" customWidth="1"/>
    <col min="12341" max="12341" width="5.7109375" style="516" bestFit="1" customWidth="1"/>
    <col min="12342" max="12342" width="5.140625" style="516" customWidth="1"/>
    <col min="12343" max="12343" width="14" style="516" customWidth="1"/>
    <col min="12344" max="12349" width="0" style="516" hidden="1" customWidth="1"/>
    <col min="12350" max="12350" width="14" style="516" customWidth="1"/>
    <col min="12351" max="12356" width="0" style="516" hidden="1" customWidth="1"/>
    <col min="12357" max="12357" width="14" style="516" customWidth="1"/>
    <col min="12358" max="12363" width="0" style="516" hidden="1" customWidth="1"/>
    <col min="12364" max="12364" width="14" style="516" customWidth="1"/>
    <col min="12365" max="12370" width="0" style="516" hidden="1" customWidth="1"/>
    <col min="12371" max="12371" width="14" style="516" customWidth="1"/>
    <col min="12372" max="12377" width="0" style="516" hidden="1" customWidth="1"/>
    <col min="12378" max="12378" width="14" style="516" customWidth="1"/>
    <col min="12379" max="12384" width="0" style="516" hidden="1" customWidth="1"/>
    <col min="12385" max="12385" width="14" style="516" customWidth="1"/>
    <col min="12386" max="12391" width="0" style="516" hidden="1" customWidth="1"/>
    <col min="12392" max="12392" width="14" style="516" customWidth="1"/>
    <col min="12393" max="12398" width="0" style="516" hidden="1" customWidth="1"/>
    <col min="12399" max="12399" width="14" style="516" customWidth="1"/>
    <col min="12400" max="12405" width="0" style="516" hidden="1" customWidth="1"/>
    <col min="12406" max="12406" width="14" style="516" customWidth="1"/>
    <col min="12407" max="12412" width="0" style="516" hidden="1" customWidth="1"/>
    <col min="12413" max="12413" width="14" style="516" customWidth="1"/>
    <col min="12414" max="12419" width="0" style="516" hidden="1" customWidth="1"/>
    <col min="12420" max="12420" width="14" style="516" customWidth="1"/>
    <col min="12421" max="12426" width="0" style="516" hidden="1" customWidth="1"/>
    <col min="12427" max="12427" width="14" style="516" customWidth="1"/>
    <col min="12428" max="12433" width="0" style="516" hidden="1" customWidth="1"/>
    <col min="12434" max="12434" width="14" style="516" customWidth="1"/>
    <col min="12435" max="12440" width="0" style="516" hidden="1" customWidth="1"/>
    <col min="12441" max="12441" width="14" style="516" customWidth="1"/>
    <col min="12442" max="12447" width="0" style="516" hidden="1" customWidth="1"/>
    <col min="12448" max="12448" width="14" style="516" customWidth="1"/>
    <col min="12449" max="12587" width="11.42578125" style="516"/>
    <col min="12588" max="12588" width="5.140625" style="516" bestFit="1" customWidth="1"/>
    <col min="12589" max="12589" width="15.28515625" style="516" bestFit="1" customWidth="1"/>
    <col min="12590" max="12592" width="0" style="516" hidden="1" customWidth="1"/>
    <col min="12593" max="12593" width="57.140625" style="516" bestFit="1" customWidth="1"/>
    <col min="12594" max="12594" width="5.140625" style="516" bestFit="1" customWidth="1"/>
    <col min="12595" max="12596" width="0" style="516" hidden="1" customWidth="1"/>
    <col min="12597" max="12597" width="5.7109375" style="516" bestFit="1" customWidth="1"/>
    <col min="12598" max="12598" width="5.140625" style="516" customWidth="1"/>
    <col min="12599" max="12599" width="14" style="516" customWidth="1"/>
    <col min="12600" max="12605" width="0" style="516" hidden="1" customWidth="1"/>
    <col min="12606" max="12606" width="14" style="516" customWidth="1"/>
    <col min="12607" max="12612" width="0" style="516" hidden="1" customWidth="1"/>
    <col min="12613" max="12613" width="14" style="516" customWidth="1"/>
    <col min="12614" max="12619" width="0" style="516" hidden="1" customWidth="1"/>
    <col min="12620" max="12620" width="14" style="516" customWidth="1"/>
    <col min="12621" max="12626" width="0" style="516" hidden="1" customWidth="1"/>
    <col min="12627" max="12627" width="14" style="516" customWidth="1"/>
    <col min="12628" max="12633" width="0" style="516" hidden="1" customWidth="1"/>
    <col min="12634" max="12634" width="14" style="516" customWidth="1"/>
    <col min="12635" max="12640" width="0" style="516" hidden="1" customWidth="1"/>
    <col min="12641" max="12641" width="14" style="516" customWidth="1"/>
    <col min="12642" max="12647" width="0" style="516" hidden="1" customWidth="1"/>
    <col min="12648" max="12648" width="14" style="516" customWidth="1"/>
    <col min="12649" max="12654" width="0" style="516" hidden="1" customWidth="1"/>
    <col min="12655" max="12655" width="14" style="516" customWidth="1"/>
    <col min="12656" max="12661" width="0" style="516" hidden="1" customWidth="1"/>
    <col min="12662" max="12662" width="14" style="516" customWidth="1"/>
    <col min="12663" max="12668" width="0" style="516" hidden="1" customWidth="1"/>
    <col min="12669" max="12669" width="14" style="516" customWidth="1"/>
    <col min="12670" max="12675" width="0" style="516" hidden="1" customWidth="1"/>
    <col min="12676" max="12676" width="14" style="516" customWidth="1"/>
    <col min="12677" max="12682" width="0" style="516" hidden="1" customWidth="1"/>
    <col min="12683" max="12683" width="14" style="516" customWidth="1"/>
    <col min="12684" max="12689" width="0" style="516" hidden="1" customWidth="1"/>
    <col min="12690" max="12690" width="14" style="516" customWidth="1"/>
    <col min="12691" max="12696" width="0" style="516" hidden="1" customWidth="1"/>
    <col min="12697" max="12697" width="14" style="516" customWidth="1"/>
    <col min="12698" max="12703" width="0" style="516" hidden="1" customWidth="1"/>
    <col min="12704" max="12704" width="14" style="516" customWidth="1"/>
    <col min="12705" max="12843" width="11.42578125" style="516"/>
    <col min="12844" max="12844" width="5.140625" style="516" bestFit="1" customWidth="1"/>
    <col min="12845" max="12845" width="15.28515625" style="516" bestFit="1" customWidth="1"/>
    <col min="12846" max="12848" width="0" style="516" hidden="1" customWidth="1"/>
    <col min="12849" max="12849" width="57.140625" style="516" bestFit="1" customWidth="1"/>
    <col min="12850" max="12850" width="5.140625" style="516" bestFit="1" customWidth="1"/>
    <col min="12851" max="12852" width="0" style="516" hidden="1" customWidth="1"/>
    <col min="12853" max="12853" width="5.7109375" style="516" bestFit="1" customWidth="1"/>
    <col min="12854" max="12854" width="5.140625" style="516" customWidth="1"/>
    <col min="12855" max="12855" width="14" style="516" customWidth="1"/>
    <col min="12856" max="12861" width="0" style="516" hidden="1" customWidth="1"/>
    <col min="12862" max="12862" width="14" style="516" customWidth="1"/>
    <col min="12863" max="12868" width="0" style="516" hidden="1" customWidth="1"/>
    <col min="12869" max="12869" width="14" style="516" customWidth="1"/>
    <col min="12870" max="12875" width="0" style="516" hidden="1" customWidth="1"/>
    <col min="12876" max="12876" width="14" style="516" customWidth="1"/>
    <col min="12877" max="12882" width="0" style="516" hidden="1" customWidth="1"/>
    <col min="12883" max="12883" width="14" style="516" customWidth="1"/>
    <col min="12884" max="12889" width="0" style="516" hidden="1" customWidth="1"/>
    <col min="12890" max="12890" width="14" style="516" customWidth="1"/>
    <col min="12891" max="12896" width="0" style="516" hidden="1" customWidth="1"/>
    <col min="12897" max="12897" width="14" style="516" customWidth="1"/>
    <col min="12898" max="12903" width="0" style="516" hidden="1" customWidth="1"/>
    <col min="12904" max="12904" width="14" style="516" customWidth="1"/>
    <col min="12905" max="12910" width="0" style="516" hidden="1" customWidth="1"/>
    <col min="12911" max="12911" width="14" style="516" customWidth="1"/>
    <col min="12912" max="12917" width="0" style="516" hidden="1" customWidth="1"/>
    <col min="12918" max="12918" width="14" style="516" customWidth="1"/>
    <col min="12919" max="12924" width="0" style="516" hidden="1" customWidth="1"/>
    <col min="12925" max="12925" width="14" style="516" customWidth="1"/>
    <col min="12926" max="12931" width="0" style="516" hidden="1" customWidth="1"/>
    <col min="12932" max="12932" width="14" style="516" customWidth="1"/>
    <col min="12933" max="12938" width="0" style="516" hidden="1" customWidth="1"/>
    <col min="12939" max="12939" width="14" style="516" customWidth="1"/>
    <col min="12940" max="12945" width="0" style="516" hidden="1" customWidth="1"/>
    <col min="12946" max="12946" width="14" style="516" customWidth="1"/>
    <col min="12947" max="12952" width="0" style="516" hidden="1" customWidth="1"/>
    <col min="12953" max="12953" width="14" style="516" customWidth="1"/>
    <col min="12954" max="12959" width="0" style="516" hidden="1" customWidth="1"/>
    <col min="12960" max="12960" width="14" style="516" customWidth="1"/>
    <col min="12961" max="13099" width="11.42578125" style="516"/>
    <col min="13100" max="13100" width="5.140625" style="516" bestFit="1" customWidth="1"/>
    <col min="13101" max="13101" width="15.28515625" style="516" bestFit="1" customWidth="1"/>
    <col min="13102" max="13104" width="0" style="516" hidden="1" customWidth="1"/>
    <col min="13105" max="13105" width="57.140625" style="516" bestFit="1" customWidth="1"/>
    <col min="13106" max="13106" width="5.140625" style="516" bestFit="1" customWidth="1"/>
    <col min="13107" max="13108" width="0" style="516" hidden="1" customWidth="1"/>
    <col min="13109" max="13109" width="5.7109375" style="516" bestFit="1" customWidth="1"/>
    <col min="13110" max="13110" width="5.140625" style="516" customWidth="1"/>
    <col min="13111" max="13111" width="14" style="516" customWidth="1"/>
    <col min="13112" max="13117" width="0" style="516" hidden="1" customWidth="1"/>
    <col min="13118" max="13118" width="14" style="516" customWidth="1"/>
    <col min="13119" max="13124" width="0" style="516" hidden="1" customWidth="1"/>
    <col min="13125" max="13125" width="14" style="516" customWidth="1"/>
    <col min="13126" max="13131" width="0" style="516" hidden="1" customWidth="1"/>
    <col min="13132" max="13132" width="14" style="516" customWidth="1"/>
    <col min="13133" max="13138" width="0" style="516" hidden="1" customWidth="1"/>
    <col min="13139" max="13139" width="14" style="516" customWidth="1"/>
    <col min="13140" max="13145" width="0" style="516" hidden="1" customWidth="1"/>
    <col min="13146" max="13146" width="14" style="516" customWidth="1"/>
    <col min="13147" max="13152" width="0" style="516" hidden="1" customWidth="1"/>
    <col min="13153" max="13153" width="14" style="516" customWidth="1"/>
    <col min="13154" max="13159" width="0" style="516" hidden="1" customWidth="1"/>
    <col min="13160" max="13160" width="14" style="516" customWidth="1"/>
    <col min="13161" max="13166" width="0" style="516" hidden="1" customWidth="1"/>
    <col min="13167" max="13167" width="14" style="516" customWidth="1"/>
    <col min="13168" max="13173" width="0" style="516" hidden="1" customWidth="1"/>
    <col min="13174" max="13174" width="14" style="516" customWidth="1"/>
    <col min="13175" max="13180" width="0" style="516" hidden="1" customWidth="1"/>
    <col min="13181" max="13181" width="14" style="516" customWidth="1"/>
    <col min="13182" max="13187" width="0" style="516" hidden="1" customWidth="1"/>
    <col min="13188" max="13188" width="14" style="516" customWidth="1"/>
    <col min="13189" max="13194" width="0" style="516" hidden="1" customWidth="1"/>
    <col min="13195" max="13195" width="14" style="516" customWidth="1"/>
    <col min="13196" max="13201" width="0" style="516" hidden="1" customWidth="1"/>
    <col min="13202" max="13202" width="14" style="516" customWidth="1"/>
    <col min="13203" max="13208" width="0" style="516" hidden="1" customWidth="1"/>
    <col min="13209" max="13209" width="14" style="516" customWidth="1"/>
    <col min="13210" max="13215" width="0" style="516" hidden="1" customWidth="1"/>
    <col min="13216" max="13216" width="14" style="516" customWidth="1"/>
    <col min="13217" max="13355" width="11.42578125" style="516"/>
    <col min="13356" max="13356" width="5.140625" style="516" bestFit="1" customWidth="1"/>
    <col min="13357" max="13357" width="15.28515625" style="516" bestFit="1" customWidth="1"/>
    <col min="13358" max="13360" width="0" style="516" hidden="1" customWidth="1"/>
    <col min="13361" max="13361" width="57.140625" style="516" bestFit="1" customWidth="1"/>
    <col min="13362" max="13362" width="5.140625" style="516" bestFit="1" customWidth="1"/>
    <col min="13363" max="13364" width="0" style="516" hidden="1" customWidth="1"/>
    <col min="13365" max="13365" width="5.7109375" style="516" bestFit="1" customWidth="1"/>
    <col min="13366" max="13366" width="5.140625" style="516" customWidth="1"/>
    <col min="13367" max="13367" width="14" style="516" customWidth="1"/>
    <col min="13368" max="13373" width="0" style="516" hidden="1" customWidth="1"/>
    <col min="13374" max="13374" width="14" style="516" customWidth="1"/>
    <col min="13375" max="13380" width="0" style="516" hidden="1" customWidth="1"/>
    <col min="13381" max="13381" width="14" style="516" customWidth="1"/>
    <col min="13382" max="13387" width="0" style="516" hidden="1" customWidth="1"/>
    <col min="13388" max="13388" width="14" style="516" customWidth="1"/>
    <col min="13389" max="13394" width="0" style="516" hidden="1" customWidth="1"/>
    <col min="13395" max="13395" width="14" style="516" customWidth="1"/>
    <col min="13396" max="13401" width="0" style="516" hidden="1" customWidth="1"/>
    <col min="13402" max="13402" width="14" style="516" customWidth="1"/>
    <col min="13403" max="13408" width="0" style="516" hidden="1" customWidth="1"/>
    <col min="13409" max="13409" width="14" style="516" customWidth="1"/>
    <col min="13410" max="13415" width="0" style="516" hidden="1" customWidth="1"/>
    <col min="13416" max="13416" width="14" style="516" customWidth="1"/>
    <col min="13417" max="13422" width="0" style="516" hidden="1" customWidth="1"/>
    <col min="13423" max="13423" width="14" style="516" customWidth="1"/>
    <col min="13424" max="13429" width="0" style="516" hidden="1" customWidth="1"/>
    <col min="13430" max="13430" width="14" style="516" customWidth="1"/>
    <col min="13431" max="13436" width="0" style="516" hidden="1" customWidth="1"/>
    <col min="13437" max="13437" width="14" style="516" customWidth="1"/>
    <col min="13438" max="13443" width="0" style="516" hidden="1" customWidth="1"/>
    <col min="13444" max="13444" width="14" style="516" customWidth="1"/>
    <col min="13445" max="13450" width="0" style="516" hidden="1" customWidth="1"/>
    <col min="13451" max="13451" width="14" style="516" customWidth="1"/>
    <col min="13452" max="13457" width="0" style="516" hidden="1" customWidth="1"/>
    <col min="13458" max="13458" width="14" style="516" customWidth="1"/>
    <col min="13459" max="13464" width="0" style="516" hidden="1" customWidth="1"/>
    <col min="13465" max="13465" width="14" style="516" customWidth="1"/>
    <col min="13466" max="13471" width="0" style="516" hidden="1" customWidth="1"/>
    <col min="13472" max="13472" width="14" style="516" customWidth="1"/>
    <col min="13473" max="13611" width="11.42578125" style="516"/>
    <col min="13612" max="13612" width="5.140625" style="516" bestFit="1" customWidth="1"/>
    <col min="13613" max="13613" width="15.28515625" style="516" bestFit="1" customWidth="1"/>
    <col min="13614" max="13616" width="0" style="516" hidden="1" customWidth="1"/>
    <col min="13617" max="13617" width="57.140625" style="516" bestFit="1" customWidth="1"/>
    <col min="13618" max="13618" width="5.140625" style="516" bestFit="1" customWidth="1"/>
    <col min="13619" max="13620" width="0" style="516" hidden="1" customWidth="1"/>
    <col min="13621" max="13621" width="5.7109375" style="516" bestFit="1" customWidth="1"/>
    <col min="13622" max="13622" width="5.140625" style="516" customWidth="1"/>
    <col min="13623" max="13623" width="14" style="516" customWidth="1"/>
    <col min="13624" max="13629" width="0" style="516" hidden="1" customWidth="1"/>
    <col min="13630" max="13630" width="14" style="516" customWidth="1"/>
    <col min="13631" max="13636" width="0" style="516" hidden="1" customWidth="1"/>
    <col min="13637" max="13637" width="14" style="516" customWidth="1"/>
    <col min="13638" max="13643" width="0" style="516" hidden="1" customWidth="1"/>
    <col min="13644" max="13644" width="14" style="516" customWidth="1"/>
    <col min="13645" max="13650" width="0" style="516" hidden="1" customWidth="1"/>
    <col min="13651" max="13651" width="14" style="516" customWidth="1"/>
    <col min="13652" max="13657" width="0" style="516" hidden="1" customWidth="1"/>
    <col min="13658" max="13658" width="14" style="516" customWidth="1"/>
    <col min="13659" max="13664" width="0" style="516" hidden="1" customWidth="1"/>
    <col min="13665" max="13665" width="14" style="516" customWidth="1"/>
    <col min="13666" max="13671" width="0" style="516" hidden="1" customWidth="1"/>
    <col min="13672" max="13672" width="14" style="516" customWidth="1"/>
    <col min="13673" max="13678" width="0" style="516" hidden="1" customWidth="1"/>
    <col min="13679" max="13679" width="14" style="516" customWidth="1"/>
    <col min="13680" max="13685" width="0" style="516" hidden="1" customWidth="1"/>
    <col min="13686" max="13686" width="14" style="516" customWidth="1"/>
    <col min="13687" max="13692" width="0" style="516" hidden="1" customWidth="1"/>
    <col min="13693" max="13693" width="14" style="516" customWidth="1"/>
    <col min="13694" max="13699" width="0" style="516" hidden="1" customWidth="1"/>
    <col min="13700" max="13700" width="14" style="516" customWidth="1"/>
    <col min="13701" max="13706" width="0" style="516" hidden="1" customWidth="1"/>
    <col min="13707" max="13707" width="14" style="516" customWidth="1"/>
    <col min="13708" max="13713" width="0" style="516" hidden="1" customWidth="1"/>
    <col min="13714" max="13714" width="14" style="516" customWidth="1"/>
    <col min="13715" max="13720" width="0" style="516" hidden="1" customWidth="1"/>
    <col min="13721" max="13721" width="14" style="516" customWidth="1"/>
    <col min="13722" max="13727" width="0" style="516" hidden="1" customWidth="1"/>
    <col min="13728" max="13728" width="14" style="516" customWidth="1"/>
    <col min="13729" max="13867" width="11.42578125" style="516"/>
    <col min="13868" max="13868" width="5.140625" style="516" bestFit="1" customWidth="1"/>
    <col min="13869" max="13869" width="15.28515625" style="516" bestFit="1" customWidth="1"/>
    <col min="13870" max="13872" width="0" style="516" hidden="1" customWidth="1"/>
    <col min="13873" max="13873" width="57.140625" style="516" bestFit="1" customWidth="1"/>
    <col min="13874" max="13874" width="5.140625" style="516" bestFit="1" customWidth="1"/>
    <col min="13875" max="13876" width="0" style="516" hidden="1" customWidth="1"/>
    <col min="13877" max="13877" width="5.7109375" style="516" bestFit="1" customWidth="1"/>
    <col min="13878" max="13878" width="5.140625" style="516" customWidth="1"/>
    <col min="13879" max="13879" width="14" style="516" customWidth="1"/>
    <col min="13880" max="13885" width="0" style="516" hidden="1" customWidth="1"/>
    <col min="13886" max="13886" width="14" style="516" customWidth="1"/>
    <col min="13887" max="13892" width="0" style="516" hidden="1" customWidth="1"/>
    <col min="13893" max="13893" width="14" style="516" customWidth="1"/>
    <col min="13894" max="13899" width="0" style="516" hidden="1" customWidth="1"/>
    <col min="13900" max="13900" width="14" style="516" customWidth="1"/>
    <col min="13901" max="13906" width="0" style="516" hidden="1" customWidth="1"/>
    <col min="13907" max="13907" width="14" style="516" customWidth="1"/>
    <col min="13908" max="13913" width="0" style="516" hidden="1" customWidth="1"/>
    <col min="13914" max="13914" width="14" style="516" customWidth="1"/>
    <col min="13915" max="13920" width="0" style="516" hidden="1" customWidth="1"/>
    <col min="13921" max="13921" width="14" style="516" customWidth="1"/>
    <col min="13922" max="13927" width="0" style="516" hidden="1" customWidth="1"/>
    <col min="13928" max="13928" width="14" style="516" customWidth="1"/>
    <col min="13929" max="13934" width="0" style="516" hidden="1" customWidth="1"/>
    <col min="13935" max="13935" width="14" style="516" customWidth="1"/>
    <col min="13936" max="13941" width="0" style="516" hidden="1" customWidth="1"/>
    <col min="13942" max="13942" width="14" style="516" customWidth="1"/>
    <col min="13943" max="13948" width="0" style="516" hidden="1" customWidth="1"/>
    <col min="13949" max="13949" width="14" style="516" customWidth="1"/>
    <col min="13950" max="13955" width="0" style="516" hidden="1" customWidth="1"/>
    <col min="13956" max="13956" width="14" style="516" customWidth="1"/>
    <col min="13957" max="13962" width="0" style="516" hidden="1" customWidth="1"/>
    <col min="13963" max="13963" width="14" style="516" customWidth="1"/>
    <col min="13964" max="13969" width="0" style="516" hidden="1" customWidth="1"/>
    <col min="13970" max="13970" width="14" style="516" customWidth="1"/>
    <col min="13971" max="13976" width="0" style="516" hidden="1" customWidth="1"/>
    <col min="13977" max="13977" width="14" style="516" customWidth="1"/>
    <col min="13978" max="13983" width="0" style="516" hidden="1" customWidth="1"/>
    <col min="13984" max="13984" width="14" style="516" customWidth="1"/>
    <col min="13985" max="14123" width="11.42578125" style="516"/>
    <col min="14124" max="14124" width="5.140625" style="516" bestFit="1" customWidth="1"/>
    <col min="14125" max="14125" width="15.28515625" style="516" bestFit="1" customWidth="1"/>
    <col min="14126" max="14128" width="0" style="516" hidden="1" customWidth="1"/>
    <col min="14129" max="14129" width="57.140625" style="516" bestFit="1" customWidth="1"/>
    <col min="14130" max="14130" width="5.140625" style="516" bestFit="1" customWidth="1"/>
    <col min="14131" max="14132" width="0" style="516" hidden="1" customWidth="1"/>
    <col min="14133" max="14133" width="5.7109375" style="516" bestFit="1" customWidth="1"/>
    <col min="14134" max="14134" width="5.140625" style="516" customWidth="1"/>
    <col min="14135" max="14135" width="14" style="516" customWidth="1"/>
    <col min="14136" max="14141" width="0" style="516" hidden="1" customWidth="1"/>
    <col min="14142" max="14142" width="14" style="516" customWidth="1"/>
    <col min="14143" max="14148" width="0" style="516" hidden="1" customWidth="1"/>
    <col min="14149" max="14149" width="14" style="516" customWidth="1"/>
    <col min="14150" max="14155" width="0" style="516" hidden="1" customWidth="1"/>
    <col min="14156" max="14156" width="14" style="516" customWidth="1"/>
    <col min="14157" max="14162" width="0" style="516" hidden="1" customWidth="1"/>
    <col min="14163" max="14163" width="14" style="516" customWidth="1"/>
    <col min="14164" max="14169" width="0" style="516" hidden="1" customWidth="1"/>
    <col min="14170" max="14170" width="14" style="516" customWidth="1"/>
    <col min="14171" max="14176" width="0" style="516" hidden="1" customWidth="1"/>
    <col min="14177" max="14177" width="14" style="516" customWidth="1"/>
    <col min="14178" max="14183" width="0" style="516" hidden="1" customWidth="1"/>
    <col min="14184" max="14184" width="14" style="516" customWidth="1"/>
    <col min="14185" max="14190" width="0" style="516" hidden="1" customWidth="1"/>
    <col min="14191" max="14191" width="14" style="516" customWidth="1"/>
    <col min="14192" max="14197" width="0" style="516" hidden="1" customWidth="1"/>
    <col min="14198" max="14198" width="14" style="516" customWidth="1"/>
    <col min="14199" max="14204" width="0" style="516" hidden="1" customWidth="1"/>
    <col min="14205" max="14205" width="14" style="516" customWidth="1"/>
    <col min="14206" max="14211" width="0" style="516" hidden="1" customWidth="1"/>
    <col min="14212" max="14212" width="14" style="516" customWidth="1"/>
    <col min="14213" max="14218" width="0" style="516" hidden="1" customWidth="1"/>
    <col min="14219" max="14219" width="14" style="516" customWidth="1"/>
    <col min="14220" max="14225" width="0" style="516" hidden="1" customWidth="1"/>
    <col min="14226" max="14226" width="14" style="516" customWidth="1"/>
    <col min="14227" max="14232" width="0" style="516" hidden="1" customWidth="1"/>
    <col min="14233" max="14233" width="14" style="516" customWidth="1"/>
    <col min="14234" max="14239" width="0" style="516" hidden="1" customWidth="1"/>
    <col min="14240" max="14240" width="14" style="516" customWidth="1"/>
    <col min="14241" max="14379" width="11.42578125" style="516"/>
    <col min="14380" max="14380" width="5.140625" style="516" bestFit="1" customWidth="1"/>
    <col min="14381" max="14381" width="15.28515625" style="516" bestFit="1" customWidth="1"/>
    <col min="14382" max="14384" width="0" style="516" hidden="1" customWidth="1"/>
    <col min="14385" max="14385" width="57.140625" style="516" bestFit="1" customWidth="1"/>
    <col min="14386" max="14386" width="5.140625" style="516" bestFit="1" customWidth="1"/>
    <col min="14387" max="14388" width="0" style="516" hidden="1" customWidth="1"/>
    <col min="14389" max="14389" width="5.7109375" style="516" bestFit="1" customWidth="1"/>
    <col min="14390" max="14390" width="5.140625" style="516" customWidth="1"/>
    <col min="14391" max="14391" width="14" style="516" customWidth="1"/>
    <col min="14392" max="14397" width="0" style="516" hidden="1" customWidth="1"/>
    <col min="14398" max="14398" width="14" style="516" customWidth="1"/>
    <col min="14399" max="14404" width="0" style="516" hidden="1" customWidth="1"/>
    <col min="14405" max="14405" width="14" style="516" customWidth="1"/>
    <col min="14406" max="14411" width="0" style="516" hidden="1" customWidth="1"/>
    <col min="14412" max="14412" width="14" style="516" customWidth="1"/>
    <col min="14413" max="14418" width="0" style="516" hidden="1" customWidth="1"/>
    <col min="14419" max="14419" width="14" style="516" customWidth="1"/>
    <col min="14420" max="14425" width="0" style="516" hidden="1" customWidth="1"/>
    <col min="14426" max="14426" width="14" style="516" customWidth="1"/>
    <col min="14427" max="14432" width="0" style="516" hidden="1" customWidth="1"/>
    <col min="14433" max="14433" width="14" style="516" customWidth="1"/>
    <col min="14434" max="14439" width="0" style="516" hidden="1" customWidth="1"/>
    <col min="14440" max="14440" width="14" style="516" customWidth="1"/>
    <col min="14441" max="14446" width="0" style="516" hidden="1" customWidth="1"/>
    <col min="14447" max="14447" width="14" style="516" customWidth="1"/>
    <col min="14448" max="14453" width="0" style="516" hidden="1" customWidth="1"/>
    <col min="14454" max="14454" width="14" style="516" customWidth="1"/>
    <col min="14455" max="14460" width="0" style="516" hidden="1" customWidth="1"/>
    <col min="14461" max="14461" width="14" style="516" customWidth="1"/>
    <col min="14462" max="14467" width="0" style="516" hidden="1" customWidth="1"/>
    <col min="14468" max="14468" width="14" style="516" customWidth="1"/>
    <col min="14469" max="14474" width="0" style="516" hidden="1" customWidth="1"/>
    <col min="14475" max="14475" width="14" style="516" customWidth="1"/>
    <col min="14476" max="14481" width="0" style="516" hidden="1" customWidth="1"/>
    <col min="14482" max="14482" width="14" style="516" customWidth="1"/>
    <col min="14483" max="14488" width="0" style="516" hidden="1" customWidth="1"/>
    <col min="14489" max="14489" width="14" style="516" customWidth="1"/>
    <col min="14490" max="14495" width="0" style="516" hidden="1" customWidth="1"/>
    <col min="14496" max="14496" width="14" style="516" customWidth="1"/>
    <col min="14497" max="14635" width="11.42578125" style="516"/>
    <col min="14636" max="14636" width="5.140625" style="516" bestFit="1" customWidth="1"/>
    <col min="14637" max="14637" width="15.28515625" style="516" bestFit="1" customWidth="1"/>
    <col min="14638" max="14640" width="0" style="516" hidden="1" customWidth="1"/>
    <col min="14641" max="14641" width="57.140625" style="516" bestFit="1" customWidth="1"/>
    <col min="14642" max="14642" width="5.140625" style="516" bestFit="1" customWidth="1"/>
    <col min="14643" max="14644" width="0" style="516" hidden="1" customWidth="1"/>
    <col min="14645" max="14645" width="5.7109375" style="516" bestFit="1" customWidth="1"/>
    <col min="14646" max="14646" width="5.140625" style="516" customWidth="1"/>
    <col min="14647" max="14647" width="14" style="516" customWidth="1"/>
    <col min="14648" max="14653" width="0" style="516" hidden="1" customWidth="1"/>
    <col min="14654" max="14654" width="14" style="516" customWidth="1"/>
    <col min="14655" max="14660" width="0" style="516" hidden="1" customWidth="1"/>
    <col min="14661" max="14661" width="14" style="516" customWidth="1"/>
    <col min="14662" max="14667" width="0" style="516" hidden="1" customWidth="1"/>
    <col min="14668" max="14668" width="14" style="516" customWidth="1"/>
    <col min="14669" max="14674" width="0" style="516" hidden="1" customWidth="1"/>
    <col min="14675" max="14675" width="14" style="516" customWidth="1"/>
    <col min="14676" max="14681" width="0" style="516" hidden="1" customWidth="1"/>
    <col min="14682" max="14682" width="14" style="516" customWidth="1"/>
    <col min="14683" max="14688" width="0" style="516" hidden="1" customWidth="1"/>
    <col min="14689" max="14689" width="14" style="516" customWidth="1"/>
    <col min="14690" max="14695" width="0" style="516" hidden="1" customWidth="1"/>
    <col min="14696" max="14696" width="14" style="516" customWidth="1"/>
    <col min="14697" max="14702" width="0" style="516" hidden="1" customWidth="1"/>
    <col min="14703" max="14703" width="14" style="516" customWidth="1"/>
    <col min="14704" max="14709" width="0" style="516" hidden="1" customWidth="1"/>
    <col min="14710" max="14710" width="14" style="516" customWidth="1"/>
    <col min="14711" max="14716" width="0" style="516" hidden="1" customWidth="1"/>
    <col min="14717" max="14717" width="14" style="516" customWidth="1"/>
    <col min="14718" max="14723" width="0" style="516" hidden="1" customWidth="1"/>
    <col min="14724" max="14724" width="14" style="516" customWidth="1"/>
    <col min="14725" max="14730" width="0" style="516" hidden="1" customWidth="1"/>
    <col min="14731" max="14731" width="14" style="516" customWidth="1"/>
    <col min="14732" max="14737" width="0" style="516" hidden="1" customWidth="1"/>
    <col min="14738" max="14738" width="14" style="516" customWidth="1"/>
    <col min="14739" max="14744" width="0" style="516" hidden="1" customWidth="1"/>
    <col min="14745" max="14745" width="14" style="516" customWidth="1"/>
    <col min="14746" max="14751" width="0" style="516" hidden="1" customWidth="1"/>
    <col min="14752" max="14752" width="14" style="516" customWidth="1"/>
    <col min="14753" max="14891" width="11.42578125" style="516"/>
    <col min="14892" max="14892" width="5.140625" style="516" bestFit="1" customWidth="1"/>
    <col min="14893" max="14893" width="15.28515625" style="516" bestFit="1" customWidth="1"/>
    <col min="14894" max="14896" width="0" style="516" hidden="1" customWidth="1"/>
    <col min="14897" max="14897" width="57.140625" style="516" bestFit="1" customWidth="1"/>
    <col min="14898" max="14898" width="5.140625" style="516" bestFit="1" customWidth="1"/>
    <col min="14899" max="14900" width="0" style="516" hidden="1" customWidth="1"/>
    <col min="14901" max="14901" width="5.7109375" style="516" bestFit="1" customWidth="1"/>
    <col min="14902" max="14902" width="5.140625" style="516" customWidth="1"/>
    <col min="14903" max="14903" width="14" style="516" customWidth="1"/>
    <col min="14904" max="14909" width="0" style="516" hidden="1" customWidth="1"/>
    <col min="14910" max="14910" width="14" style="516" customWidth="1"/>
    <col min="14911" max="14916" width="0" style="516" hidden="1" customWidth="1"/>
    <col min="14917" max="14917" width="14" style="516" customWidth="1"/>
    <col min="14918" max="14923" width="0" style="516" hidden="1" customWidth="1"/>
    <col min="14924" max="14924" width="14" style="516" customWidth="1"/>
    <col min="14925" max="14930" width="0" style="516" hidden="1" customWidth="1"/>
    <col min="14931" max="14931" width="14" style="516" customWidth="1"/>
    <col min="14932" max="14937" width="0" style="516" hidden="1" customWidth="1"/>
    <col min="14938" max="14938" width="14" style="516" customWidth="1"/>
    <col min="14939" max="14944" width="0" style="516" hidden="1" customWidth="1"/>
    <col min="14945" max="14945" width="14" style="516" customWidth="1"/>
    <col min="14946" max="14951" width="0" style="516" hidden="1" customWidth="1"/>
    <col min="14952" max="14952" width="14" style="516" customWidth="1"/>
    <col min="14953" max="14958" width="0" style="516" hidden="1" customWidth="1"/>
    <col min="14959" max="14959" width="14" style="516" customWidth="1"/>
    <col min="14960" max="14965" width="0" style="516" hidden="1" customWidth="1"/>
    <col min="14966" max="14966" width="14" style="516" customWidth="1"/>
    <col min="14967" max="14972" width="0" style="516" hidden="1" customWidth="1"/>
    <col min="14973" max="14973" width="14" style="516" customWidth="1"/>
    <col min="14974" max="14979" width="0" style="516" hidden="1" customWidth="1"/>
    <col min="14980" max="14980" width="14" style="516" customWidth="1"/>
    <col min="14981" max="14986" width="0" style="516" hidden="1" customWidth="1"/>
    <col min="14987" max="14987" width="14" style="516" customWidth="1"/>
    <col min="14988" max="14993" width="0" style="516" hidden="1" customWidth="1"/>
    <col min="14994" max="14994" width="14" style="516" customWidth="1"/>
    <col min="14995" max="15000" width="0" style="516" hidden="1" customWidth="1"/>
    <col min="15001" max="15001" width="14" style="516" customWidth="1"/>
    <col min="15002" max="15007" width="0" style="516" hidden="1" customWidth="1"/>
    <col min="15008" max="15008" width="14" style="516" customWidth="1"/>
    <col min="15009" max="15147" width="11.42578125" style="516"/>
    <col min="15148" max="15148" width="5.140625" style="516" bestFit="1" customWidth="1"/>
    <col min="15149" max="15149" width="15.28515625" style="516" bestFit="1" customWidth="1"/>
    <col min="15150" max="15152" width="0" style="516" hidden="1" customWidth="1"/>
    <col min="15153" max="15153" width="57.140625" style="516" bestFit="1" customWidth="1"/>
    <col min="15154" max="15154" width="5.140625" style="516" bestFit="1" customWidth="1"/>
    <col min="15155" max="15156" width="0" style="516" hidden="1" customWidth="1"/>
    <col min="15157" max="15157" width="5.7109375" style="516" bestFit="1" customWidth="1"/>
    <col min="15158" max="15158" width="5.140625" style="516" customWidth="1"/>
    <col min="15159" max="15159" width="14" style="516" customWidth="1"/>
    <col min="15160" max="15165" width="0" style="516" hidden="1" customWidth="1"/>
    <col min="15166" max="15166" width="14" style="516" customWidth="1"/>
    <col min="15167" max="15172" width="0" style="516" hidden="1" customWidth="1"/>
    <col min="15173" max="15173" width="14" style="516" customWidth="1"/>
    <col min="15174" max="15179" width="0" style="516" hidden="1" customWidth="1"/>
    <col min="15180" max="15180" width="14" style="516" customWidth="1"/>
    <col min="15181" max="15186" width="0" style="516" hidden="1" customWidth="1"/>
    <col min="15187" max="15187" width="14" style="516" customWidth="1"/>
    <col min="15188" max="15193" width="0" style="516" hidden="1" customWidth="1"/>
    <col min="15194" max="15194" width="14" style="516" customWidth="1"/>
    <col min="15195" max="15200" width="0" style="516" hidden="1" customWidth="1"/>
    <col min="15201" max="15201" width="14" style="516" customWidth="1"/>
    <col min="15202" max="15207" width="0" style="516" hidden="1" customWidth="1"/>
    <col min="15208" max="15208" width="14" style="516" customWidth="1"/>
    <col min="15209" max="15214" width="0" style="516" hidden="1" customWidth="1"/>
    <col min="15215" max="15215" width="14" style="516" customWidth="1"/>
    <col min="15216" max="15221" width="0" style="516" hidden="1" customWidth="1"/>
    <col min="15222" max="15222" width="14" style="516" customWidth="1"/>
    <col min="15223" max="15228" width="0" style="516" hidden="1" customWidth="1"/>
    <col min="15229" max="15229" width="14" style="516" customWidth="1"/>
    <col min="15230" max="15235" width="0" style="516" hidden="1" customWidth="1"/>
    <col min="15236" max="15236" width="14" style="516" customWidth="1"/>
    <col min="15237" max="15242" width="0" style="516" hidden="1" customWidth="1"/>
    <col min="15243" max="15243" width="14" style="516" customWidth="1"/>
    <col min="15244" max="15249" width="0" style="516" hidden="1" customWidth="1"/>
    <col min="15250" max="15250" width="14" style="516" customWidth="1"/>
    <col min="15251" max="15256" width="0" style="516" hidden="1" customWidth="1"/>
    <col min="15257" max="15257" width="14" style="516" customWidth="1"/>
    <col min="15258" max="15263" width="0" style="516" hidden="1" customWidth="1"/>
    <col min="15264" max="15264" width="14" style="516" customWidth="1"/>
    <col min="15265" max="15403" width="11.42578125" style="516"/>
    <col min="15404" max="15404" width="5.140625" style="516" bestFit="1" customWidth="1"/>
    <col min="15405" max="15405" width="15.28515625" style="516" bestFit="1" customWidth="1"/>
    <col min="15406" max="15408" width="0" style="516" hidden="1" customWidth="1"/>
    <col min="15409" max="15409" width="57.140625" style="516" bestFit="1" customWidth="1"/>
    <col min="15410" max="15410" width="5.140625" style="516" bestFit="1" customWidth="1"/>
    <col min="15411" max="15412" width="0" style="516" hidden="1" customWidth="1"/>
    <col min="15413" max="15413" width="5.7109375" style="516" bestFit="1" customWidth="1"/>
    <col min="15414" max="15414" width="5.140625" style="516" customWidth="1"/>
    <col min="15415" max="15415" width="14" style="516" customWidth="1"/>
    <col min="15416" max="15421" width="0" style="516" hidden="1" customWidth="1"/>
    <col min="15422" max="15422" width="14" style="516" customWidth="1"/>
    <col min="15423" max="15428" width="0" style="516" hidden="1" customWidth="1"/>
    <col min="15429" max="15429" width="14" style="516" customWidth="1"/>
    <col min="15430" max="15435" width="0" style="516" hidden="1" customWidth="1"/>
    <col min="15436" max="15436" width="14" style="516" customWidth="1"/>
    <col min="15437" max="15442" width="0" style="516" hidden="1" customWidth="1"/>
    <col min="15443" max="15443" width="14" style="516" customWidth="1"/>
    <col min="15444" max="15449" width="0" style="516" hidden="1" customWidth="1"/>
    <col min="15450" max="15450" width="14" style="516" customWidth="1"/>
    <col min="15451" max="15456" width="0" style="516" hidden="1" customWidth="1"/>
    <col min="15457" max="15457" width="14" style="516" customWidth="1"/>
    <col min="15458" max="15463" width="0" style="516" hidden="1" customWidth="1"/>
    <col min="15464" max="15464" width="14" style="516" customWidth="1"/>
    <col min="15465" max="15470" width="0" style="516" hidden="1" customWidth="1"/>
    <col min="15471" max="15471" width="14" style="516" customWidth="1"/>
    <col min="15472" max="15477" width="0" style="516" hidden="1" customWidth="1"/>
    <col min="15478" max="15478" width="14" style="516" customWidth="1"/>
    <col min="15479" max="15484" width="0" style="516" hidden="1" customWidth="1"/>
    <col min="15485" max="15485" width="14" style="516" customWidth="1"/>
    <col min="15486" max="15491" width="0" style="516" hidden="1" customWidth="1"/>
    <col min="15492" max="15492" width="14" style="516" customWidth="1"/>
    <col min="15493" max="15498" width="0" style="516" hidden="1" customWidth="1"/>
    <col min="15499" max="15499" width="14" style="516" customWidth="1"/>
    <col min="15500" max="15505" width="0" style="516" hidden="1" customWidth="1"/>
    <col min="15506" max="15506" width="14" style="516" customWidth="1"/>
    <col min="15507" max="15512" width="0" style="516" hidden="1" customWidth="1"/>
    <col min="15513" max="15513" width="14" style="516" customWidth="1"/>
    <col min="15514" max="15519" width="0" style="516" hidden="1" customWidth="1"/>
    <col min="15520" max="15520" width="14" style="516" customWidth="1"/>
    <col min="15521" max="15659" width="11.42578125" style="516"/>
    <col min="15660" max="15660" width="5.140625" style="516" bestFit="1" customWidth="1"/>
    <col min="15661" max="15661" width="15.28515625" style="516" bestFit="1" customWidth="1"/>
    <col min="15662" max="15664" width="0" style="516" hidden="1" customWidth="1"/>
    <col min="15665" max="15665" width="57.140625" style="516" bestFit="1" customWidth="1"/>
    <col min="15666" max="15666" width="5.140625" style="516" bestFit="1" customWidth="1"/>
    <col min="15667" max="15668" width="0" style="516" hidden="1" customWidth="1"/>
    <col min="15669" max="15669" width="5.7109375" style="516" bestFit="1" customWidth="1"/>
    <col min="15670" max="15670" width="5.140625" style="516" customWidth="1"/>
    <col min="15671" max="15671" width="14" style="516" customWidth="1"/>
    <col min="15672" max="15677" width="0" style="516" hidden="1" customWidth="1"/>
    <col min="15678" max="15678" width="14" style="516" customWidth="1"/>
    <col min="15679" max="15684" width="0" style="516" hidden="1" customWidth="1"/>
    <col min="15685" max="15685" width="14" style="516" customWidth="1"/>
    <col min="15686" max="15691" width="0" style="516" hidden="1" customWidth="1"/>
    <col min="15692" max="15692" width="14" style="516" customWidth="1"/>
    <col min="15693" max="15698" width="0" style="516" hidden="1" customWidth="1"/>
    <col min="15699" max="15699" width="14" style="516" customWidth="1"/>
    <col min="15700" max="15705" width="0" style="516" hidden="1" customWidth="1"/>
    <col min="15706" max="15706" width="14" style="516" customWidth="1"/>
    <col min="15707" max="15712" width="0" style="516" hidden="1" customWidth="1"/>
    <col min="15713" max="15713" width="14" style="516" customWidth="1"/>
    <col min="15714" max="15719" width="0" style="516" hidden="1" customWidth="1"/>
    <col min="15720" max="15720" width="14" style="516" customWidth="1"/>
    <col min="15721" max="15726" width="0" style="516" hidden="1" customWidth="1"/>
    <col min="15727" max="15727" width="14" style="516" customWidth="1"/>
    <col min="15728" max="15733" width="0" style="516" hidden="1" customWidth="1"/>
    <col min="15734" max="15734" width="14" style="516" customWidth="1"/>
    <col min="15735" max="15740" width="0" style="516" hidden="1" customWidth="1"/>
    <col min="15741" max="15741" width="14" style="516" customWidth="1"/>
    <col min="15742" max="15747" width="0" style="516" hidden="1" customWidth="1"/>
    <col min="15748" max="15748" width="14" style="516" customWidth="1"/>
    <col min="15749" max="15754" width="0" style="516" hidden="1" customWidth="1"/>
    <col min="15755" max="15755" width="14" style="516" customWidth="1"/>
    <col min="15756" max="15761" width="0" style="516" hidden="1" customWidth="1"/>
    <col min="15762" max="15762" width="14" style="516" customWidth="1"/>
    <col min="15763" max="15768" width="0" style="516" hidden="1" customWidth="1"/>
    <col min="15769" max="15769" width="14" style="516" customWidth="1"/>
    <col min="15770" max="15775" width="0" style="516" hidden="1" customWidth="1"/>
    <col min="15776" max="15776" width="14" style="516" customWidth="1"/>
    <col min="15777" max="15915" width="11.42578125" style="516"/>
    <col min="15916" max="15916" width="5.140625" style="516" bestFit="1" customWidth="1"/>
    <col min="15917" max="15917" width="15.28515625" style="516" bestFit="1" customWidth="1"/>
    <col min="15918" max="15920" width="0" style="516" hidden="1" customWidth="1"/>
    <col min="15921" max="15921" width="57.140625" style="516" bestFit="1" customWidth="1"/>
    <col min="15922" max="15922" width="5.140625" style="516" bestFit="1" customWidth="1"/>
    <col min="15923" max="15924" width="0" style="516" hidden="1" customWidth="1"/>
    <col min="15925" max="15925" width="5.7109375" style="516" bestFit="1" customWidth="1"/>
    <col min="15926" max="15926" width="5.140625" style="516" customWidth="1"/>
    <col min="15927" max="15927" width="14" style="516" customWidth="1"/>
    <col min="15928" max="15933" width="0" style="516" hidden="1" customWidth="1"/>
    <col min="15934" max="15934" width="14" style="516" customWidth="1"/>
    <col min="15935" max="15940" width="0" style="516" hidden="1" customWidth="1"/>
    <col min="15941" max="15941" width="14" style="516" customWidth="1"/>
    <col min="15942" max="15947" width="0" style="516" hidden="1" customWidth="1"/>
    <col min="15948" max="15948" width="14" style="516" customWidth="1"/>
    <col min="15949" max="15954" width="0" style="516" hidden="1" customWidth="1"/>
    <col min="15955" max="15955" width="14" style="516" customWidth="1"/>
    <col min="15956" max="15961" width="0" style="516" hidden="1" customWidth="1"/>
    <col min="15962" max="15962" width="14" style="516" customWidth="1"/>
    <col min="15963" max="15968" width="0" style="516" hidden="1" customWidth="1"/>
    <col min="15969" max="15969" width="14" style="516" customWidth="1"/>
    <col min="15970" max="15975" width="0" style="516" hidden="1" customWidth="1"/>
    <col min="15976" max="15976" width="14" style="516" customWidth="1"/>
    <col min="15977" max="15982" width="0" style="516" hidden="1" customWidth="1"/>
    <col min="15983" max="15983" width="14" style="516" customWidth="1"/>
    <col min="15984" max="15989" width="0" style="516" hidden="1" customWidth="1"/>
    <col min="15990" max="15990" width="14" style="516" customWidth="1"/>
    <col min="15991" max="15996" width="0" style="516" hidden="1" customWidth="1"/>
    <col min="15997" max="15997" width="14" style="516" customWidth="1"/>
    <col min="15998" max="16003" width="0" style="516" hidden="1" customWidth="1"/>
    <col min="16004" max="16004" width="14" style="516" customWidth="1"/>
    <col min="16005" max="16010" width="0" style="516" hidden="1" customWidth="1"/>
    <col min="16011" max="16011" width="14" style="516" customWidth="1"/>
    <col min="16012" max="16017" width="0" style="516" hidden="1" customWidth="1"/>
    <col min="16018" max="16018" width="14" style="516" customWidth="1"/>
    <col min="16019" max="16024" width="0" style="516" hidden="1" customWidth="1"/>
    <col min="16025" max="16025" width="14" style="516" customWidth="1"/>
    <col min="16026" max="16031" width="0" style="516" hidden="1" customWidth="1"/>
    <col min="16032" max="16032" width="14" style="516" customWidth="1"/>
    <col min="16033" max="16384" width="11.42578125" style="516"/>
  </cols>
  <sheetData>
    <row r="1" spans="1:84" s="313" customFormat="1">
      <c r="A1" s="489"/>
      <c r="B1" s="490"/>
      <c r="C1" s="491"/>
      <c r="D1" s="489"/>
      <c r="E1" s="489"/>
      <c r="F1" s="492"/>
      <c r="G1" s="489"/>
      <c r="H1" s="489"/>
      <c r="I1" s="489"/>
      <c r="J1" s="489"/>
      <c r="K1" s="489"/>
      <c r="L1" s="493"/>
      <c r="M1" s="184"/>
      <c r="N1" s="184"/>
      <c r="O1" s="184"/>
      <c r="P1" s="493"/>
      <c r="Q1" s="184"/>
      <c r="R1" s="184"/>
      <c r="S1" s="184"/>
      <c r="T1" s="493"/>
      <c r="U1" s="184"/>
      <c r="V1" s="184"/>
      <c r="W1" s="184"/>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c r="BG1" s="522"/>
      <c r="BH1" s="522"/>
      <c r="BI1" s="522"/>
      <c r="BJ1" s="522"/>
      <c r="BK1" s="522"/>
      <c r="BL1" s="522"/>
      <c r="BM1" s="522"/>
      <c r="BN1" s="522"/>
      <c r="BO1" s="522"/>
      <c r="BP1" s="522"/>
      <c r="BQ1" s="522"/>
      <c r="BR1" s="522"/>
      <c r="BS1" s="522"/>
      <c r="BT1" s="522"/>
      <c r="BU1" s="522"/>
      <c r="BV1" s="522"/>
      <c r="BW1" s="522"/>
      <c r="BX1" s="522"/>
      <c r="BY1" s="522"/>
      <c r="BZ1" s="522"/>
      <c r="CA1" s="522"/>
      <c r="CB1" s="522"/>
      <c r="CC1" s="522"/>
      <c r="CD1" s="522"/>
      <c r="CE1" s="522"/>
      <c r="CF1" s="522"/>
    </row>
    <row r="2" spans="1:84" s="314" customFormat="1">
      <c r="A2" s="489"/>
      <c r="B2" s="494"/>
      <c r="C2" s="491" t="s">
        <v>511</v>
      </c>
      <c r="D2" s="494">
        <v>3503</v>
      </c>
      <c r="E2" s="494">
        <v>3504</v>
      </c>
      <c r="F2" s="494">
        <v>3702</v>
      </c>
      <c r="G2" s="494">
        <v>3703</v>
      </c>
      <c r="H2" s="494">
        <v>3506</v>
      </c>
      <c r="I2" s="494">
        <v>3507</v>
      </c>
      <c r="J2" s="494">
        <v>3508</v>
      </c>
      <c r="K2" s="494">
        <v>3706</v>
      </c>
      <c r="L2" s="494">
        <v>3707</v>
      </c>
      <c r="M2" s="495">
        <v>3708</v>
      </c>
      <c r="N2" s="495">
        <v>3709</v>
      </c>
      <c r="O2" s="496">
        <v>3792</v>
      </c>
      <c r="P2" s="494">
        <v>3707</v>
      </c>
      <c r="Q2" s="495">
        <v>3708</v>
      </c>
      <c r="R2" s="495">
        <v>3709</v>
      </c>
      <c r="S2" s="496">
        <v>3792</v>
      </c>
      <c r="T2" s="494">
        <v>3707</v>
      </c>
      <c r="U2" s="495">
        <v>3708</v>
      </c>
      <c r="V2" s="495">
        <v>3709</v>
      </c>
      <c r="W2" s="496">
        <v>3792</v>
      </c>
      <c r="X2" s="523"/>
      <c r="Y2" s="523"/>
      <c r="Z2" s="523"/>
      <c r="AA2" s="523"/>
      <c r="AB2" s="523"/>
      <c r="AC2" s="523"/>
      <c r="AD2" s="523"/>
      <c r="AE2" s="523"/>
      <c r="AF2" s="523"/>
      <c r="AG2" s="523"/>
      <c r="AH2" s="523"/>
      <c r="AI2" s="523"/>
      <c r="AJ2" s="523"/>
      <c r="AK2" s="523"/>
      <c r="AL2" s="523"/>
      <c r="AM2" s="523"/>
      <c r="AN2" s="523"/>
      <c r="AO2" s="523"/>
      <c r="AP2" s="523"/>
      <c r="AQ2" s="523"/>
      <c r="AR2" s="523"/>
      <c r="AS2" s="523"/>
      <c r="AT2" s="523"/>
      <c r="AU2" s="523"/>
      <c r="AV2" s="523"/>
      <c r="AW2" s="523"/>
      <c r="AX2" s="523"/>
      <c r="AY2" s="523"/>
      <c r="AZ2" s="523"/>
      <c r="BA2" s="523"/>
      <c r="BB2" s="523"/>
      <c r="BC2" s="523"/>
      <c r="BD2" s="523"/>
      <c r="BE2" s="523"/>
      <c r="BF2" s="523"/>
      <c r="BG2" s="523"/>
      <c r="BH2" s="523"/>
      <c r="BI2" s="523"/>
      <c r="BJ2" s="523"/>
      <c r="BK2" s="523"/>
      <c r="BL2" s="523"/>
      <c r="BM2" s="523"/>
      <c r="BN2" s="523"/>
      <c r="BO2" s="523"/>
      <c r="BP2" s="523"/>
      <c r="BQ2" s="523"/>
      <c r="BR2" s="523"/>
      <c r="BS2" s="523"/>
      <c r="BT2" s="523"/>
      <c r="BU2" s="523"/>
      <c r="BV2" s="523"/>
      <c r="BW2" s="523"/>
      <c r="BX2" s="523"/>
      <c r="BY2" s="523"/>
      <c r="BZ2" s="523"/>
      <c r="CA2" s="523"/>
      <c r="CB2" s="523"/>
      <c r="CC2" s="523"/>
      <c r="CD2" s="523"/>
      <c r="CE2" s="523"/>
      <c r="CF2" s="523"/>
    </row>
    <row r="3" spans="1:84" s="315" customFormat="1" ht="79.5" customHeight="1">
      <c r="A3" s="489"/>
      <c r="B3" s="497" t="s">
        <v>641</v>
      </c>
      <c r="C3" s="491">
        <v>401</v>
      </c>
      <c r="D3" s="498" t="s">
        <v>642</v>
      </c>
      <c r="E3" s="498" t="s">
        <v>643</v>
      </c>
      <c r="F3" s="499" t="s">
        <v>516</v>
      </c>
      <c r="G3" s="500" t="s">
        <v>517</v>
      </c>
      <c r="H3" s="500" t="s">
        <v>518</v>
      </c>
      <c r="I3" s="500" t="s">
        <v>644</v>
      </c>
      <c r="J3" s="500" t="s">
        <v>645</v>
      </c>
      <c r="K3" s="500" t="s">
        <v>394</v>
      </c>
      <c r="L3" s="501" t="s">
        <v>793</v>
      </c>
      <c r="M3" s="502" t="s">
        <v>646</v>
      </c>
      <c r="N3" s="502" t="s">
        <v>266</v>
      </c>
      <c r="O3" s="503" t="s">
        <v>548</v>
      </c>
      <c r="P3" s="501" t="s">
        <v>793</v>
      </c>
      <c r="Q3" s="502" t="s">
        <v>646</v>
      </c>
      <c r="R3" s="502" t="s">
        <v>266</v>
      </c>
      <c r="S3" s="503" t="s">
        <v>548</v>
      </c>
      <c r="T3" s="501" t="s">
        <v>793</v>
      </c>
      <c r="U3" s="502" t="s">
        <v>646</v>
      </c>
      <c r="V3" s="502" t="s">
        <v>266</v>
      </c>
      <c r="W3" s="503" t="s">
        <v>548</v>
      </c>
      <c r="X3" s="524"/>
      <c r="Y3" s="524"/>
      <c r="Z3" s="524"/>
      <c r="AA3" s="524"/>
      <c r="AB3" s="524"/>
      <c r="AC3" s="524"/>
      <c r="AD3" s="524"/>
      <c r="AE3" s="524"/>
      <c r="AF3" s="524"/>
      <c r="AG3" s="524"/>
      <c r="AH3" s="524"/>
      <c r="AI3" s="524"/>
      <c r="AJ3" s="524"/>
      <c r="AK3" s="524"/>
      <c r="AL3" s="524"/>
      <c r="AM3" s="524"/>
      <c r="AN3" s="524"/>
      <c r="AO3" s="524"/>
      <c r="AP3" s="524"/>
      <c r="AQ3" s="524"/>
      <c r="AR3" s="524"/>
      <c r="AS3" s="524"/>
      <c r="AT3" s="524"/>
      <c r="AU3" s="524"/>
      <c r="AV3" s="524"/>
      <c r="AW3" s="524"/>
      <c r="AX3" s="524"/>
      <c r="AY3" s="524"/>
      <c r="AZ3" s="524"/>
      <c r="BA3" s="524"/>
      <c r="BB3" s="524"/>
      <c r="BC3" s="524"/>
      <c r="BD3" s="524"/>
      <c r="BE3" s="524"/>
      <c r="BF3" s="524"/>
      <c r="BG3" s="524"/>
      <c r="BH3" s="524"/>
      <c r="BI3" s="524"/>
      <c r="BJ3" s="524"/>
      <c r="BK3" s="524"/>
      <c r="BL3" s="524"/>
      <c r="BM3" s="524"/>
      <c r="BN3" s="524"/>
      <c r="BO3" s="524"/>
      <c r="BP3" s="524"/>
      <c r="BQ3" s="524"/>
      <c r="BR3" s="524"/>
      <c r="BS3" s="524"/>
      <c r="BT3" s="524"/>
      <c r="BU3" s="524"/>
      <c r="BV3" s="524"/>
      <c r="BW3" s="524"/>
      <c r="BX3" s="524"/>
      <c r="BY3" s="524"/>
      <c r="BZ3" s="524"/>
      <c r="CA3" s="524"/>
      <c r="CB3" s="524"/>
      <c r="CC3" s="524"/>
      <c r="CD3" s="524"/>
      <c r="CE3" s="524"/>
      <c r="CF3" s="524"/>
    </row>
    <row r="4" spans="1:84" s="315" customFormat="1">
      <c r="A4" s="489"/>
      <c r="B4" s="497"/>
      <c r="C4" s="491">
        <v>662</v>
      </c>
      <c r="D4" s="504"/>
      <c r="E4" s="504"/>
      <c r="F4" s="499" t="s">
        <v>517</v>
      </c>
      <c r="G4" s="499"/>
      <c r="H4" s="499"/>
      <c r="I4" s="499"/>
      <c r="J4" s="499"/>
      <c r="K4" s="499"/>
      <c r="L4" s="501" t="s">
        <v>268</v>
      </c>
      <c r="M4" s="505"/>
      <c r="N4" s="505"/>
      <c r="O4" s="506"/>
      <c r="P4" s="501" t="s">
        <v>789</v>
      </c>
      <c r="Q4" s="505"/>
      <c r="R4" s="505"/>
      <c r="S4" s="506"/>
      <c r="T4" s="501" t="s">
        <v>465</v>
      </c>
      <c r="U4" s="505"/>
      <c r="V4" s="505"/>
      <c r="W4" s="506"/>
      <c r="X4" s="524"/>
      <c r="Y4" s="524"/>
      <c r="Z4" s="524"/>
      <c r="AA4" s="524"/>
      <c r="AB4" s="524"/>
      <c r="AC4" s="524"/>
      <c r="AD4" s="524"/>
      <c r="AE4" s="524"/>
      <c r="AF4" s="524"/>
      <c r="AG4" s="524"/>
      <c r="AH4" s="524"/>
      <c r="AI4" s="524"/>
      <c r="AJ4" s="524"/>
      <c r="AK4" s="524"/>
      <c r="AL4" s="524"/>
      <c r="AM4" s="524"/>
      <c r="AN4" s="524"/>
      <c r="AO4" s="524"/>
      <c r="AP4" s="524"/>
      <c r="AQ4" s="524"/>
      <c r="AR4" s="524"/>
      <c r="AS4" s="524"/>
      <c r="AT4" s="524"/>
      <c r="AU4" s="524"/>
      <c r="AV4" s="524"/>
      <c r="AW4" s="524"/>
      <c r="AX4" s="524"/>
      <c r="AY4" s="524"/>
      <c r="AZ4" s="524"/>
      <c r="BA4" s="524"/>
      <c r="BB4" s="524"/>
      <c r="BC4" s="524"/>
      <c r="BD4" s="524"/>
      <c r="BE4" s="524"/>
      <c r="BF4" s="524"/>
      <c r="BG4" s="524"/>
      <c r="BH4" s="524"/>
      <c r="BI4" s="524"/>
      <c r="BJ4" s="524"/>
      <c r="BK4" s="524"/>
      <c r="BL4" s="524"/>
      <c r="BM4" s="524"/>
      <c r="BN4" s="524"/>
      <c r="BO4" s="524"/>
      <c r="BP4" s="524"/>
      <c r="BQ4" s="524"/>
      <c r="BR4" s="524"/>
      <c r="BS4" s="524"/>
      <c r="BT4" s="524"/>
      <c r="BU4" s="524"/>
      <c r="BV4" s="524"/>
      <c r="BW4" s="524"/>
      <c r="BX4" s="524"/>
      <c r="BY4" s="524"/>
      <c r="BZ4" s="524"/>
      <c r="CA4" s="524"/>
      <c r="CB4" s="524"/>
      <c r="CC4" s="524"/>
      <c r="CD4" s="524"/>
      <c r="CE4" s="524"/>
      <c r="CF4" s="524"/>
    </row>
    <row r="5" spans="1:84" s="316" customFormat="1">
      <c r="A5" s="489"/>
      <c r="B5" s="497"/>
      <c r="C5" s="491">
        <v>493</v>
      </c>
      <c r="D5" s="504"/>
      <c r="E5" s="504"/>
      <c r="F5" s="499" t="s">
        <v>520</v>
      </c>
      <c r="G5" s="499"/>
      <c r="H5" s="499"/>
      <c r="I5" s="499"/>
      <c r="J5" s="499"/>
      <c r="K5" s="499"/>
      <c r="L5" s="501">
        <v>1</v>
      </c>
      <c r="M5" s="505"/>
      <c r="N5" s="505"/>
      <c r="O5" s="506"/>
      <c r="P5" s="501">
        <v>1</v>
      </c>
      <c r="Q5" s="505"/>
      <c r="R5" s="505"/>
      <c r="S5" s="506"/>
      <c r="T5" s="501">
        <v>1</v>
      </c>
      <c r="U5" s="505"/>
      <c r="V5" s="505"/>
      <c r="W5" s="506"/>
      <c r="X5" s="525"/>
      <c r="Y5" s="525"/>
      <c r="Z5" s="525"/>
      <c r="AA5" s="525"/>
      <c r="AB5" s="525"/>
      <c r="AC5" s="525"/>
      <c r="AD5" s="525"/>
      <c r="AE5" s="525"/>
      <c r="AF5" s="525"/>
      <c r="AG5" s="525"/>
      <c r="AH5" s="525"/>
      <c r="AI5" s="525"/>
      <c r="AJ5" s="525"/>
      <c r="AK5" s="525"/>
      <c r="AL5" s="525"/>
      <c r="AM5" s="525"/>
      <c r="AN5" s="525"/>
      <c r="AO5" s="525"/>
      <c r="AP5" s="525"/>
      <c r="AQ5" s="525"/>
      <c r="AR5" s="525"/>
      <c r="AS5" s="525"/>
      <c r="AT5" s="525"/>
      <c r="AU5" s="525"/>
      <c r="AV5" s="525"/>
      <c r="AW5" s="525"/>
      <c r="AX5" s="525"/>
      <c r="AY5" s="525"/>
      <c r="AZ5" s="525"/>
      <c r="BA5" s="525"/>
      <c r="BB5" s="525"/>
      <c r="BC5" s="525"/>
      <c r="BD5" s="525"/>
      <c r="BE5" s="525"/>
      <c r="BF5" s="525"/>
      <c r="BG5" s="525"/>
      <c r="BH5" s="525"/>
      <c r="BI5" s="525"/>
      <c r="BJ5" s="525"/>
      <c r="BK5" s="525"/>
      <c r="BL5" s="525"/>
      <c r="BM5" s="525"/>
      <c r="BN5" s="525"/>
      <c r="BO5" s="525"/>
      <c r="BP5" s="525"/>
      <c r="BQ5" s="525"/>
      <c r="BR5" s="525"/>
      <c r="BS5" s="525"/>
      <c r="BT5" s="525"/>
      <c r="BU5" s="525"/>
      <c r="BV5" s="525"/>
      <c r="BW5" s="525"/>
      <c r="BX5" s="525"/>
      <c r="BY5" s="525"/>
      <c r="BZ5" s="525"/>
      <c r="CA5" s="525"/>
      <c r="CB5" s="525"/>
      <c r="CC5" s="525"/>
      <c r="CD5" s="525"/>
      <c r="CE5" s="525"/>
      <c r="CF5" s="525"/>
    </row>
    <row r="6" spans="1:84" s="317" customFormat="1">
      <c r="A6" s="489"/>
      <c r="B6" s="497"/>
      <c r="C6" s="491">
        <v>403</v>
      </c>
      <c r="D6" s="504"/>
      <c r="E6" s="504"/>
      <c r="F6" s="499" t="s">
        <v>394</v>
      </c>
      <c r="G6" s="499"/>
      <c r="H6" s="499"/>
      <c r="I6" s="499"/>
      <c r="J6" s="499"/>
      <c r="K6" s="499"/>
      <c r="L6" s="501" t="s">
        <v>396</v>
      </c>
      <c r="M6" s="505"/>
      <c r="N6" s="505"/>
      <c r="O6" s="506"/>
      <c r="P6" s="501" t="s">
        <v>396</v>
      </c>
      <c r="Q6" s="505"/>
      <c r="R6" s="505"/>
      <c r="S6" s="506"/>
      <c r="T6" s="501" t="s">
        <v>396</v>
      </c>
      <c r="U6" s="505"/>
      <c r="V6" s="505"/>
      <c r="W6" s="506"/>
      <c r="X6" s="526"/>
      <c r="Y6" s="526"/>
      <c r="Z6" s="526"/>
      <c r="AA6" s="526"/>
      <c r="AB6" s="526"/>
      <c r="AC6" s="526"/>
      <c r="AD6" s="526"/>
      <c r="AE6" s="526"/>
      <c r="AF6" s="526"/>
      <c r="AG6" s="526"/>
      <c r="AH6" s="526"/>
      <c r="AI6" s="526"/>
      <c r="AJ6" s="526"/>
      <c r="AK6" s="526"/>
      <c r="AL6" s="526"/>
      <c r="AM6" s="526"/>
      <c r="AN6" s="526"/>
      <c r="AO6" s="526"/>
      <c r="AP6" s="526"/>
      <c r="AQ6" s="526"/>
      <c r="AR6" s="526"/>
      <c r="AS6" s="526"/>
      <c r="AT6" s="526"/>
      <c r="AU6" s="526"/>
      <c r="AV6" s="526"/>
      <c r="AW6" s="526"/>
      <c r="AX6" s="526"/>
      <c r="AY6" s="526"/>
      <c r="AZ6" s="526"/>
      <c r="BA6" s="526"/>
      <c r="BB6" s="526"/>
      <c r="BC6" s="526"/>
      <c r="BD6" s="526"/>
      <c r="BE6" s="526"/>
      <c r="BF6" s="526"/>
      <c r="BG6" s="526"/>
      <c r="BH6" s="526"/>
      <c r="BI6" s="526"/>
      <c r="BJ6" s="526"/>
      <c r="BK6" s="526"/>
      <c r="BL6" s="526"/>
      <c r="BM6" s="526"/>
      <c r="BN6" s="526"/>
      <c r="BO6" s="526"/>
      <c r="BP6" s="526"/>
      <c r="BQ6" s="526"/>
      <c r="BR6" s="526"/>
      <c r="BS6" s="526"/>
      <c r="BT6" s="526"/>
      <c r="BU6" s="526"/>
      <c r="BV6" s="526"/>
      <c r="BW6" s="526"/>
      <c r="BX6" s="526"/>
      <c r="BY6" s="526"/>
      <c r="BZ6" s="526"/>
      <c r="CA6" s="526"/>
      <c r="CB6" s="526"/>
      <c r="CC6" s="526"/>
      <c r="CD6" s="526"/>
      <c r="CE6" s="526"/>
      <c r="CF6" s="526"/>
    </row>
    <row r="7" spans="1:84">
      <c r="A7" s="518"/>
      <c r="B7" s="507" t="s">
        <v>792</v>
      </c>
      <c r="C7" s="15"/>
      <c r="D7" s="15"/>
      <c r="E7" s="15">
        <v>0</v>
      </c>
      <c r="F7" s="541" t="s">
        <v>793</v>
      </c>
      <c r="G7" s="15" t="s">
        <v>268</v>
      </c>
      <c r="H7" s="15"/>
      <c r="I7" s="15"/>
      <c r="J7" s="15">
        <v>1</v>
      </c>
      <c r="K7" s="15" t="s">
        <v>396</v>
      </c>
      <c r="L7" s="15">
        <v>1</v>
      </c>
      <c r="M7" s="15"/>
      <c r="N7" s="15"/>
      <c r="O7" s="15"/>
      <c r="P7" s="15"/>
      <c r="Q7" s="15"/>
      <c r="R7" s="15"/>
      <c r="S7" s="15"/>
      <c r="T7" s="15"/>
      <c r="U7" s="514"/>
      <c r="V7" s="515"/>
      <c r="W7" s="517"/>
    </row>
    <row r="8" spans="1:84">
      <c r="A8" s="518"/>
      <c r="B8" s="507"/>
      <c r="C8" s="15"/>
      <c r="D8" s="15"/>
      <c r="E8" s="15">
        <v>0</v>
      </c>
      <c r="F8" s="541" t="s">
        <v>793</v>
      </c>
      <c r="G8" s="15" t="s">
        <v>789</v>
      </c>
      <c r="H8" s="15"/>
      <c r="I8" s="15"/>
      <c r="J8" s="15">
        <v>1</v>
      </c>
      <c r="K8" s="15" t="s">
        <v>396</v>
      </c>
      <c r="L8" s="15"/>
      <c r="M8" s="15"/>
      <c r="N8" s="15"/>
      <c r="O8" s="15"/>
      <c r="P8" s="15">
        <v>1</v>
      </c>
      <c r="Q8" s="15"/>
      <c r="R8" s="15"/>
      <c r="S8" s="15"/>
      <c r="T8" s="15"/>
      <c r="U8" s="514"/>
      <c r="V8" s="515"/>
      <c r="W8" s="517"/>
    </row>
    <row r="9" spans="1:84" ht="22.5" customHeight="1">
      <c r="A9" s="518"/>
      <c r="B9" s="507"/>
      <c r="C9" s="15"/>
      <c r="D9" s="15"/>
      <c r="E9" s="15">
        <v>0</v>
      </c>
      <c r="F9" s="541" t="s">
        <v>793</v>
      </c>
      <c r="G9" s="15" t="s">
        <v>465</v>
      </c>
      <c r="H9" s="15"/>
      <c r="I9" s="15"/>
      <c r="J9" s="15">
        <v>1</v>
      </c>
      <c r="K9" s="15" t="s">
        <v>396</v>
      </c>
      <c r="L9" s="15"/>
      <c r="M9" s="15"/>
      <c r="N9" s="15"/>
      <c r="O9" s="15"/>
      <c r="P9" s="15"/>
      <c r="Q9" s="15"/>
      <c r="R9" s="15"/>
      <c r="S9" s="15"/>
      <c r="T9" s="15">
        <v>1</v>
      </c>
      <c r="U9" s="514"/>
      <c r="V9" s="515"/>
      <c r="W9" s="517"/>
    </row>
    <row r="10" spans="1:84" ht="24">
      <c r="A10" s="226">
        <v>2362</v>
      </c>
      <c r="B10" s="168" t="s">
        <v>524</v>
      </c>
      <c r="C10" s="151" t="s">
        <v>525</v>
      </c>
      <c r="D10" s="542">
        <v>5</v>
      </c>
      <c r="E10" s="543" t="s">
        <v>402</v>
      </c>
      <c r="F10" s="509" t="s">
        <v>1133</v>
      </c>
      <c r="G10" s="510" t="s">
        <v>268</v>
      </c>
      <c r="H10" s="511" t="s">
        <v>402</v>
      </c>
      <c r="I10" s="511" t="s">
        <v>402</v>
      </c>
      <c r="J10" s="512">
        <v>0</v>
      </c>
      <c r="K10" s="510" t="s">
        <v>678</v>
      </c>
      <c r="L10" s="513">
        <v>27.92</v>
      </c>
      <c r="M10" s="514">
        <v>1</v>
      </c>
      <c r="N10" s="1">
        <v>1.0714359004449265</v>
      </c>
      <c r="O10" s="31" t="s">
        <v>1383</v>
      </c>
      <c r="P10" s="513" t="s">
        <v>402</v>
      </c>
      <c r="Q10" s="514"/>
      <c r="R10" s="1">
        <v>1.0714359004449265</v>
      </c>
      <c r="S10" s="31" t="s">
        <v>1384</v>
      </c>
      <c r="T10" s="513" t="s">
        <v>402</v>
      </c>
      <c r="U10" s="514">
        <v>1</v>
      </c>
      <c r="V10" s="1">
        <v>1.0714359004449265</v>
      </c>
      <c r="W10" s="31" t="s">
        <v>1383</v>
      </c>
    </row>
    <row r="11" spans="1:84" ht="21" customHeight="1">
      <c r="A11" s="473" t="s">
        <v>774</v>
      </c>
      <c r="B11" s="507"/>
      <c r="C11" s="508"/>
      <c r="D11" s="542">
        <v>5</v>
      </c>
      <c r="E11" s="543" t="s">
        <v>402</v>
      </c>
      <c r="F11" s="509" t="s">
        <v>1133</v>
      </c>
      <c r="G11" s="510" t="s">
        <v>789</v>
      </c>
      <c r="H11" s="511" t="s">
        <v>402</v>
      </c>
      <c r="I11" s="511" t="s">
        <v>402</v>
      </c>
      <c r="J11" s="512">
        <v>0</v>
      </c>
      <c r="K11" s="510" t="s">
        <v>678</v>
      </c>
      <c r="L11" s="513" t="s">
        <v>402</v>
      </c>
      <c r="M11" s="514"/>
      <c r="N11" s="1">
        <v>1.0714359004449265</v>
      </c>
      <c r="O11" s="31" t="s">
        <v>1384</v>
      </c>
      <c r="P11" s="513">
        <v>30.218</v>
      </c>
      <c r="Q11" s="514">
        <v>1</v>
      </c>
      <c r="R11" s="1">
        <v>1.0714359004449265</v>
      </c>
      <c r="S11" s="31" t="s">
        <v>1385</v>
      </c>
      <c r="T11" s="513" t="s">
        <v>402</v>
      </c>
      <c r="U11" s="514">
        <v>1</v>
      </c>
      <c r="V11" s="1">
        <v>1.0714359004449265</v>
      </c>
      <c r="W11" s="31" t="s">
        <v>1385</v>
      </c>
    </row>
    <row r="12" spans="1:84" ht="24">
      <c r="A12" s="120">
        <v>32023</v>
      </c>
      <c r="B12" s="507"/>
      <c r="C12" s="508"/>
      <c r="D12" s="542">
        <v>5</v>
      </c>
      <c r="E12" s="543" t="s">
        <v>402</v>
      </c>
      <c r="F12" s="509" t="s">
        <v>1133</v>
      </c>
      <c r="G12" s="510" t="s">
        <v>465</v>
      </c>
      <c r="H12" s="511" t="s">
        <v>402</v>
      </c>
      <c r="I12" s="511" t="s">
        <v>402</v>
      </c>
      <c r="J12" s="512">
        <v>0</v>
      </c>
      <c r="K12" s="510" t="s">
        <v>678</v>
      </c>
      <c r="L12" s="513" t="s">
        <v>402</v>
      </c>
      <c r="M12" s="514"/>
      <c r="N12" s="1">
        <v>1.0714359004449265</v>
      </c>
      <c r="O12" s="31" t="s">
        <v>1384</v>
      </c>
      <c r="P12" s="513" t="s">
        <v>402</v>
      </c>
      <c r="Q12" s="514"/>
      <c r="R12" s="1">
        <v>1.0714359004449265</v>
      </c>
      <c r="S12" s="31" t="s">
        <v>1384</v>
      </c>
      <c r="T12" s="513">
        <v>29.541</v>
      </c>
      <c r="U12" s="514">
        <v>1</v>
      </c>
      <c r="V12" s="1">
        <v>1.0714359004449265</v>
      </c>
      <c r="W12" s="31" t="s">
        <v>1386</v>
      </c>
    </row>
    <row r="13" spans="1:84" ht="20.25" customHeight="1">
      <c r="A13" s="2">
        <v>4009</v>
      </c>
      <c r="B13" s="168"/>
      <c r="C13" s="151" t="s">
        <v>525</v>
      </c>
      <c r="D13" s="542">
        <v>5</v>
      </c>
      <c r="E13" s="543" t="s">
        <v>402</v>
      </c>
      <c r="F13" s="144" t="s">
        <v>1387</v>
      </c>
      <c r="G13" s="125" t="s">
        <v>521</v>
      </c>
      <c r="H13" s="154" t="s">
        <v>402</v>
      </c>
      <c r="I13" s="123" t="s">
        <v>402</v>
      </c>
      <c r="J13" s="124">
        <v>0</v>
      </c>
      <c r="K13" s="125" t="s">
        <v>677</v>
      </c>
      <c r="L13" s="513">
        <v>5.4998129999999996</v>
      </c>
      <c r="M13" s="514">
        <v>1</v>
      </c>
      <c r="N13" s="1">
        <v>1.0714359004449265</v>
      </c>
      <c r="O13" s="31" t="s">
        <v>1383</v>
      </c>
      <c r="P13" s="513" t="s">
        <v>402</v>
      </c>
      <c r="Q13" s="514"/>
      <c r="R13" s="1">
        <v>1.0714359004449265</v>
      </c>
      <c r="S13" s="31" t="s">
        <v>1384</v>
      </c>
      <c r="T13" s="513">
        <v>11.552837999999999</v>
      </c>
      <c r="U13" s="29">
        <v>1</v>
      </c>
      <c r="V13" s="1">
        <v>1.0714359004449265</v>
      </c>
      <c r="W13" s="31" t="s">
        <v>1388</v>
      </c>
    </row>
    <row r="14" spans="1:84">
      <c r="A14" s="122">
        <v>4849</v>
      </c>
      <c r="B14" s="507"/>
      <c r="C14" s="508"/>
      <c r="D14" s="542">
        <v>5</v>
      </c>
      <c r="E14" s="543" t="s">
        <v>402</v>
      </c>
      <c r="F14" s="509" t="s">
        <v>1303</v>
      </c>
      <c r="G14" s="510" t="s">
        <v>51</v>
      </c>
      <c r="H14" s="511" t="s">
        <v>402</v>
      </c>
      <c r="I14" s="511" t="s">
        <v>402</v>
      </c>
      <c r="J14" s="512">
        <v>1</v>
      </c>
      <c r="K14" s="510" t="s">
        <v>522</v>
      </c>
      <c r="L14" s="513">
        <v>3.9999999999999998E-6</v>
      </c>
      <c r="M14" s="514">
        <v>1</v>
      </c>
      <c r="N14" s="1">
        <v>3.0404844941525084</v>
      </c>
      <c r="O14" s="31" t="s">
        <v>1389</v>
      </c>
      <c r="P14" s="513">
        <v>3.9999999999999998E-6</v>
      </c>
      <c r="Q14" s="514">
        <v>1</v>
      </c>
      <c r="R14" s="1">
        <v>3.0404844941525084</v>
      </c>
      <c r="S14" s="31" t="s">
        <v>1389</v>
      </c>
      <c r="T14" s="513">
        <v>3.9999999999999998E-6</v>
      </c>
      <c r="U14" s="514">
        <v>1</v>
      </c>
      <c r="V14" s="1">
        <v>3.0404844941525084</v>
      </c>
      <c r="W14" s="31" t="s">
        <v>1389</v>
      </c>
    </row>
    <row r="15" spans="1:84" ht="24">
      <c r="A15" s="36">
        <v>679</v>
      </c>
      <c r="B15" s="507"/>
      <c r="C15" s="508"/>
      <c r="D15" s="542">
        <v>5</v>
      </c>
      <c r="E15" s="543" t="s">
        <v>402</v>
      </c>
      <c r="F15" s="509" t="s">
        <v>111</v>
      </c>
      <c r="G15" s="510" t="s">
        <v>521</v>
      </c>
      <c r="H15" s="511" t="s">
        <v>402</v>
      </c>
      <c r="I15" s="511" t="s">
        <v>402</v>
      </c>
      <c r="J15" s="512">
        <v>0</v>
      </c>
      <c r="K15" s="510" t="s">
        <v>395</v>
      </c>
      <c r="L15" s="513">
        <v>114.76</v>
      </c>
      <c r="M15" s="514">
        <v>1</v>
      </c>
      <c r="N15" s="1">
        <v>1.0714359004449265</v>
      </c>
      <c r="O15" s="31" t="s">
        <v>1383</v>
      </c>
      <c r="P15" s="513">
        <v>211.24</v>
      </c>
      <c r="Q15" s="514">
        <v>1</v>
      </c>
      <c r="R15" s="1">
        <v>1.0714359004449265</v>
      </c>
      <c r="S15" s="31" t="s">
        <v>1385</v>
      </c>
      <c r="T15" s="513">
        <v>131.69</v>
      </c>
      <c r="U15" s="514">
        <v>1</v>
      </c>
      <c r="V15" s="1">
        <v>1.0714359004449265</v>
      </c>
      <c r="W15" s="31" t="s">
        <v>1388</v>
      </c>
    </row>
    <row r="16" spans="1:84" ht="24">
      <c r="A16" s="226">
        <v>2932</v>
      </c>
      <c r="B16" s="507"/>
      <c r="C16" s="508"/>
      <c r="D16" s="542">
        <v>5</v>
      </c>
      <c r="E16" s="543" t="s">
        <v>402</v>
      </c>
      <c r="F16" s="509" t="s">
        <v>1306</v>
      </c>
      <c r="G16" s="510" t="s">
        <v>521</v>
      </c>
      <c r="H16" s="511" t="s">
        <v>402</v>
      </c>
      <c r="I16" s="511" t="s">
        <v>402</v>
      </c>
      <c r="J16" s="512">
        <v>0</v>
      </c>
      <c r="K16" s="510" t="s">
        <v>395</v>
      </c>
      <c r="L16" s="513">
        <v>8.3409999999999993</v>
      </c>
      <c r="M16" s="514">
        <v>1</v>
      </c>
      <c r="N16" s="1">
        <v>1.0714359004449265</v>
      </c>
      <c r="O16" s="31" t="s">
        <v>1383</v>
      </c>
      <c r="P16" s="513">
        <v>8.3803999999999998</v>
      </c>
      <c r="Q16" s="514">
        <v>1</v>
      </c>
      <c r="R16" s="1">
        <v>1.0714359004449265</v>
      </c>
      <c r="S16" s="31" t="s">
        <v>1385</v>
      </c>
      <c r="T16" s="513">
        <v>8.4672000000000001</v>
      </c>
      <c r="U16" s="514">
        <v>1</v>
      </c>
      <c r="V16" s="1">
        <v>1.0714359004449265</v>
      </c>
      <c r="W16" s="31" t="s">
        <v>1388</v>
      </c>
    </row>
    <row r="17" spans="1:84" ht="24">
      <c r="A17" s="156">
        <v>992</v>
      </c>
      <c r="B17" s="507"/>
      <c r="C17" s="508"/>
      <c r="D17" s="542">
        <v>5</v>
      </c>
      <c r="E17" s="543" t="s">
        <v>402</v>
      </c>
      <c r="F17" s="509" t="s">
        <v>1085</v>
      </c>
      <c r="G17" s="510" t="s">
        <v>521</v>
      </c>
      <c r="H17" s="511" t="s">
        <v>402</v>
      </c>
      <c r="I17" s="511" t="s">
        <v>402</v>
      </c>
      <c r="J17" s="512">
        <v>0</v>
      </c>
      <c r="K17" s="510" t="s">
        <v>395</v>
      </c>
      <c r="L17" s="513">
        <v>1.047E-2</v>
      </c>
      <c r="M17" s="514">
        <v>1</v>
      </c>
      <c r="N17" s="1">
        <v>1.0714359004449265</v>
      </c>
      <c r="O17" s="31" t="s">
        <v>1383</v>
      </c>
      <c r="P17" s="513">
        <v>1.1578E-2</v>
      </c>
      <c r="Q17" s="514">
        <v>1</v>
      </c>
      <c r="R17" s="1">
        <v>1.0714359004449265</v>
      </c>
      <c r="S17" s="31" t="s">
        <v>1385</v>
      </c>
      <c r="T17" s="513">
        <v>1.0995E-2</v>
      </c>
      <c r="U17" s="514">
        <v>1</v>
      </c>
      <c r="V17" s="1">
        <v>1.0714359004449265</v>
      </c>
      <c r="W17" s="31" t="s">
        <v>1388</v>
      </c>
      <c r="Y17" s="516"/>
      <c r="Z17" s="516"/>
      <c r="AA17" s="516"/>
      <c r="AB17" s="516"/>
      <c r="AC17" s="516"/>
      <c r="AD17" s="516"/>
      <c r="AE17" s="516"/>
      <c r="AF17" s="516"/>
      <c r="AG17" s="516"/>
      <c r="AH17" s="516"/>
      <c r="AI17" s="516"/>
      <c r="AJ17" s="516"/>
      <c r="AK17" s="516"/>
      <c r="AL17" s="516"/>
      <c r="AM17" s="516"/>
      <c r="AN17" s="516"/>
      <c r="AO17" s="516"/>
      <c r="AP17" s="516"/>
      <c r="AQ17" s="516"/>
      <c r="AR17" s="516"/>
      <c r="AS17" s="516"/>
      <c r="AT17" s="516"/>
      <c r="AU17" s="516"/>
      <c r="AV17" s="516"/>
      <c r="AW17" s="516"/>
      <c r="AX17" s="516"/>
      <c r="AY17" s="516"/>
      <c r="AZ17" s="516"/>
      <c r="BA17" s="516"/>
      <c r="BB17" s="516"/>
      <c r="BC17" s="516"/>
      <c r="BD17" s="516"/>
      <c r="BE17" s="516"/>
      <c r="BF17" s="516"/>
      <c r="BG17" s="516"/>
      <c r="BH17" s="516"/>
      <c r="BI17" s="516"/>
      <c r="BJ17" s="516"/>
      <c r="BK17" s="516"/>
      <c r="BL17" s="516"/>
      <c r="BM17" s="516"/>
      <c r="BN17" s="516"/>
      <c r="BO17" s="516"/>
      <c r="BP17" s="516"/>
      <c r="BQ17" s="516"/>
      <c r="BR17" s="516"/>
      <c r="BS17" s="516"/>
      <c r="BT17" s="516"/>
      <c r="BU17" s="516"/>
      <c r="BV17" s="516"/>
      <c r="BW17" s="516"/>
      <c r="BX17" s="516"/>
      <c r="BY17" s="516"/>
      <c r="BZ17" s="516"/>
      <c r="CA17" s="516"/>
      <c r="CB17" s="516"/>
      <c r="CC17" s="516"/>
      <c r="CD17" s="516"/>
      <c r="CE17" s="516"/>
      <c r="CF17" s="516"/>
    </row>
    <row r="18" spans="1:84" ht="24">
      <c r="A18" s="226">
        <v>3819</v>
      </c>
      <c r="B18" s="507"/>
      <c r="C18" s="508"/>
      <c r="D18" s="542">
        <v>5</v>
      </c>
      <c r="E18" s="543" t="s">
        <v>402</v>
      </c>
      <c r="F18" s="509" t="s">
        <v>1095</v>
      </c>
      <c r="G18" s="510" t="s">
        <v>521</v>
      </c>
      <c r="H18" s="511" t="s">
        <v>402</v>
      </c>
      <c r="I18" s="511" t="s">
        <v>402</v>
      </c>
      <c r="J18" s="512">
        <v>0</v>
      </c>
      <c r="K18" s="510" t="s">
        <v>395</v>
      </c>
      <c r="L18" s="513">
        <v>3.0699999999999998E-3</v>
      </c>
      <c r="M18" s="514">
        <v>1</v>
      </c>
      <c r="N18" s="1">
        <v>1.0834154250740264</v>
      </c>
      <c r="O18" s="31" t="s">
        <v>1390</v>
      </c>
      <c r="P18" s="513">
        <v>3.0699999999999998E-3</v>
      </c>
      <c r="Q18" s="514">
        <v>1</v>
      </c>
      <c r="R18" s="1">
        <v>1.0834154250740264</v>
      </c>
      <c r="S18" s="31" t="s">
        <v>1390</v>
      </c>
      <c r="T18" s="513">
        <v>3.0699999999999998E-3</v>
      </c>
      <c r="U18" s="514">
        <v>1</v>
      </c>
      <c r="V18" s="1">
        <v>1.0834154250740264</v>
      </c>
      <c r="W18" s="31" t="s">
        <v>1390</v>
      </c>
      <c r="Y18" s="516"/>
      <c r="Z18" s="516"/>
      <c r="AA18" s="516"/>
      <c r="AB18" s="516"/>
      <c r="AC18" s="516"/>
      <c r="AD18" s="516"/>
      <c r="AE18" s="516"/>
      <c r="AF18" s="516"/>
      <c r="AG18" s="516"/>
      <c r="AH18" s="516"/>
      <c r="AI18" s="516"/>
      <c r="AJ18" s="516"/>
      <c r="AK18" s="516"/>
      <c r="AL18" s="516"/>
      <c r="AM18" s="516"/>
      <c r="AN18" s="516"/>
      <c r="AO18" s="516"/>
      <c r="AP18" s="516"/>
      <c r="AQ18" s="516"/>
      <c r="AR18" s="516"/>
      <c r="AS18" s="516"/>
      <c r="AT18" s="516"/>
      <c r="AU18" s="516"/>
      <c r="AV18" s="516"/>
      <c r="AW18" s="516"/>
      <c r="AX18" s="516"/>
      <c r="AY18" s="516"/>
      <c r="AZ18" s="516"/>
      <c r="BA18" s="516"/>
      <c r="BB18" s="516"/>
      <c r="BC18" s="516"/>
      <c r="BD18" s="516"/>
      <c r="BE18" s="516"/>
      <c r="BF18" s="516"/>
      <c r="BG18" s="516"/>
      <c r="BH18" s="516"/>
      <c r="BI18" s="516"/>
      <c r="BJ18" s="516"/>
      <c r="BK18" s="516"/>
      <c r="BL18" s="516"/>
      <c r="BM18" s="516"/>
      <c r="BN18" s="516"/>
      <c r="BO18" s="516"/>
      <c r="BP18" s="516"/>
      <c r="BQ18" s="516"/>
      <c r="BR18" s="516"/>
      <c r="BS18" s="516"/>
      <c r="BT18" s="516"/>
      <c r="BU18" s="516"/>
      <c r="BV18" s="516"/>
      <c r="BW18" s="516"/>
      <c r="BX18" s="516"/>
      <c r="BY18" s="516"/>
      <c r="BZ18" s="516"/>
      <c r="CA18" s="516"/>
      <c r="CB18" s="516"/>
      <c r="CC18" s="516"/>
      <c r="CD18" s="516"/>
      <c r="CE18" s="516"/>
      <c r="CF18" s="516"/>
    </row>
    <row r="19" spans="1:84" ht="24">
      <c r="A19" s="2">
        <v>2929</v>
      </c>
      <c r="B19" s="507"/>
      <c r="C19" s="508"/>
      <c r="D19" s="542">
        <v>5</v>
      </c>
      <c r="E19" s="543" t="s">
        <v>402</v>
      </c>
      <c r="F19" s="509" t="s">
        <v>1086</v>
      </c>
      <c r="G19" s="510" t="s">
        <v>521</v>
      </c>
      <c r="H19" s="511" t="s">
        <v>402</v>
      </c>
      <c r="I19" s="511" t="s">
        <v>402</v>
      </c>
      <c r="J19" s="512">
        <v>0</v>
      </c>
      <c r="K19" s="510" t="s">
        <v>395</v>
      </c>
      <c r="L19" s="513">
        <v>8.3409999999999993</v>
      </c>
      <c r="M19" s="514">
        <v>1</v>
      </c>
      <c r="N19" s="1">
        <v>1.0714359004449265</v>
      </c>
      <c r="O19" s="31" t="s">
        <v>1383</v>
      </c>
      <c r="P19" s="513">
        <v>8.3803999999999998</v>
      </c>
      <c r="Q19" s="514">
        <v>1</v>
      </c>
      <c r="R19" s="1">
        <v>1.0714359004449265</v>
      </c>
      <c r="S19" s="31" t="s">
        <v>1385</v>
      </c>
      <c r="T19" s="513">
        <v>8.4672000000000001</v>
      </c>
      <c r="U19" s="514">
        <v>1</v>
      </c>
      <c r="V19" s="1">
        <v>1.0714359004449265</v>
      </c>
      <c r="W19" s="31" t="s">
        <v>1388</v>
      </c>
      <c r="Y19" s="516"/>
      <c r="Z19" s="516"/>
      <c r="AA19" s="516"/>
      <c r="AB19" s="516"/>
      <c r="AC19" s="516"/>
      <c r="AD19" s="516"/>
      <c r="AE19" s="516"/>
      <c r="AF19" s="516"/>
      <c r="AG19" s="516"/>
      <c r="AH19" s="516"/>
      <c r="AI19" s="516"/>
      <c r="AJ19" s="516"/>
      <c r="AK19" s="516"/>
      <c r="AL19" s="516"/>
      <c r="AM19" s="516"/>
      <c r="AN19" s="516"/>
      <c r="AO19" s="516"/>
      <c r="AP19" s="516"/>
      <c r="AQ19" s="516"/>
      <c r="AR19" s="516"/>
      <c r="AS19" s="516"/>
      <c r="AT19" s="516"/>
      <c r="AU19" s="516"/>
      <c r="AV19" s="516"/>
      <c r="AW19" s="516"/>
      <c r="AX19" s="516"/>
      <c r="AY19" s="516"/>
      <c r="AZ19" s="516"/>
      <c r="BA19" s="516"/>
      <c r="BB19" s="516"/>
      <c r="BC19" s="516"/>
      <c r="BD19" s="516"/>
      <c r="BE19" s="516"/>
      <c r="BF19" s="516"/>
      <c r="BG19" s="516"/>
      <c r="BH19" s="516"/>
      <c r="BI19" s="516"/>
      <c r="BJ19" s="516"/>
      <c r="BK19" s="516"/>
      <c r="BL19" s="516"/>
      <c r="BM19" s="516"/>
      <c r="BN19" s="516"/>
      <c r="BO19" s="516"/>
      <c r="BP19" s="516"/>
      <c r="BQ19" s="516"/>
      <c r="BR19" s="516"/>
      <c r="BS19" s="516"/>
      <c r="BT19" s="516"/>
      <c r="BU19" s="516"/>
      <c r="BV19" s="516"/>
      <c r="BW19" s="516"/>
      <c r="BX19" s="516"/>
      <c r="BY19" s="516"/>
      <c r="BZ19" s="516"/>
      <c r="CA19" s="516"/>
      <c r="CB19" s="516"/>
      <c r="CC19" s="516"/>
      <c r="CD19" s="516"/>
      <c r="CE19" s="516"/>
      <c r="CF19" s="516"/>
    </row>
    <row r="20" spans="1:84" ht="24">
      <c r="A20" s="2">
        <v>1014</v>
      </c>
      <c r="B20" s="507"/>
      <c r="C20" s="508"/>
      <c r="D20" s="542">
        <v>5</v>
      </c>
      <c r="E20" s="543" t="s">
        <v>402</v>
      </c>
      <c r="F20" s="509" t="s">
        <v>1087</v>
      </c>
      <c r="G20" s="510" t="s">
        <v>521</v>
      </c>
      <c r="H20" s="511" t="s">
        <v>402</v>
      </c>
      <c r="I20" s="511" t="s">
        <v>402</v>
      </c>
      <c r="J20" s="512">
        <v>0</v>
      </c>
      <c r="K20" s="510" t="s">
        <v>395</v>
      </c>
      <c r="L20" s="513">
        <v>8.1611999999999991</v>
      </c>
      <c r="M20" s="514">
        <v>1</v>
      </c>
      <c r="N20" s="1">
        <v>1.0714359004449265</v>
      </c>
      <c r="O20" s="31" t="s">
        <v>1383</v>
      </c>
      <c r="P20" s="513">
        <v>8.1311</v>
      </c>
      <c r="Q20" s="514">
        <v>1</v>
      </c>
      <c r="R20" s="1">
        <v>1.0714359004449265</v>
      </c>
      <c r="S20" s="31" t="s">
        <v>1385</v>
      </c>
      <c r="T20" s="513">
        <v>8.2504000000000008</v>
      </c>
      <c r="U20" s="514">
        <v>1</v>
      </c>
      <c r="V20" s="1">
        <v>1.0714359004449265</v>
      </c>
      <c r="W20" s="31" t="s">
        <v>1388</v>
      </c>
      <c r="Y20" s="516"/>
      <c r="Z20" s="516"/>
      <c r="AA20" s="516"/>
      <c r="AB20" s="516"/>
      <c r="AC20" s="516"/>
      <c r="AD20" s="516"/>
      <c r="AE20" s="516"/>
      <c r="AF20" s="516"/>
      <c r="AG20" s="516"/>
      <c r="AH20" s="516"/>
      <c r="AI20" s="516"/>
      <c r="AJ20" s="516"/>
      <c r="AK20" s="516"/>
      <c r="AL20" s="516"/>
      <c r="AM20" s="516"/>
      <c r="AN20" s="516"/>
      <c r="AO20" s="516"/>
      <c r="AP20" s="516"/>
      <c r="AQ20" s="516"/>
      <c r="AR20" s="516"/>
      <c r="AS20" s="516"/>
      <c r="AT20" s="516"/>
      <c r="AU20" s="516"/>
      <c r="AV20" s="516"/>
      <c r="AW20" s="516"/>
      <c r="AX20" s="516"/>
      <c r="AY20" s="516"/>
      <c r="AZ20" s="516"/>
      <c r="BA20" s="516"/>
      <c r="BB20" s="516"/>
      <c r="BC20" s="516"/>
      <c r="BD20" s="516"/>
      <c r="BE20" s="516"/>
      <c r="BF20" s="516"/>
      <c r="BG20" s="516"/>
      <c r="BH20" s="516"/>
      <c r="BI20" s="516"/>
      <c r="BJ20" s="516"/>
      <c r="BK20" s="516"/>
      <c r="BL20" s="516"/>
      <c r="BM20" s="516"/>
      <c r="BN20" s="516"/>
      <c r="BO20" s="516"/>
      <c r="BP20" s="516"/>
      <c r="BQ20" s="516"/>
      <c r="BR20" s="516"/>
      <c r="BS20" s="516"/>
      <c r="BT20" s="516"/>
      <c r="BU20" s="516"/>
      <c r="BV20" s="516"/>
      <c r="BW20" s="516"/>
      <c r="BX20" s="516"/>
      <c r="BY20" s="516"/>
      <c r="BZ20" s="516"/>
      <c r="CA20" s="516"/>
      <c r="CB20" s="516"/>
      <c r="CC20" s="516"/>
      <c r="CD20" s="516"/>
      <c r="CE20" s="516"/>
      <c r="CF20" s="516"/>
    </row>
    <row r="21" spans="1:84" ht="36">
      <c r="A21" s="2">
        <v>3822</v>
      </c>
      <c r="B21" s="507"/>
      <c r="C21" s="508"/>
      <c r="D21" s="542">
        <v>5</v>
      </c>
      <c r="E21" s="543" t="s">
        <v>402</v>
      </c>
      <c r="F21" s="509" t="s">
        <v>1310</v>
      </c>
      <c r="G21" s="510" t="s">
        <v>521</v>
      </c>
      <c r="H21" s="511" t="s">
        <v>402</v>
      </c>
      <c r="I21" s="511" t="s">
        <v>402</v>
      </c>
      <c r="J21" s="512">
        <v>0</v>
      </c>
      <c r="K21" s="510" t="s">
        <v>395</v>
      </c>
      <c r="L21" s="513">
        <v>0.10775999999999999</v>
      </c>
      <c r="M21" s="514">
        <v>1</v>
      </c>
      <c r="N21" s="1">
        <v>1.1649902150316884</v>
      </c>
      <c r="O21" s="31" t="s">
        <v>1391</v>
      </c>
      <c r="P21" s="513">
        <v>0.10775999999999999</v>
      </c>
      <c r="Q21" s="514">
        <v>1</v>
      </c>
      <c r="R21" s="1">
        <v>1.1649902150316884</v>
      </c>
      <c r="S21" s="31" t="s">
        <v>1391</v>
      </c>
      <c r="T21" s="513">
        <v>0.10775999999999999</v>
      </c>
      <c r="U21" s="514">
        <v>1</v>
      </c>
      <c r="V21" s="1">
        <v>1.1649902150316884</v>
      </c>
      <c r="W21" s="31" t="s">
        <v>1391</v>
      </c>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6"/>
      <c r="AY21" s="516"/>
      <c r="AZ21" s="516"/>
      <c r="BA21" s="516"/>
      <c r="BB21" s="516"/>
      <c r="BC21" s="516"/>
      <c r="BD21" s="516"/>
      <c r="BE21" s="516"/>
      <c r="BF21" s="516"/>
      <c r="BG21" s="516"/>
      <c r="BH21" s="516"/>
      <c r="BI21" s="516"/>
      <c r="BJ21" s="516"/>
      <c r="BK21" s="516"/>
      <c r="BL21" s="516"/>
      <c r="BM21" s="516"/>
      <c r="BN21" s="516"/>
      <c r="BO21" s="516"/>
      <c r="BP21" s="516"/>
      <c r="BQ21" s="516"/>
      <c r="BR21" s="516"/>
      <c r="BS21" s="516"/>
      <c r="BT21" s="516"/>
      <c r="BU21" s="516"/>
      <c r="BV21" s="516"/>
      <c r="BW21" s="516"/>
      <c r="BX21" s="516"/>
      <c r="BY21" s="516"/>
      <c r="BZ21" s="516"/>
      <c r="CA21" s="516"/>
      <c r="CB21" s="516"/>
      <c r="CC21" s="516"/>
      <c r="CD21" s="516"/>
      <c r="CE21" s="516"/>
      <c r="CF21" s="516"/>
    </row>
    <row r="22" spans="1:84" ht="24">
      <c r="A22" s="2">
        <v>1212</v>
      </c>
      <c r="B22" s="507"/>
      <c r="C22" s="508"/>
      <c r="D22" s="542">
        <v>5</v>
      </c>
      <c r="E22" s="543" t="s">
        <v>402</v>
      </c>
      <c r="F22" s="509" t="s">
        <v>1092</v>
      </c>
      <c r="G22" s="510" t="s">
        <v>521</v>
      </c>
      <c r="H22" s="511" t="s">
        <v>402</v>
      </c>
      <c r="I22" s="511" t="s">
        <v>402</v>
      </c>
      <c r="J22" s="512">
        <v>0</v>
      </c>
      <c r="K22" s="510" t="s">
        <v>395</v>
      </c>
      <c r="L22" s="513">
        <v>0.47725000000000001</v>
      </c>
      <c r="M22" s="514">
        <v>1</v>
      </c>
      <c r="N22" s="1">
        <v>1.0714359004449265</v>
      </c>
      <c r="O22" s="31" t="s">
        <v>1383</v>
      </c>
      <c r="P22" s="513">
        <v>0.48565999999999998</v>
      </c>
      <c r="Q22" s="514">
        <v>1</v>
      </c>
      <c r="R22" s="1">
        <v>1.0714359004449265</v>
      </c>
      <c r="S22" s="31" t="s">
        <v>1385</v>
      </c>
      <c r="T22" s="513">
        <v>0.48594999999999999</v>
      </c>
      <c r="U22" s="514">
        <v>1</v>
      </c>
      <c r="V22" s="1">
        <v>1.0714359004449265</v>
      </c>
      <c r="W22" s="31" t="s">
        <v>1388</v>
      </c>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6"/>
      <c r="AY22" s="516"/>
      <c r="AZ22" s="516"/>
      <c r="BA22" s="516"/>
      <c r="BB22" s="516"/>
      <c r="BC22" s="516"/>
      <c r="BD22" s="516"/>
      <c r="BE22" s="516"/>
      <c r="BF22" s="516"/>
      <c r="BG22" s="516"/>
      <c r="BH22" s="516"/>
      <c r="BI22" s="516"/>
      <c r="BJ22" s="516"/>
      <c r="BK22" s="516"/>
      <c r="BL22" s="516"/>
      <c r="BM22" s="516"/>
      <c r="BN22" s="516"/>
      <c r="BO22" s="516"/>
      <c r="BP22" s="516"/>
      <c r="BQ22" s="516"/>
      <c r="BR22" s="516"/>
      <c r="BS22" s="516"/>
      <c r="BT22" s="516"/>
      <c r="BU22" s="516"/>
      <c r="BV22" s="516"/>
      <c r="BW22" s="516"/>
      <c r="BX22" s="516"/>
      <c r="BY22" s="516"/>
      <c r="BZ22" s="516"/>
      <c r="CA22" s="516"/>
      <c r="CB22" s="516"/>
      <c r="CC22" s="516"/>
      <c r="CD22" s="516"/>
      <c r="CE22" s="516"/>
      <c r="CF22" s="516"/>
    </row>
    <row r="23" spans="1:84" ht="24">
      <c r="A23" s="226">
        <v>32119</v>
      </c>
      <c r="B23" s="507"/>
      <c r="C23" s="508"/>
      <c r="D23" s="542">
        <v>5</v>
      </c>
      <c r="E23" s="543" t="s">
        <v>402</v>
      </c>
      <c r="F23" s="509" t="s">
        <v>1088</v>
      </c>
      <c r="G23" s="510" t="s">
        <v>465</v>
      </c>
      <c r="H23" s="511" t="s">
        <v>402</v>
      </c>
      <c r="I23" s="511" t="s">
        <v>402</v>
      </c>
      <c r="J23" s="512">
        <v>0</v>
      </c>
      <c r="K23" s="510" t="s">
        <v>395</v>
      </c>
      <c r="L23" s="513">
        <v>2.3275000000000001E-2</v>
      </c>
      <c r="M23" s="514">
        <v>1</v>
      </c>
      <c r="N23" s="1">
        <v>1.0714359004449265</v>
      </c>
      <c r="O23" s="31" t="s">
        <v>1383</v>
      </c>
      <c r="P23" s="513">
        <v>2.3383999999999999E-2</v>
      </c>
      <c r="Q23" s="514">
        <v>1</v>
      </c>
      <c r="R23" s="1">
        <v>1.0714359004449265</v>
      </c>
      <c r="S23" s="31" t="s">
        <v>1385</v>
      </c>
      <c r="T23" s="513">
        <v>2.5842E-2</v>
      </c>
      <c r="U23" s="514">
        <v>1</v>
      </c>
      <c r="V23" s="1">
        <v>1.0714359004449265</v>
      </c>
      <c r="W23" s="31" t="s">
        <v>1388</v>
      </c>
      <c r="Y23" s="516"/>
      <c r="Z23" s="516"/>
      <c r="AA23" s="516"/>
      <c r="AB23" s="516"/>
      <c r="AC23" s="516"/>
      <c r="AD23" s="516"/>
      <c r="AE23" s="516"/>
      <c r="AF23" s="516"/>
      <c r="AG23" s="516"/>
      <c r="AH23" s="516"/>
      <c r="AI23" s="516"/>
      <c r="AJ23" s="516"/>
      <c r="AK23" s="516"/>
      <c r="AL23" s="516"/>
      <c r="AM23" s="516"/>
      <c r="AN23" s="516"/>
      <c r="AO23" s="516"/>
      <c r="AP23" s="516"/>
      <c r="AQ23" s="516"/>
      <c r="AR23" s="516"/>
      <c r="AS23" s="516"/>
      <c r="AT23" s="516"/>
      <c r="AU23" s="516"/>
      <c r="AV23" s="516"/>
      <c r="AW23" s="516"/>
      <c r="AX23" s="516"/>
      <c r="AY23" s="516"/>
      <c r="AZ23" s="516"/>
      <c r="BA23" s="516"/>
      <c r="BB23" s="516"/>
      <c r="BC23" s="516"/>
      <c r="BD23" s="516"/>
      <c r="BE23" s="516"/>
      <c r="BF23" s="516"/>
      <c r="BG23" s="516"/>
      <c r="BH23" s="516"/>
      <c r="BI23" s="516"/>
      <c r="BJ23" s="516"/>
      <c r="BK23" s="516"/>
      <c r="BL23" s="516"/>
      <c r="BM23" s="516"/>
      <c r="BN23" s="516"/>
      <c r="BO23" s="516"/>
      <c r="BP23" s="516"/>
      <c r="BQ23" s="516"/>
      <c r="BR23" s="516"/>
      <c r="BS23" s="516"/>
      <c r="BT23" s="516"/>
      <c r="BU23" s="516"/>
      <c r="BV23" s="516"/>
      <c r="BW23" s="516"/>
      <c r="BX23" s="516"/>
      <c r="BY23" s="516"/>
      <c r="BZ23" s="516"/>
      <c r="CA23" s="516"/>
      <c r="CB23" s="516"/>
      <c r="CC23" s="516"/>
      <c r="CD23" s="516"/>
      <c r="CE23" s="516"/>
      <c r="CF23" s="516"/>
    </row>
    <row r="24" spans="1:84" ht="36">
      <c r="A24" s="120">
        <v>32117</v>
      </c>
      <c r="B24" s="507"/>
      <c r="C24" s="508"/>
      <c r="D24" s="542">
        <v>5</v>
      </c>
      <c r="E24" s="543" t="s">
        <v>402</v>
      </c>
      <c r="F24" s="509" t="s">
        <v>1089</v>
      </c>
      <c r="G24" s="510" t="s">
        <v>465</v>
      </c>
      <c r="H24" s="511" t="s">
        <v>402</v>
      </c>
      <c r="I24" s="511" t="s">
        <v>402</v>
      </c>
      <c r="J24" s="512">
        <v>0</v>
      </c>
      <c r="K24" s="510" t="s">
        <v>395</v>
      </c>
      <c r="L24" s="513">
        <v>3.516E-3</v>
      </c>
      <c r="M24" s="514">
        <v>1</v>
      </c>
      <c r="N24" s="1">
        <v>1.1649902150316884</v>
      </c>
      <c r="O24" s="31" t="s">
        <v>1392</v>
      </c>
      <c r="P24" s="513">
        <v>3.516E-3</v>
      </c>
      <c r="Q24" s="514">
        <v>1</v>
      </c>
      <c r="R24" s="1">
        <v>1.1649902150316884</v>
      </c>
      <c r="S24" s="31" t="s">
        <v>1392</v>
      </c>
      <c r="T24" s="513">
        <v>3.516E-3</v>
      </c>
      <c r="U24" s="514">
        <v>1</v>
      </c>
      <c r="V24" s="1">
        <v>1.1649902150316884</v>
      </c>
      <c r="W24" s="31" t="s">
        <v>1392</v>
      </c>
      <c r="Y24" s="516"/>
      <c r="Z24" s="516"/>
      <c r="AA24" s="516"/>
      <c r="AB24" s="516"/>
      <c r="AC24" s="516"/>
      <c r="AD24" s="516"/>
      <c r="AE24" s="516"/>
      <c r="AF24" s="516"/>
      <c r="AG24" s="516"/>
      <c r="AH24" s="516"/>
      <c r="AI24" s="516"/>
      <c r="AJ24" s="516"/>
      <c r="AK24" s="516"/>
      <c r="AL24" s="516"/>
      <c r="AM24" s="516"/>
      <c r="AN24" s="516"/>
      <c r="AO24" s="516"/>
      <c r="AP24" s="516"/>
      <c r="AQ24" s="516"/>
      <c r="AR24" s="516"/>
      <c r="AS24" s="516"/>
      <c r="AT24" s="516"/>
      <c r="AU24" s="516"/>
      <c r="AV24" s="516"/>
      <c r="AW24" s="516"/>
      <c r="AX24" s="516"/>
      <c r="AY24" s="516"/>
      <c r="AZ24" s="516"/>
      <c r="BA24" s="516"/>
      <c r="BB24" s="516"/>
      <c r="BC24" s="516"/>
      <c r="BD24" s="516"/>
      <c r="BE24" s="516"/>
      <c r="BF24" s="516"/>
      <c r="BG24" s="516"/>
      <c r="BH24" s="516"/>
      <c r="BI24" s="516"/>
      <c r="BJ24" s="516"/>
      <c r="BK24" s="516"/>
      <c r="BL24" s="516"/>
      <c r="BM24" s="516"/>
      <c r="BN24" s="516"/>
      <c r="BO24" s="516"/>
      <c r="BP24" s="516"/>
      <c r="BQ24" s="516"/>
      <c r="BR24" s="516"/>
      <c r="BS24" s="516"/>
      <c r="BT24" s="516"/>
      <c r="BU24" s="516"/>
      <c r="BV24" s="516"/>
      <c r="BW24" s="516"/>
      <c r="BX24" s="516"/>
      <c r="BY24" s="516"/>
      <c r="BZ24" s="516"/>
      <c r="CA24" s="516"/>
      <c r="CB24" s="516"/>
      <c r="CC24" s="516"/>
      <c r="CD24" s="516"/>
      <c r="CE24" s="516"/>
      <c r="CF24" s="516"/>
    </row>
    <row r="25" spans="1:84" ht="24">
      <c r="A25" s="120">
        <v>1239</v>
      </c>
      <c r="B25" s="507"/>
      <c r="C25" s="508"/>
      <c r="D25" s="542">
        <v>5</v>
      </c>
      <c r="E25" s="543" t="s">
        <v>402</v>
      </c>
      <c r="F25" s="509" t="s">
        <v>1215</v>
      </c>
      <c r="G25" s="510" t="s">
        <v>521</v>
      </c>
      <c r="H25" s="511" t="s">
        <v>402</v>
      </c>
      <c r="I25" s="511" t="s">
        <v>402</v>
      </c>
      <c r="J25" s="512">
        <v>0</v>
      </c>
      <c r="K25" s="510" t="s">
        <v>395</v>
      </c>
      <c r="L25" s="513">
        <v>5.7200000000000001E-2</v>
      </c>
      <c r="M25" s="514">
        <v>1</v>
      </c>
      <c r="N25" s="1">
        <v>1.1649902150316884</v>
      </c>
      <c r="O25" s="31" t="s">
        <v>1393</v>
      </c>
      <c r="P25" s="513">
        <v>5.7200000000000001E-2</v>
      </c>
      <c r="Q25" s="514">
        <v>1</v>
      </c>
      <c r="R25" s="1">
        <v>1.1649902150316884</v>
      </c>
      <c r="S25" s="31" t="s">
        <v>1393</v>
      </c>
      <c r="T25" s="513">
        <v>5.7200000000000001E-2</v>
      </c>
      <c r="U25" s="514">
        <v>1</v>
      </c>
      <c r="V25" s="1">
        <v>1.1649902150316884</v>
      </c>
      <c r="W25" s="31" t="s">
        <v>1393</v>
      </c>
      <c r="Y25" s="516"/>
      <c r="Z25" s="516"/>
      <c r="AA25" s="516"/>
      <c r="AB25" s="516"/>
      <c r="AC25" s="516"/>
      <c r="AD25" s="516"/>
      <c r="AE25" s="516"/>
      <c r="AF25" s="516"/>
      <c r="AG25" s="516"/>
      <c r="AH25" s="516"/>
      <c r="AI25" s="516"/>
      <c r="AJ25" s="516"/>
      <c r="AK25" s="516"/>
      <c r="AL25" s="516"/>
      <c r="AM25" s="516"/>
      <c r="AN25" s="516"/>
      <c r="AO25" s="516"/>
      <c r="AP25" s="516"/>
      <c r="AQ25" s="516"/>
      <c r="AR25" s="516"/>
      <c r="AS25" s="516"/>
      <c r="AT25" s="516"/>
      <c r="AU25" s="516"/>
      <c r="AV25" s="516"/>
      <c r="AW25" s="516"/>
      <c r="AX25" s="516"/>
      <c r="AY25" s="516"/>
      <c r="AZ25" s="516"/>
      <c r="BA25" s="516"/>
      <c r="BB25" s="516"/>
      <c r="BC25" s="516"/>
      <c r="BD25" s="516"/>
      <c r="BE25" s="516"/>
      <c r="BF25" s="516"/>
      <c r="BG25" s="516"/>
      <c r="BH25" s="516"/>
      <c r="BI25" s="516"/>
      <c r="BJ25" s="516"/>
      <c r="BK25" s="516"/>
      <c r="BL25" s="516"/>
      <c r="BM25" s="516"/>
      <c r="BN25" s="516"/>
      <c r="BO25" s="516"/>
      <c r="BP25" s="516"/>
      <c r="BQ25" s="516"/>
      <c r="BR25" s="516"/>
      <c r="BS25" s="516"/>
      <c r="BT25" s="516"/>
      <c r="BU25" s="516"/>
      <c r="BV25" s="516"/>
      <c r="BW25" s="516"/>
      <c r="BX25" s="516"/>
      <c r="BY25" s="516"/>
      <c r="BZ25" s="516"/>
      <c r="CA25" s="516"/>
      <c r="CB25" s="516"/>
      <c r="CC25" s="516"/>
      <c r="CD25" s="516"/>
      <c r="CE25" s="516"/>
      <c r="CF25" s="516"/>
    </row>
    <row r="26" spans="1:84" ht="24">
      <c r="A26" s="120">
        <v>1289</v>
      </c>
      <c r="B26" s="507"/>
      <c r="C26" s="508"/>
      <c r="D26" s="542">
        <v>5</v>
      </c>
      <c r="E26" s="543" t="s">
        <v>402</v>
      </c>
      <c r="F26" s="509" t="s">
        <v>1285</v>
      </c>
      <c r="G26" s="510" t="s">
        <v>521</v>
      </c>
      <c r="H26" s="511" t="s">
        <v>402</v>
      </c>
      <c r="I26" s="511" t="s">
        <v>402</v>
      </c>
      <c r="J26" s="512">
        <v>0</v>
      </c>
      <c r="K26" s="510" t="s">
        <v>395</v>
      </c>
      <c r="L26" s="513">
        <v>3.9300000000000002E-2</v>
      </c>
      <c r="M26" s="514">
        <v>1</v>
      </c>
      <c r="N26" s="1">
        <v>1.1649902150316884</v>
      </c>
      <c r="O26" s="31" t="s">
        <v>1393</v>
      </c>
      <c r="P26" s="513">
        <v>3.9300000000000002E-2</v>
      </c>
      <c r="Q26" s="514">
        <v>1</v>
      </c>
      <c r="R26" s="1">
        <v>1.1649902150316884</v>
      </c>
      <c r="S26" s="31" t="s">
        <v>1393</v>
      </c>
      <c r="T26" s="513">
        <v>3.9300000000000002E-2</v>
      </c>
      <c r="U26" s="514">
        <v>1</v>
      </c>
      <c r="V26" s="1">
        <v>1.1649902150316884</v>
      </c>
      <c r="W26" s="31" t="s">
        <v>1393</v>
      </c>
      <c r="Y26" s="516"/>
      <c r="Z26" s="516"/>
      <c r="AA26" s="516"/>
      <c r="AB26" s="516"/>
      <c r="AC26" s="516"/>
      <c r="AD26" s="516"/>
      <c r="AE26" s="516"/>
      <c r="AF26" s="516"/>
      <c r="AG26" s="516"/>
      <c r="AH26" s="516"/>
      <c r="AI26" s="516"/>
      <c r="AJ26" s="516"/>
      <c r="AK26" s="516"/>
      <c r="AL26" s="516"/>
      <c r="AM26" s="516"/>
      <c r="AN26" s="516"/>
      <c r="AO26" s="516"/>
      <c r="AP26" s="516"/>
      <c r="AQ26" s="516"/>
      <c r="AR26" s="516"/>
      <c r="AS26" s="516"/>
      <c r="AT26" s="516"/>
      <c r="AU26" s="516"/>
      <c r="AV26" s="516"/>
      <c r="AW26" s="516"/>
      <c r="AX26" s="516"/>
      <c r="AY26" s="516"/>
      <c r="AZ26" s="516"/>
      <c r="BA26" s="516"/>
      <c r="BB26" s="516"/>
      <c r="BC26" s="516"/>
      <c r="BD26" s="516"/>
      <c r="BE26" s="516"/>
      <c r="BF26" s="516"/>
      <c r="BG26" s="516"/>
      <c r="BH26" s="516"/>
      <c r="BI26" s="516"/>
      <c r="BJ26" s="516"/>
      <c r="BK26" s="516"/>
      <c r="BL26" s="516"/>
      <c r="BM26" s="516"/>
      <c r="BN26" s="516"/>
      <c r="BO26" s="516"/>
      <c r="BP26" s="516"/>
      <c r="BQ26" s="516"/>
      <c r="BR26" s="516"/>
      <c r="BS26" s="516"/>
      <c r="BT26" s="516"/>
      <c r="BU26" s="516"/>
      <c r="BV26" s="516"/>
      <c r="BW26" s="516"/>
      <c r="BX26" s="516"/>
      <c r="BY26" s="516"/>
      <c r="BZ26" s="516"/>
      <c r="CA26" s="516"/>
      <c r="CB26" s="516"/>
      <c r="CC26" s="516"/>
      <c r="CD26" s="516"/>
      <c r="CE26" s="516"/>
      <c r="CF26" s="516"/>
    </row>
    <row r="27" spans="1:84" ht="24">
      <c r="A27" s="120">
        <v>1103</v>
      </c>
      <c r="B27" s="507"/>
      <c r="C27" s="508"/>
      <c r="D27" s="542">
        <v>5</v>
      </c>
      <c r="E27" s="543" t="s">
        <v>402</v>
      </c>
      <c r="F27" s="509" t="s">
        <v>1083</v>
      </c>
      <c r="G27" s="510" t="s">
        <v>268</v>
      </c>
      <c r="H27" s="511" t="s">
        <v>402</v>
      </c>
      <c r="I27" s="511" t="s">
        <v>402</v>
      </c>
      <c r="J27" s="512">
        <v>0</v>
      </c>
      <c r="K27" s="510" t="s">
        <v>395</v>
      </c>
      <c r="L27" s="513">
        <v>4.6800000000000001E-2</v>
      </c>
      <c r="M27" s="514">
        <v>1</v>
      </c>
      <c r="N27" s="1">
        <v>1.1649902150316884</v>
      </c>
      <c r="O27" s="31" t="s">
        <v>1393</v>
      </c>
      <c r="P27" s="513">
        <v>4.6800000000000001E-2</v>
      </c>
      <c r="Q27" s="514">
        <v>1</v>
      </c>
      <c r="R27" s="1">
        <v>1.1649902150316884</v>
      </c>
      <c r="S27" s="31" t="s">
        <v>1393</v>
      </c>
      <c r="T27" s="513">
        <v>4.6800000000000001E-2</v>
      </c>
      <c r="U27" s="514">
        <v>1</v>
      </c>
      <c r="V27" s="1">
        <v>1.1649902150316884</v>
      </c>
      <c r="W27" s="31" t="s">
        <v>1393</v>
      </c>
      <c r="Y27" s="516"/>
      <c r="Z27" s="516"/>
      <c r="AA27" s="516"/>
      <c r="AB27" s="516"/>
      <c r="AC27" s="516"/>
      <c r="AD27" s="516"/>
      <c r="AE27" s="516"/>
      <c r="AF27" s="516"/>
      <c r="AG27" s="516"/>
      <c r="AH27" s="516"/>
      <c r="AI27" s="516"/>
      <c r="AJ27" s="516"/>
      <c r="AK27" s="516"/>
      <c r="AL27" s="516"/>
      <c r="AM27" s="516"/>
      <c r="AN27" s="516"/>
      <c r="AO27" s="516"/>
      <c r="AP27" s="516"/>
      <c r="AQ27" s="516"/>
      <c r="AR27" s="516"/>
      <c r="AS27" s="516"/>
      <c r="AT27" s="516"/>
      <c r="AU27" s="516"/>
      <c r="AV27" s="516"/>
      <c r="AW27" s="516"/>
      <c r="AX27" s="516"/>
      <c r="AY27" s="516"/>
      <c r="AZ27" s="516"/>
      <c r="BA27" s="516"/>
      <c r="BB27" s="516"/>
      <c r="BC27" s="516"/>
      <c r="BD27" s="516"/>
      <c r="BE27" s="516"/>
      <c r="BF27" s="516"/>
      <c r="BG27" s="516"/>
      <c r="BH27" s="516"/>
      <c r="BI27" s="516"/>
      <c r="BJ27" s="516"/>
      <c r="BK27" s="516"/>
      <c r="BL27" s="516"/>
      <c r="BM27" s="516"/>
      <c r="BN27" s="516"/>
      <c r="BO27" s="516"/>
      <c r="BP27" s="516"/>
      <c r="BQ27" s="516"/>
      <c r="BR27" s="516"/>
      <c r="BS27" s="516"/>
      <c r="BT27" s="516"/>
      <c r="BU27" s="516"/>
      <c r="BV27" s="516"/>
      <c r="BW27" s="516"/>
      <c r="BX27" s="516"/>
      <c r="BY27" s="516"/>
      <c r="BZ27" s="516"/>
      <c r="CA27" s="516"/>
      <c r="CB27" s="516"/>
      <c r="CC27" s="516"/>
      <c r="CD27" s="516"/>
      <c r="CE27" s="516"/>
      <c r="CF27" s="516"/>
    </row>
    <row r="28" spans="1:84" ht="24">
      <c r="A28" s="120">
        <v>1281</v>
      </c>
      <c r="B28" s="507"/>
      <c r="C28" s="508"/>
      <c r="D28" s="542">
        <v>5</v>
      </c>
      <c r="E28" s="543" t="s">
        <v>402</v>
      </c>
      <c r="F28" s="509" t="s">
        <v>1394</v>
      </c>
      <c r="G28" s="510" t="s">
        <v>521</v>
      </c>
      <c r="H28" s="511" t="s">
        <v>402</v>
      </c>
      <c r="I28" s="511" t="s">
        <v>402</v>
      </c>
      <c r="J28" s="512">
        <v>0</v>
      </c>
      <c r="K28" s="510" t="s">
        <v>395</v>
      </c>
      <c r="L28" s="513">
        <v>4.53E-2</v>
      </c>
      <c r="M28" s="514">
        <v>1</v>
      </c>
      <c r="N28" s="1">
        <v>1.1649902150316884</v>
      </c>
      <c r="O28" s="31" t="s">
        <v>1393</v>
      </c>
      <c r="P28" s="513">
        <v>4.53E-2</v>
      </c>
      <c r="Q28" s="514">
        <v>1</v>
      </c>
      <c r="R28" s="1">
        <v>1.1649902150316884</v>
      </c>
      <c r="S28" s="31" t="s">
        <v>1393</v>
      </c>
      <c r="T28" s="513">
        <v>4.53E-2</v>
      </c>
      <c r="U28" s="514">
        <v>1</v>
      </c>
      <c r="V28" s="1">
        <v>1.1649902150316884</v>
      </c>
      <c r="W28" s="31" t="s">
        <v>1393</v>
      </c>
      <c r="Y28" s="516"/>
      <c r="Z28" s="516"/>
      <c r="AA28" s="516"/>
      <c r="AB28" s="516"/>
      <c r="AC28" s="516"/>
      <c r="AD28" s="516"/>
      <c r="AE28" s="516"/>
      <c r="AF28" s="516"/>
      <c r="AG28" s="516"/>
      <c r="AH28" s="516"/>
      <c r="AI28" s="516"/>
      <c r="AJ28" s="516"/>
      <c r="AK28" s="516"/>
      <c r="AL28" s="516"/>
      <c r="AM28" s="516"/>
      <c r="AN28" s="516"/>
      <c r="AO28" s="516"/>
      <c r="AP28" s="516"/>
      <c r="AQ28" s="516"/>
      <c r="AR28" s="516"/>
      <c r="AS28" s="516"/>
      <c r="AT28" s="516"/>
      <c r="AU28" s="516"/>
      <c r="AV28" s="516"/>
      <c r="AW28" s="516"/>
      <c r="AX28" s="516"/>
      <c r="AY28" s="516"/>
      <c r="AZ28" s="516"/>
      <c r="BA28" s="516"/>
      <c r="BB28" s="516"/>
      <c r="BC28" s="516"/>
      <c r="BD28" s="516"/>
      <c r="BE28" s="516"/>
      <c r="BF28" s="516"/>
      <c r="BG28" s="516"/>
      <c r="BH28" s="516"/>
      <c r="BI28" s="516"/>
      <c r="BJ28" s="516"/>
      <c r="BK28" s="516"/>
      <c r="BL28" s="516"/>
      <c r="BM28" s="516"/>
      <c r="BN28" s="516"/>
      <c r="BO28" s="516"/>
      <c r="BP28" s="516"/>
      <c r="BQ28" s="516"/>
      <c r="BR28" s="516"/>
      <c r="BS28" s="516"/>
      <c r="BT28" s="516"/>
      <c r="BU28" s="516"/>
      <c r="BV28" s="516"/>
      <c r="BW28" s="516"/>
      <c r="BX28" s="516"/>
      <c r="BY28" s="516"/>
      <c r="BZ28" s="516"/>
      <c r="CA28" s="516"/>
      <c r="CB28" s="516"/>
      <c r="CC28" s="516"/>
      <c r="CD28" s="516"/>
      <c r="CE28" s="516"/>
      <c r="CF28" s="516"/>
    </row>
    <row r="29" spans="1:84" ht="24">
      <c r="A29" s="120">
        <v>1218</v>
      </c>
      <c r="B29" s="507"/>
      <c r="C29" s="508"/>
      <c r="D29" s="542">
        <v>5</v>
      </c>
      <c r="E29" s="543" t="s">
        <v>402</v>
      </c>
      <c r="F29" s="509" t="s">
        <v>1284</v>
      </c>
      <c r="G29" s="510" t="s">
        <v>521</v>
      </c>
      <c r="H29" s="511" t="s">
        <v>402</v>
      </c>
      <c r="I29" s="511" t="s">
        <v>402</v>
      </c>
      <c r="J29" s="512">
        <v>0</v>
      </c>
      <c r="K29" s="510" t="s">
        <v>395</v>
      </c>
      <c r="L29" s="513">
        <v>1.67E-2</v>
      </c>
      <c r="M29" s="514">
        <v>1</v>
      </c>
      <c r="N29" s="1">
        <v>1.1649902150316884</v>
      </c>
      <c r="O29" s="31" t="s">
        <v>1393</v>
      </c>
      <c r="P29" s="513">
        <v>1.67E-2</v>
      </c>
      <c r="Q29" s="514">
        <v>1</v>
      </c>
      <c r="R29" s="1">
        <v>1.1649902150316884</v>
      </c>
      <c r="S29" s="31" t="s">
        <v>1393</v>
      </c>
      <c r="T29" s="513">
        <v>1.67E-2</v>
      </c>
      <c r="U29" s="514">
        <v>1</v>
      </c>
      <c r="V29" s="1">
        <v>1.1649902150316884</v>
      </c>
      <c r="W29" s="31" t="s">
        <v>1393</v>
      </c>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6"/>
      <c r="AY29" s="516"/>
      <c r="AZ29" s="516"/>
      <c r="BA29" s="516"/>
      <c r="BB29" s="516"/>
      <c r="BC29" s="516"/>
      <c r="BD29" s="516"/>
      <c r="BE29" s="516"/>
      <c r="BF29" s="516"/>
      <c r="BG29" s="516"/>
      <c r="BH29" s="516"/>
      <c r="BI29" s="516"/>
      <c r="BJ29" s="516"/>
      <c r="BK29" s="516"/>
      <c r="BL29" s="516"/>
      <c r="BM29" s="516"/>
      <c r="BN29" s="516"/>
      <c r="BO29" s="516"/>
      <c r="BP29" s="516"/>
      <c r="BQ29" s="516"/>
      <c r="BR29" s="516"/>
      <c r="BS29" s="516"/>
      <c r="BT29" s="516"/>
      <c r="BU29" s="516"/>
      <c r="BV29" s="516"/>
      <c r="BW29" s="516"/>
      <c r="BX29" s="516"/>
      <c r="BY29" s="516"/>
      <c r="BZ29" s="516"/>
      <c r="CA29" s="516"/>
      <c r="CB29" s="516"/>
      <c r="CC29" s="516"/>
      <c r="CD29" s="516"/>
      <c r="CE29" s="516"/>
      <c r="CF29" s="516"/>
    </row>
    <row r="30" spans="1:84" ht="24">
      <c r="A30" s="120">
        <v>2814</v>
      </c>
      <c r="B30" s="507"/>
      <c r="C30" s="508"/>
      <c r="D30" s="542">
        <v>5</v>
      </c>
      <c r="E30" s="543" t="s">
        <v>402</v>
      </c>
      <c r="F30" s="509" t="s">
        <v>1261</v>
      </c>
      <c r="G30" s="510" t="s">
        <v>521</v>
      </c>
      <c r="H30" s="511" t="s">
        <v>402</v>
      </c>
      <c r="I30" s="511" t="s">
        <v>402</v>
      </c>
      <c r="J30" s="512">
        <v>0</v>
      </c>
      <c r="K30" s="510" t="s">
        <v>395</v>
      </c>
      <c r="L30" s="513">
        <v>2.0799999999999998E-3</v>
      </c>
      <c r="M30" s="514">
        <v>1</v>
      </c>
      <c r="N30" s="1">
        <v>1.1649902150316884</v>
      </c>
      <c r="O30" s="31" t="s">
        <v>1393</v>
      </c>
      <c r="P30" s="513">
        <v>2.0799999999999998E-3</v>
      </c>
      <c r="Q30" s="514">
        <v>1</v>
      </c>
      <c r="R30" s="1">
        <v>1.1649902150316884</v>
      </c>
      <c r="S30" s="31" t="s">
        <v>1393</v>
      </c>
      <c r="T30" s="513">
        <v>2.0799999999999998E-3</v>
      </c>
      <c r="U30" s="514">
        <v>1</v>
      </c>
      <c r="V30" s="1">
        <v>1.1649902150316884</v>
      </c>
      <c r="W30" s="31" t="s">
        <v>1393</v>
      </c>
      <c r="Y30" s="516"/>
      <c r="Z30" s="516"/>
      <c r="AA30" s="516"/>
      <c r="AB30" s="516"/>
      <c r="AC30" s="516"/>
      <c r="AD30" s="516"/>
      <c r="AE30" s="516"/>
      <c r="AF30" s="516"/>
      <c r="AG30" s="516"/>
      <c r="AH30" s="516"/>
      <c r="AI30" s="516"/>
      <c r="AJ30" s="516"/>
      <c r="AK30" s="516"/>
      <c r="AL30" s="516"/>
      <c r="AM30" s="516"/>
      <c r="AN30" s="516"/>
      <c r="AO30" s="516"/>
      <c r="AP30" s="516"/>
      <c r="AQ30" s="516"/>
      <c r="AR30" s="516"/>
      <c r="AS30" s="516"/>
      <c r="AT30" s="516"/>
      <c r="AU30" s="516"/>
      <c r="AV30" s="516"/>
      <c r="AW30" s="516"/>
      <c r="AX30" s="516"/>
      <c r="AY30" s="516"/>
      <c r="AZ30" s="516"/>
      <c r="BA30" s="516"/>
      <c r="BB30" s="516"/>
      <c r="BC30" s="516"/>
      <c r="BD30" s="516"/>
      <c r="BE30" s="516"/>
      <c r="BF30" s="516"/>
      <c r="BG30" s="516"/>
      <c r="BH30" s="516"/>
      <c r="BI30" s="516"/>
      <c r="BJ30" s="516"/>
      <c r="BK30" s="516"/>
      <c r="BL30" s="516"/>
      <c r="BM30" s="516"/>
      <c r="BN30" s="516"/>
      <c r="BO30" s="516"/>
      <c r="BP30" s="516"/>
      <c r="BQ30" s="516"/>
      <c r="BR30" s="516"/>
      <c r="BS30" s="516"/>
      <c r="BT30" s="516"/>
      <c r="BU30" s="516"/>
      <c r="BV30" s="516"/>
      <c r="BW30" s="516"/>
      <c r="BX30" s="516"/>
      <c r="BY30" s="516"/>
      <c r="BZ30" s="516"/>
      <c r="CA30" s="516"/>
      <c r="CB30" s="516"/>
      <c r="CC30" s="516"/>
      <c r="CD30" s="516"/>
      <c r="CE30" s="516"/>
      <c r="CF30" s="516"/>
    </row>
    <row r="31" spans="1:84" ht="24">
      <c r="A31" s="120">
        <v>1280</v>
      </c>
      <c r="B31" s="507"/>
      <c r="C31" s="508"/>
      <c r="D31" s="542">
        <v>5</v>
      </c>
      <c r="E31" s="543" t="s">
        <v>402</v>
      </c>
      <c r="F31" s="509" t="s">
        <v>1173</v>
      </c>
      <c r="G31" s="510" t="s">
        <v>521</v>
      </c>
      <c r="H31" s="511" t="s">
        <v>402</v>
      </c>
      <c r="I31" s="511" t="s">
        <v>402</v>
      </c>
      <c r="J31" s="512">
        <v>0</v>
      </c>
      <c r="K31" s="510" t="s">
        <v>395</v>
      </c>
      <c r="L31" s="513">
        <v>4.9299999999999997E-2</v>
      </c>
      <c r="M31" s="514">
        <v>1</v>
      </c>
      <c r="N31" s="1">
        <v>1.1649902150316884</v>
      </c>
      <c r="O31" s="31" t="s">
        <v>1393</v>
      </c>
      <c r="P31" s="513">
        <v>4.9299999999999997E-2</v>
      </c>
      <c r="Q31" s="514">
        <v>1</v>
      </c>
      <c r="R31" s="1">
        <v>1.1649902150316884</v>
      </c>
      <c r="S31" s="31" t="s">
        <v>1393</v>
      </c>
      <c r="T31" s="513">
        <v>4.9299999999999997E-2</v>
      </c>
      <c r="U31" s="514">
        <v>1</v>
      </c>
      <c r="V31" s="1">
        <v>1.1649902150316884</v>
      </c>
      <c r="W31" s="31" t="s">
        <v>1393</v>
      </c>
      <c r="Y31" s="516"/>
      <c r="Z31" s="516"/>
      <c r="AA31" s="516"/>
      <c r="AB31" s="516"/>
      <c r="AC31" s="516"/>
      <c r="AD31" s="516"/>
      <c r="AE31" s="516"/>
      <c r="AF31" s="516"/>
      <c r="AG31" s="516"/>
      <c r="AH31" s="516"/>
      <c r="AI31" s="516"/>
      <c r="AJ31" s="516"/>
      <c r="AK31" s="516"/>
      <c r="AL31" s="516"/>
      <c r="AM31" s="516"/>
      <c r="AN31" s="516"/>
      <c r="AO31" s="516"/>
      <c r="AP31" s="516"/>
      <c r="AQ31" s="516"/>
      <c r="AR31" s="516"/>
      <c r="AS31" s="516"/>
      <c r="AT31" s="516"/>
      <c r="AU31" s="516"/>
      <c r="AV31" s="516"/>
      <c r="AW31" s="516"/>
      <c r="AX31" s="516"/>
      <c r="AY31" s="516"/>
      <c r="AZ31" s="516"/>
      <c r="BA31" s="516"/>
      <c r="BB31" s="516"/>
      <c r="BC31" s="516"/>
      <c r="BD31" s="516"/>
      <c r="BE31" s="516"/>
      <c r="BF31" s="516"/>
      <c r="BG31" s="516"/>
      <c r="BH31" s="516"/>
      <c r="BI31" s="516"/>
      <c r="BJ31" s="516"/>
      <c r="BK31" s="516"/>
      <c r="BL31" s="516"/>
      <c r="BM31" s="516"/>
      <c r="BN31" s="516"/>
      <c r="BO31" s="516"/>
      <c r="BP31" s="516"/>
      <c r="BQ31" s="516"/>
      <c r="BR31" s="516"/>
      <c r="BS31" s="516"/>
      <c r="BT31" s="516"/>
      <c r="BU31" s="516"/>
      <c r="BV31" s="516"/>
      <c r="BW31" s="516"/>
      <c r="BX31" s="516"/>
      <c r="BY31" s="516"/>
      <c r="BZ31" s="516"/>
      <c r="CA31" s="516"/>
      <c r="CB31" s="516"/>
      <c r="CC31" s="516"/>
      <c r="CD31" s="516"/>
      <c r="CE31" s="516"/>
      <c r="CF31" s="516"/>
    </row>
    <row r="32" spans="1:84" ht="24">
      <c r="A32" s="120">
        <v>781</v>
      </c>
      <c r="B32" s="507"/>
      <c r="C32" s="508"/>
      <c r="D32" s="542">
        <v>5</v>
      </c>
      <c r="E32" s="543" t="s">
        <v>402</v>
      </c>
      <c r="F32" s="509" t="s">
        <v>1395</v>
      </c>
      <c r="G32" s="510" t="s">
        <v>51</v>
      </c>
      <c r="H32" s="511" t="s">
        <v>402</v>
      </c>
      <c r="I32" s="511" t="s">
        <v>402</v>
      </c>
      <c r="J32" s="512">
        <v>0</v>
      </c>
      <c r="K32" s="510" t="s">
        <v>395</v>
      </c>
      <c r="L32" s="513">
        <v>3.7581000000000003E-2</v>
      </c>
      <c r="M32" s="514">
        <v>1</v>
      </c>
      <c r="N32" s="1">
        <v>1.0714359004449265</v>
      </c>
      <c r="O32" s="31" t="s">
        <v>1383</v>
      </c>
      <c r="P32" s="513">
        <v>3.7581000000000003E-2</v>
      </c>
      <c r="Q32" s="514">
        <v>1</v>
      </c>
      <c r="R32" s="1">
        <v>1.0714359004449265</v>
      </c>
      <c r="S32" s="31" t="s">
        <v>1385</v>
      </c>
      <c r="T32" s="513">
        <v>3.7581000000000003E-2</v>
      </c>
      <c r="U32" s="514">
        <v>1</v>
      </c>
      <c r="V32" s="1">
        <v>1.0714359004449265</v>
      </c>
      <c r="W32" s="31" t="s">
        <v>1388</v>
      </c>
      <c r="Y32" s="516"/>
      <c r="Z32" s="516"/>
      <c r="AA32" s="516"/>
      <c r="AB32" s="516"/>
      <c r="AC32" s="516"/>
      <c r="AD32" s="516"/>
      <c r="AE32" s="516"/>
      <c r="AF32" s="516"/>
      <c r="AG32" s="516"/>
      <c r="AH32" s="516"/>
      <c r="AI32" s="516"/>
      <c r="AJ32" s="516"/>
      <c r="AK32" s="516"/>
      <c r="AL32" s="516"/>
      <c r="AM32" s="516"/>
      <c r="AN32" s="516"/>
      <c r="AO32" s="516"/>
      <c r="AP32" s="516"/>
      <c r="AQ32" s="516"/>
      <c r="AR32" s="516"/>
      <c r="AS32" s="516"/>
      <c r="AT32" s="516"/>
      <c r="AU32" s="516"/>
      <c r="AV32" s="516"/>
      <c r="AW32" s="516"/>
      <c r="AX32" s="516"/>
      <c r="AY32" s="516"/>
      <c r="AZ32" s="516"/>
      <c r="BA32" s="516"/>
      <c r="BB32" s="516"/>
      <c r="BC32" s="516"/>
      <c r="BD32" s="516"/>
      <c r="BE32" s="516"/>
      <c r="BF32" s="516"/>
      <c r="BG32" s="516"/>
      <c r="BH32" s="516"/>
      <c r="BI32" s="516"/>
      <c r="BJ32" s="516"/>
      <c r="BK32" s="516"/>
      <c r="BL32" s="516"/>
      <c r="BM32" s="516"/>
      <c r="BN32" s="516"/>
      <c r="BO32" s="516"/>
      <c r="BP32" s="516"/>
      <c r="BQ32" s="516"/>
      <c r="BR32" s="516"/>
      <c r="BS32" s="516"/>
      <c r="BT32" s="516"/>
      <c r="BU32" s="516"/>
      <c r="BV32" s="516"/>
      <c r="BW32" s="516"/>
      <c r="BX32" s="516"/>
      <c r="BY32" s="516"/>
      <c r="BZ32" s="516"/>
      <c r="CA32" s="516"/>
      <c r="CB32" s="516"/>
      <c r="CC32" s="516"/>
      <c r="CD32" s="516"/>
      <c r="CE32" s="516"/>
      <c r="CF32" s="516"/>
    </row>
    <row r="33" spans="1:84" ht="36">
      <c r="A33" s="120">
        <v>782</v>
      </c>
      <c r="B33" s="507"/>
      <c r="C33" s="508"/>
      <c r="D33" s="542">
        <v>5</v>
      </c>
      <c r="E33" s="543" t="s">
        <v>402</v>
      </c>
      <c r="F33" s="509" t="s">
        <v>1113</v>
      </c>
      <c r="G33" s="510" t="s">
        <v>51</v>
      </c>
      <c r="H33" s="511" t="s">
        <v>402</v>
      </c>
      <c r="I33" s="511" t="s">
        <v>402</v>
      </c>
      <c r="J33" s="512">
        <v>0</v>
      </c>
      <c r="K33" s="510" t="s">
        <v>395</v>
      </c>
      <c r="L33" s="513">
        <v>9.7418999999999995E-3</v>
      </c>
      <c r="M33" s="514">
        <v>1</v>
      </c>
      <c r="N33" s="1">
        <v>1.1649902150316884</v>
      </c>
      <c r="O33" s="31" t="s">
        <v>1396</v>
      </c>
      <c r="P33" s="513">
        <v>9.7418999999999995E-3</v>
      </c>
      <c r="Q33" s="514">
        <v>1</v>
      </c>
      <c r="R33" s="1">
        <v>1.1649902150316884</v>
      </c>
      <c r="S33" s="31" t="s">
        <v>1396</v>
      </c>
      <c r="T33" s="513">
        <v>9.7418999999999995E-3</v>
      </c>
      <c r="U33" s="514">
        <v>1</v>
      </c>
      <c r="V33" s="1">
        <v>1.1649902150316884</v>
      </c>
      <c r="W33" s="31" t="s">
        <v>1396</v>
      </c>
      <c r="X33" s="516"/>
      <c r="Y33" s="516"/>
      <c r="Z33" s="516"/>
      <c r="AA33" s="516"/>
      <c r="AB33" s="516"/>
      <c r="AC33" s="516"/>
      <c r="AD33" s="516"/>
      <c r="AE33" s="516"/>
      <c r="AF33" s="516"/>
      <c r="AG33" s="516"/>
      <c r="AH33" s="516"/>
      <c r="AI33" s="516"/>
      <c r="AJ33" s="516"/>
      <c r="AK33" s="516"/>
      <c r="AL33" s="516"/>
      <c r="AM33" s="516"/>
      <c r="AN33" s="516"/>
      <c r="AO33" s="516"/>
      <c r="AP33" s="516"/>
      <c r="AQ33" s="516"/>
      <c r="AR33" s="516"/>
      <c r="AS33" s="516"/>
      <c r="AT33" s="516"/>
      <c r="AU33" s="516"/>
      <c r="AV33" s="516"/>
      <c r="AW33" s="516"/>
      <c r="AX33" s="516"/>
      <c r="AY33" s="516"/>
      <c r="AZ33" s="516"/>
      <c r="BA33" s="516"/>
      <c r="BB33" s="516"/>
      <c r="BC33" s="516"/>
      <c r="BD33" s="516"/>
      <c r="BE33" s="516"/>
      <c r="BF33" s="516"/>
      <c r="BG33" s="516"/>
      <c r="BH33" s="516"/>
      <c r="BI33" s="516"/>
      <c r="BJ33" s="516"/>
      <c r="BK33" s="516"/>
      <c r="BL33" s="516"/>
      <c r="BM33" s="516"/>
      <c r="BN33" s="516"/>
      <c r="BO33" s="516"/>
      <c r="BP33" s="516"/>
      <c r="BQ33" s="516"/>
      <c r="BR33" s="516"/>
      <c r="BS33" s="516"/>
      <c r="BT33" s="516"/>
      <c r="BU33" s="516"/>
      <c r="BV33" s="516"/>
      <c r="BW33" s="516"/>
      <c r="BX33" s="516"/>
      <c r="BY33" s="516"/>
      <c r="BZ33" s="516"/>
      <c r="CA33" s="516"/>
      <c r="CB33" s="516"/>
      <c r="CC33" s="516"/>
      <c r="CD33" s="516"/>
      <c r="CE33" s="516"/>
      <c r="CF33" s="516"/>
    </row>
    <row r="34" spans="1:84" ht="24">
      <c r="A34" s="226">
        <v>1777</v>
      </c>
      <c r="B34" s="507"/>
      <c r="C34" s="508"/>
      <c r="D34" s="542">
        <v>5</v>
      </c>
      <c r="E34" s="543" t="s">
        <v>402</v>
      </c>
      <c r="F34" s="509" t="s">
        <v>1108</v>
      </c>
      <c r="G34" s="510" t="s">
        <v>521</v>
      </c>
      <c r="H34" s="511" t="s">
        <v>402</v>
      </c>
      <c r="I34" s="511" t="s">
        <v>402</v>
      </c>
      <c r="J34" s="512">
        <v>0</v>
      </c>
      <c r="K34" s="510" t="s">
        <v>395</v>
      </c>
      <c r="L34" s="513">
        <v>7.3200000000000001E-2</v>
      </c>
      <c r="M34" s="514">
        <v>1</v>
      </c>
      <c r="N34" s="1">
        <v>1.1649902150316884</v>
      </c>
      <c r="O34" s="31" t="s">
        <v>1393</v>
      </c>
      <c r="P34" s="513">
        <v>7.3200000000000001E-2</v>
      </c>
      <c r="Q34" s="514">
        <v>1</v>
      </c>
      <c r="R34" s="1">
        <v>1.1649902150316884</v>
      </c>
      <c r="S34" s="31" t="s">
        <v>1393</v>
      </c>
      <c r="T34" s="513">
        <v>7.3200000000000001E-2</v>
      </c>
      <c r="U34" s="514">
        <v>1</v>
      </c>
      <c r="V34" s="1">
        <v>1.1649902150316884</v>
      </c>
      <c r="W34" s="31" t="s">
        <v>1393</v>
      </c>
      <c r="X34" s="516"/>
      <c r="Y34" s="516"/>
      <c r="Z34" s="516"/>
      <c r="AA34" s="516"/>
      <c r="AB34" s="516"/>
      <c r="AC34" s="516"/>
      <c r="AD34" s="516"/>
      <c r="AE34" s="516"/>
      <c r="AF34" s="516"/>
      <c r="AG34" s="516"/>
      <c r="AH34" s="516"/>
      <c r="AI34" s="516"/>
      <c r="AJ34" s="516"/>
      <c r="AK34" s="516"/>
      <c r="AL34" s="516"/>
      <c r="AM34" s="516"/>
      <c r="AN34" s="516"/>
      <c r="AO34" s="516"/>
      <c r="AP34" s="516"/>
      <c r="AQ34" s="516"/>
      <c r="AR34" s="516"/>
      <c r="AS34" s="516"/>
      <c r="AT34" s="516"/>
      <c r="AU34" s="516"/>
      <c r="AV34" s="516"/>
      <c r="AW34" s="516"/>
      <c r="AX34" s="516"/>
      <c r="AY34" s="516"/>
      <c r="AZ34" s="516"/>
      <c r="BA34" s="516"/>
      <c r="BB34" s="516"/>
      <c r="BC34" s="516"/>
      <c r="BD34" s="516"/>
      <c r="BE34" s="516"/>
      <c r="BF34" s="516"/>
      <c r="BG34" s="516"/>
      <c r="BH34" s="516"/>
      <c r="BI34" s="516"/>
      <c r="BJ34" s="516"/>
      <c r="BK34" s="516"/>
      <c r="BL34" s="516"/>
      <c r="BM34" s="516"/>
      <c r="BN34" s="516"/>
      <c r="BO34" s="516"/>
      <c r="BP34" s="516"/>
      <c r="BQ34" s="516"/>
      <c r="BR34" s="516"/>
      <c r="BS34" s="516"/>
      <c r="BT34" s="516"/>
      <c r="BU34" s="516"/>
      <c r="BV34" s="516"/>
      <c r="BW34" s="516"/>
      <c r="BX34" s="516"/>
      <c r="BY34" s="516"/>
      <c r="BZ34" s="516"/>
      <c r="CA34" s="516"/>
      <c r="CB34" s="516"/>
      <c r="CC34" s="516"/>
      <c r="CD34" s="516"/>
      <c r="CE34" s="516"/>
      <c r="CF34" s="516"/>
    </row>
    <row r="35" spans="1:84" ht="24">
      <c r="A35" s="226">
        <v>33089</v>
      </c>
      <c r="B35" s="507"/>
      <c r="C35" s="508"/>
      <c r="D35" s="542">
        <v>5</v>
      </c>
      <c r="E35" s="543" t="s">
        <v>402</v>
      </c>
      <c r="F35" s="509" t="s">
        <v>1232</v>
      </c>
      <c r="G35" s="510" t="s">
        <v>51</v>
      </c>
      <c r="H35" s="511" t="s">
        <v>402</v>
      </c>
      <c r="I35" s="511" t="s">
        <v>402</v>
      </c>
      <c r="J35" s="512">
        <v>0</v>
      </c>
      <c r="K35" s="510" t="s">
        <v>395</v>
      </c>
      <c r="L35" s="513">
        <v>3.6400000000000002E-2</v>
      </c>
      <c r="M35" s="514">
        <v>1</v>
      </c>
      <c r="N35" s="1">
        <v>1.1649902150316884</v>
      </c>
      <c r="O35" s="31" t="s">
        <v>1393</v>
      </c>
      <c r="P35" s="513">
        <v>3.6400000000000002E-2</v>
      </c>
      <c r="Q35" s="514">
        <v>1</v>
      </c>
      <c r="R35" s="1">
        <v>1.1649902150316884</v>
      </c>
      <c r="S35" s="31" t="s">
        <v>1393</v>
      </c>
      <c r="T35" s="513">
        <v>3.6400000000000002E-2</v>
      </c>
      <c r="U35" s="514">
        <v>1</v>
      </c>
      <c r="V35" s="1">
        <v>1.1649902150316884</v>
      </c>
      <c r="W35" s="31" t="s">
        <v>1393</v>
      </c>
      <c r="X35" s="516"/>
      <c r="Y35" s="516"/>
      <c r="Z35" s="516"/>
      <c r="AA35" s="516"/>
      <c r="AB35" s="516"/>
      <c r="AC35" s="516"/>
      <c r="AD35" s="516"/>
      <c r="AE35" s="516"/>
      <c r="AF35" s="516"/>
      <c r="AG35" s="516"/>
      <c r="AH35" s="516"/>
      <c r="AI35" s="516"/>
      <c r="AJ35" s="516"/>
      <c r="AK35" s="516"/>
      <c r="AL35" s="516"/>
      <c r="AM35" s="516"/>
      <c r="AN35" s="516"/>
      <c r="AO35" s="516"/>
      <c r="AP35" s="516"/>
      <c r="AQ35" s="516"/>
      <c r="AR35" s="516"/>
      <c r="AS35" s="516"/>
      <c r="AT35" s="516"/>
      <c r="AU35" s="516"/>
      <c r="AV35" s="516"/>
      <c r="AW35" s="516"/>
      <c r="AX35" s="516"/>
      <c r="AY35" s="516"/>
      <c r="AZ35" s="516"/>
      <c r="BA35" s="516"/>
      <c r="BB35" s="516"/>
      <c r="BC35" s="516"/>
      <c r="BD35" s="516"/>
      <c r="BE35" s="516"/>
      <c r="BF35" s="516"/>
      <c r="BG35" s="516"/>
      <c r="BH35" s="516"/>
      <c r="BI35" s="516"/>
      <c r="BJ35" s="516"/>
      <c r="BK35" s="516"/>
      <c r="BL35" s="516"/>
      <c r="BM35" s="516"/>
      <c r="BN35" s="516"/>
      <c r="BO35" s="516"/>
      <c r="BP35" s="516"/>
      <c r="BQ35" s="516"/>
      <c r="BR35" s="516"/>
      <c r="BS35" s="516"/>
      <c r="BT35" s="516"/>
      <c r="BU35" s="516"/>
      <c r="BV35" s="516"/>
      <c r="BW35" s="516"/>
      <c r="BX35" s="516"/>
      <c r="BY35" s="516"/>
      <c r="BZ35" s="516"/>
      <c r="CA35" s="516"/>
      <c r="CB35" s="516"/>
      <c r="CC35" s="516"/>
      <c r="CD35" s="516"/>
      <c r="CE35" s="516"/>
      <c r="CF35" s="516"/>
    </row>
    <row r="36" spans="1:84" ht="24">
      <c r="A36" s="156">
        <v>1198</v>
      </c>
      <c r="B36" s="507"/>
      <c r="C36" s="508"/>
      <c r="D36" s="542">
        <v>5</v>
      </c>
      <c r="E36" s="543" t="s">
        <v>402</v>
      </c>
      <c r="F36" s="509" t="s">
        <v>54</v>
      </c>
      <c r="G36" s="510" t="s">
        <v>521</v>
      </c>
      <c r="H36" s="511" t="s">
        <v>402</v>
      </c>
      <c r="I36" s="511" t="s">
        <v>402</v>
      </c>
      <c r="J36" s="512">
        <v>0</v>
      </c>
      <c r="K36" s="510" t="s">
        <v>395</v>
      </c>
      <c r="L36" s="513">
        <v>0.52222000000000002</v>
      </c>
      <c r="M36" s="514">
        <v>1</v>
      </c>
      <c r="N36" s="1">
        <v>1.0714359004449265</v>
      </c>
      <c r="O36" s="31" t="s">
        <v>1383</v>
      </c>
      <c r="P36" s="513">
        <v>0.52222000000000002</v>
      </c>
      <c r="Q36" s="514">
        <v>1</v>
      </c>
      <c r="R36" s="1">
        <v>1.0714359004449265</v>
      </c>
      <c r="S36" s="31" t="s">
        <v>1385</v>
      </c>
      <c r="T36" s="513">
        <v>0.52222000000000002</v>
      </c>
      <c r="U36" s="514">
        <v>1</v>
      </c>
      <c r="V36" s="1">
        <v>1.0714359004449265</v>
      </c>
      <c r="W36" s="31" t="s">
        <v>1388</v>
      </c>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6"/>
      <c r="AY36" s="516"/>
      <c r="AZ36" s="516"/>
      <c r="BA36" s="516"/>
      <c r="BB36" s="516"/>
      <c r="BC36" s="516"/>
      <c r="BD36" s="516"/>
      <c r="BE36" s="516"/>
      <c r="BF36" s="516"/>
      <c r="BG36" s="516"/>
      <c r="BH36" s="516"/>
      <c r="BI36" s="516"/>
      <c r="BJ36" s="516"/>
      <c r="BK36" s="516"/>
      <c r="BL36" s="516"/>
      <c r="BM36" s="516"/>
      <c r="BN36" s="516"/>
      <c r="BO36" s="516"/>
      <c r="BP36" s="516"/>
      <c r="BQ36" s="516"/>
      <c r="BR36" s="516"/>
      <c r="BS36" s="516"/>
      <c r="BT36" s="516"/>
      <c r="BU36" s="516"/>
      <c r="BV36" s="516"/>
      <c r="BW36" s="516"/>
      <c r="BX36" s="516"/>
      <c r="BY36" s="516"/>
      <c r="BZ36" s="516"/>
      <c r="CA36" s="516"/>
      <c r="CB36" s="516"/>
      <c r="CC36" s="516"/>
      <c r="CD36" s="516"/>
      <c r="CE36" s="516"/>
      <c r="CF36" s="516"/>
    </row>
    <row r="37" spans="1:84" ht="24">
      <c r="A37" s="157">
        <v>2987</v>
      </c>
      <c r="B37" s="507"/>
      <c r="C37" s="508"/>
      <c r="D37" s="542">
        <v>5</v>
      </c>
      <c r="E37" s="543" t="s">
        <v>402</v>
      </c>
      <c r="F37" s="509" t="s">
        <v>59</v>
      </c>
      <c r="G37" s="510" t="s">
        <v>521</v>
      </c>
      <c r="H37" s="511" t="s">
        <v>402</v>
      </c>
      <c r="I37" s="511" t="s">
        <v>402</v>
      </c>
      <c r="J37" s="512">
        <v>0</v>
      </c>
      <c r="K37" s="510" t="s">
        <v>397</v>
      </c>
      <c r="L37" s="513">
        <v>5.867</v>
      </c>
      <c r="M37" s="514">
        <v>1</v>
      </c>
      <c r="N37" s="1">
        <v>2.0034330064319432</v>
      </c>
      <c r="O37" s="31" t="s">
        <v>1397</v>
      </c>
      <c r="P37" s="513">
        <v>0.41278999999999999</v>
      </c>
      <c r="Q37" s="514">
        <v>1</v>
      </c>
      <c r="R37" s="1">
        <v>2.0034330064319432</v>
      </c>
      <c r="S37" s="31" t="s">
        <v>1398</v>
      </c>
      <c r="T37" s="513">
        <v>7.7530999999999999</v>
      </c>
      <c r="U37" s="514">
        <v>1</v>
      </c>
      <c r="V37" s="1">
        <v>2.0034330064319432</v>
      </c>
      <c r="W37" s="31" t="s">
        <v>1399</v>
      </c>
      <c r="X37" s="516"/>
      <c r="Y37" s="516"/>
      <c r="Z37" s="516"/>
      <c r="AA37" s="516"/>
      <c r="AB37" s="516"/>
      <c r="AC37" s="516"/>
      <c r="AD37" s="516"/>
      <c r="AE37" s="516"/>
      <c r="AF37" s="516"/>
      <c r="AG37" s="516"/>
      <c r="AH37" s="516"/>
      <c r="AI37" s="516"/>
      <c r="AJ37" s="516"/>
      <c r="AK37" s="516"/>
      <c r="AL37" s="516"/>
      <c r="AM37" s="516"/>
      <c r="AN37" s="516"/>
      <c r="AO37" s="516"/>
      <c r="AP37" s="516"/>
      <c r="AQ37" s="516"/>
      <c r="AR37" s="516"/>
      <c r="AS37" s="516"/>
      <c r="AT37" s="516"/>
      <c r="AU37" s="516"/>
      <c r="AV37" s="516"/>
      <c r="AW37" s="516"/>
      <c r="AX37" s="516"/>
      <c r="AY37" s="516"/>
      <c r="AZ37" s="516"/>
      <c r="BA37" s="516"/>
      <c r="BB37" s="516"/>
      <c r="BC37" s="516"/>
      <c r="BD37" s="516"/>
      <c r="BE37" s="516"/>
      <c r="BF37" s="516"/>
      <c r="BG37" s="516"/>
      <c r="BH37" s="516"/>
      <c r="BI37" s="516"/>
      <c r="BJ37" s="516"/>
      <c r="BK37" s="516"/>
      <c r="BL37" s="516"/>
      <c r="BM37" s="516"/>
      <c r="BN37" s="516"/>
      <c r="BO37" s="516"/>
      <c r="BP37" s="516"/>
      <c r="BQ37" s="516"/>
      <c r="BR37" s="516"/>
      <c r="BS37" s="516"/>
      <c r="BT37" s="516"/>
      <c r="BU37" s="516"/>
      <c r="BV37" s="516"/>
      <c r="BW37" s="516"/>
      <c r="BX37" s="516"/>
      <c r="BY37" s="516"/>
      <c r="BZ37" s="516"/>
      <c r="CA37" s="516"/>
      <c r="CB37" s="516"/>
      <c r="CC37" s="516"/>
      <c r="CD37" s="516"/>
      <c r="CE37" s="516"/>
      <c r="CF37" s="516"/>
    </row>
    <row r="38" spans="1:84" ht="24">
      <c r="A38" s="157">
        <v>1841</v>
      </c>
      <c r="B38" s="507"/>
      <c r="C38" s="508"/>
      <c r="D38" s="542">
        <v>5</v>
      </c>
      <c r="E38" s="543" t="s">
        <v>402</v>
      </c>
      <c r="F38" s="509" t="s">
        <v>62</v>
      </c>
      <c r="G38" s="510" t="s">
        <v>521</v>
      </c>
      <c r="H38" s="511" t="s">
        <v>402</v>
      </c>
      <c r="I38" s="511" t="s">
        <v>402</v>
      </c>
      <c r="J38" s="512">
        <v>0</v>
      </c>
      <c r="K38" s="510" t="s">
        <v>397</v>
      </c>
      <c r="L38" s="513" t="s">
        <v>402</v>
      </c>
      <c r="M38" s="514"/>
      <c r="N38" s="1">
        <v>2.0034330064319432</v>
      </c>
      <c r="O38" s="31" t="s">
        <v>1400</v>
      </c>
      <c r="P38" s="513">
        <v>5.3545999999999996</v>
      </c>
      <c r="Q38" s="514">
        <v>1</v>
      </c>
      <c r="R38" s="1">
        <v>2.0034330064319432</v>
      </c>
      <c r="S38" s="31" t="s">
        <v>1398</v>
      </c>
      <c r="T38" s="513" t="s">
        <v>402</v>
      </c>
      <c r="U38" s="514">
        <v>1</v>
      </c>
      <c r="V38" s="1">
        <v>2.0034330064319432</v>
      </c>
      <c r="W38" s="31" t="s">
        <v>1398</v>
      </c>
      <c r="X38" s="516"/>
      <c r="Y38" s="516"/>
      <c r="Z38" s="516"/>
      <c r="AA38" s="516"/>
      <c r="AB38" s="516"/>
      <c r="AC38" s="516"/>
      <c r="AD38" s="516"/>
      <c r="AE38" s="516"/>
      <c r="AF38" s="516"/>
      <c r="AG38" s="516"/>
      <c r="AH38" s="516"/>
      <c r="AI38" s="516"/>
      <c r="AJ38" s="516"/>
      <c r="AK38" s="516"/>
      <c r="AL38" s="516"/>
      <c r="AM38" s="516"/>
      <c r="AN38" s="516"/>
      <c r="AO38" s="516"/>
      <c r="AP38" s="516"/>
      <c r="AQ38" s="516"/>
      <c r="AR38" s="516"/>
      <c r="AS38" s="516"/>
      <c r="AT38" s="516"/>
      <c r="AU38" s="516"/>
      <c r="AV38" s="516"/>
      <c r="AW38" s="516"/>
      <c r="AX38" s="516"/>
      <c r="AY38" s="516"/>
      <c r="AZ38" s="516"/>
      <c r="BA38" s="516"/>
      <c r="BB38" s="516"/>
      <c r="BC38" s="516"/>
      <c r="BD38" s="516"/>
      <c r="BE38" s="516"/>
      <c r="BF38" s="516"/>
      <c r="BG38" s="516"/>
      <c r="BH38" s="516"/>
      <c r="BI38" s="516"/>
      <c r="BJ38" s="516"/>
      <c r="BK38" s="516"/>
      <c r="BL38" s="516"/>
      <c r="BM38" s="516"/>
      <c r="BN38" s="516"/>
      <c r="BO38" s="516"/>
      <c r="BP38" s="516"/>
      <c r="BQ38" s="516"/>
      <c r="BR38" s="516"/>
      <c r="BS38" s="516"/>
      <c r="BT38" s="516"/>
      <c r="BU38" s="516"/>
      <c r="BV38" s="516"/>
      <c r="BW38" s="516"/>
      <c r="BX38" s="516"/>
      <c r="BY38" s="516"/>
      <c r="BZ38" s="516"/>
      <c r="CA38" s="516"/>
      <c r="CB38" s="516"/>
      <c r="CC38" s="516"/>
      <c r="CD38" s="516"/>
      <c r="CE38" s="516"/>
      <c r="CF38" s="516"/>
    </row>
    <row r="39" spans="1:84" ht="24">
      <c r="A39" s="2">
        <v>1824</v>
      </c>
      <c r="B39" s="507"/>
      <c r="C39" s="508"/>
      <c r="D39" s="542">
        <v>5</v>
      </c>
      <c r="E39" s="543" t="s">
        <v>402</v>
      </c>
      <c r="F39" s="509" t="s">
        <v>85</v>
      </c>
      <c r="G39" s="510" t="s">
        <v>86</v>
      </c>
      <c r="H39" s="511" t="s">
        <v>402</v>
      </c>
      <c r="I39" s="511" t="s">
        <v>402</v>
      </c>
      <c r="J39" s="512">
        <v>0</v>
      </c>
      <c r="K39" s="510" t="s">
        <v>397</v>
      </c>
      <c r="L39" s="513" t="s">
        <v>402</v>
      </c>
      <c r="M39" s="514"/>
      <c r="N39" s="1">
        <v>2.0034330064319432</v>
      </c>
      <c r="O39" s="31" t="s">
        <v>1400</v>
      </c>
      <c r="P39" s="513">
        <v>231.22</v>
      </c>
      <c r="Q39" s="514">
        <v>1</v>
      </c>
      <c r="R39" s="1">
        <v>2.0034330064319432</v>
      </c>
      <c r="S39" s="31" t="s">
        <v>1398</v>
      </c>
      <c r="T39" s="513" t="s">
        <v>402</v>
      </c>
      <c r="U39" s="514">
        <v>1</v>
      </c>
      <c r="V39" s="1">
        <v>2.0034330064319432</v>
      </c>
      <c r="W39" s="31" t="s">
        <v>1398</v>
      </c>
      <c r="X39" s="516"/>
      <c r="Y39" s="516"/>
      <c r="Z39" s="516"/>
      <c r="AA39" s="516"/>
      <c r="AB39" s="516"/>
      <c r="AC39" s="516"/>
      <c r="AD39" s="516"/>
      <c r="AE39" s="516"/>
      <c r="AF39" s="516"/>
      <c r="AG39" s="516"/>
      <c r="AH39" s="516"/>
      <c r="AI39" s="516"/>
      <c r="AJ39" s="516"/>
      <c r="AK39" s="516"/>
      <c r="AL39" s="516"/>
      <c r="AM39" s="516"/>
      <c r="AN39" s="516"/>
      <c r="AO39" s="516"/>
      <c r="AP39" s="516"/>
      <c r="AQ39" s="516"/>
      <c r="AR39" s="516"/>
      <c r="AS39" s="516"/>
      <c r="AT39" s="516"/>
      <c r="AU39" s="516"/>
      <c r="AV39" s="516"/>
      <c r="AW39" s="516"/>
      <c r="AX39" s="516"/>
      <c r="AY39" s="516"/>
      <c r="AZ39" s="516"/>
      <c r="BA39" s="516"/>
      <c r="BB39" s="516"/>
      <c r="BC39" s="516"/>
      <c r="BD39" s="516"/>
      <c r="BE39" s="516"/>
      <c r="BF39" s="516"/>
      <c r="BG39" s="516"/>
      <c r="BH39" s="516"/>
      <c r="BI39" s="516"/>
      <c r="BJ39" s="516"/>
      <c r="BK39" s="516"/>
      <c r="BL39" s="516"/>
      <c r="BM39" s="516"/>
      <c r="BN39" s="516"/>
      <c r="BO39" s="516"/>
      <c r="BP39" s="516"/>
      <c r="BQ39" s="516"/>
      <c r="BR39" s="516"/>
      <c r="BS39" s="516"/>
      <c r="BT39" s="516"/>
      <c r="BU39" s="516"/>
      <c r="BV39" s="516"/>
      <c r="BW39" s="516"/>
      <c r="BX39" s="516"/>
      <c r="BY39" s="516"/>
      <c r="BZ39" s="516"/>
      <c r="CA39" s="516"/>
      <c r="CB39" s="516"/>
      <c r="CC39" s="516"/>
      <c r="CD39" s="516"/>
      <c r="CE39" s="516"/>
      <c r="CF39" s="516"/>
    </row>
    <row r="40" spans="1:84" ht="36">
      <c r="A40" s="157">
        <v>1436</v>
      </c>
      <c r="B40" s="507" t="s">
        <v>794</v>
      </c>
      <c r="C40" s="508"/>
      <c r="D40" s="542">
        <v>5</v>
      </c>
      <c r="E40" s="543" t="s">
        <v>402</v>
      </c>
      <c r="F40" s="509" t="s">
        <v>1318</v>
      </c>
      <c r="G40" s="510" t="s">
        <v>393</v>
      </c>
      <c r="H40" s="511" t="s">
        <v>402</v>
      </c>
      <c r="I40" s="511" t="s">
        <v>402</v>
      </c>
      <c r="J40" s="512">
        <v>0</v>
      </c>
      <c r="K40" s="510" t="s">
        <v>395</v>
      </c>
      <c r="L40" s="513">
        <v>0.03</v>
      </c>
      <c r="M40" s="514">
        <v>1</v>
      </c>
      <c r="N40" s="1">
        <v>1.1649902150316884</v>
      </c>
      <c r="O40" s="31" t="s">
        <v>1401</v>
      </c>
      <c r="P40" s="513">
        <v>0.03</v>
      </c>
      <c r="Q40" s="514">
        <v>1</v>
      </c>
      <c r="R40" s="1">
        <v>1.1649902150316884</v>
      </c>
      <c r="S40" s="31" t="s">
        <v>1401</v>
      </c>
      <c r="T40" s="513">
        <v>0.03</v>
      </c>
      <c r="U40" s="514">
        <v>1</v>
      </c>
      <c r="V40" s="1">
        <v>1.1649902150316884</v>
      </c>
      <c r="W40" s="31" t="s">
        <v>1401</v>
      </c>
      <c r="X40" s="516"/>
      <c r="Y40" s="516"/>
      <c r="Z40" s="516"/>
      <c r="AA40" s="516"/>
      <c r="AB40" s="516"/>
      <c r="AC40" s="516"/>
      <c r="AD40" s="516"/>
      <c r="AE40" s="516"/>
      <c r="AF40" s="516"/>
      <c r="AG40" s="516"/>
      <c r="AH40" s="516"/>
      <c r="AI40" s="516"/>
      <c r="AJ40" s="516"/>
      <c r="AK40" s="516"/>
      <c r="AL40" s="516"/>
      <c r="AM40" s="516"/>
      <c r="AN40" s="516"/>
      <c r="AO40" s="516"/>
      <c r="AP40" s="516"/>
      <c r="AQ40" s="516"/>
      <c r="AR40" s="516"/>
      <c r="AS40" s="516"/>
      <c r="AT40" s="516"/>
      <c r="AU40" s="516"/>
      <c r="AV40" s="516"/>
      <c r="AW40" s="516"/>
      <c r="AX40" s="516"/>
      <c r="AY40" s="516"/>
      <c r="AZ40" s="516"/>
      <c r="BA40" s="516"/>
      <c r="BB40" s="516"/>
      <c r="BC40" s="516"/>
      <c r="BD40" s="516"/>
      <c r="BE40" s="516"/>
      <c r="BF40" s="516"/>
      <c r="BG40" s="516"/>
      <c r="BH40" s="516"/>
      <c r="BI40" s="516"/>
      <c r="BJ40" s="516"/>
      <c r="BK40" s="516"/>
      <c r="BL40" s="516"/>
      <c r="BM40" s="516"/>
      <c r="BN40" s="516"/>
      <c r="BO40" s="516"/>
      <c r="BP40" s="516"/>
      <c r="BQ40" s="516"/>
      <c r="BR40" s="516"/>
      <c r="BS40" s="516"/>
      <c r="BT40" s="516"/>
      <c r="BU40" s="516"/>
      <c r="BV40" s="516"/>
      <c r="BW40" s="516"/>
      <c r="BX40" s="516"/>
      <c r="BY40" s="516"/>
      <c r="BZ40" s="516"/>
      <c r="CA40" s="516"/>
      <c r="CB40" s="516"/>
      <c r="CC40" s="516"/>
      <c r="CD40" s="516"/>
      <c r="CE40" s="516"/>
      <c r="CF40" s="516"/>
    </row>
    <row r="41" spans="1:84">
      <c r="A41" s="252">
        <v>1409</v>
      </c>
      <c r="B41" s="507"/>
      <c r="C41" s="508"/>
      <c r="D41" s="542">
        <v>5</v>
      </c>
      <c r="E41" s="543" t="s">
        <v>402</v>
      </c>
      <c r="F41" s="509" t="s">
        <v>1184</v>
      </c>
      <c r="G41" s="510" t="s">
        <v>393</v>
      </c>
      <c r="H41" s="511" t="s">
        <v>402</v>
      </c>
      <c r="I41" s="511" t="s">
        <v>402</v>
      </c>
      <c r="J41" s="512">
        <v>0</v>
      </c>
      <c r="K41" s="510" t="s">
        <v>395</v>
      </c>
      <c r="L41" s="513">
        <v>0.70775999999999994</v>
      </c>
      <c r="M41" s="514">
        <v>1</v>
      </c>
      <c r="N41" s="1">
        <v>1.1649902150316884</v>
      </c>
      <c r="O41" s="31" t="s">
        <v>1402</v>
      </c>
      <c r="P41" s="513">
        <v>0.70775999999999994</v>
      </c>
      <c r="Q41" s="514">
        <v>1</v>
      </c>
      <c r="R41" s="1">
        <v>1.1649902150316884</v>
      </c>
      <c r="S41" s="31" t="s">
        <v>1402</v>
      </c>
      <c r="T41" s="513">
        <v>0.70775999999999994</v>
      </c>
      <c r="U41" s="514">
        <v>1</v>
      </c>
      <c r="V41" s="1">
        <v>1.1649902150316884</v>
      </c>
      <c r="W41" s="31" t="s">
        <v>1402</v>
      </c>
      <c r="X41" s="516"/>
      <c r="Y41" s="516"/>
      <c r="Z41" s="516"/>
      <c r="AA41" s="516"/>
      <c r="AB41" s="516"/>
      <c r="AC41" s="516"/>
      <c r="AD41" s="516"/>
      <c r="AE41" s="516"/>
      <c r="AF41" s="516"/>
      <c r="AG41" s="516"/>
      <c r="AH41" s="516"/>
      <c r="AI41" s="516"/>
      <c r="AJ41" s="516"/>
      <c r="AK41" s="516"/>
      <c r="AL41" s="516"/>
      <c r="AM41" s="516"/>
      <c r="AN41" s="516"/>
      <c r="AO41" s="516"/>
      <c r="AP41" s="516"/>
      <c r="AQ41" s="516"/>
      <c r="AR41" s="516"/>
      <c r="AS41" s="516"/>
      <c r="AT41" s="516"/>
      <c r="AU41" s="516"/>
      <c r="AV41" s="516"/>
      <c r="AW41" s="516"/>
      <c r="AX41" s="516"/>
      <c r="AY41" s="516"/>
      <c r="AZ41" s="516"/>
      <c r="BA41" s="516"/>
      <c r="BB41" s="516"/>
      <c r="BC41" s="516"/>
      <c r="BD41" s="516"/>
      <c r="BE41" s="516"/>
      <c r="BF41" s="516"/>
      <c r="BG41" s="516"/>
      <c r="BH41" s="516"/>
      <c r="BI41" s="516"/>
      <c r="BJ41" s="516"/>
      <c r="BK41" s="516"/>
      <c r="BL41" s="516"/>
      <c r="BM41" s="516"/>
      <c r="BN41" s="516"/>
      <c r="BO41" s="516"/>
      <c r="BP41" s="516"/>
      <c r="BQ41" s="516"/>
      <c r="BR41" s="516"/>
      <c r="BS41" s="516"/>
      <c r="BT41" s="516"/>
      <c r="BU41" s="516"/>
      <c r="BV41" s="516"/>
      <c r="BW41" s="516"/>
      <c r="BX41" s="516"/>
      <c r="BY41" s="516"/>
      <c r="BZ41" s="516"/>
      <c r="CA41" s="516"/>
      <c r="CB41" s="516"/>
      <c r="CC41" s="516"/>
      <c r="CD41" s="516"/>
      <c r="CE41" s="516"/>
      <c r="CF41" s="516"/>
    </row>
    <row r="42" spans="1:84" ht="24">
      <c r="A42" s="2">
        <v>1390</v>
      </c>
      <c r="B42" s="168"/>
      <c r="C42" s="151" t="s">
        <v>525</v>
      </c>
      <c r="D42" s="542">
        <v>5</v>
      </c>
      <c r="E42" s="543" t="s">
        <v>402</v>
      </c>
      <c r="F42" s="509" t="s">
        <v>1363</v>
      </c>
      <c r="G42" s="510" t="s">
        <v>393</v>
      </c>
      <c r="H42" s="511" t="s">
        <v>402</v>
      </c>
      <c r="I42" s="511" t="s">
        <v>402</v>
      </c>
      <c r="J42" s="512">
        <v>0</v>
      </c>
      <c r="K42" s="510" t="s">
        <v>409</v>
      </c>
      <c r="L42" s="332">
        <v>3.4082743348284858E-2</v>
      </c>
      <c r="M42" s="514">
        <v>1</v>
      </c>
      <c r="N42" s="1">
        <v>1.0714359004449265</v>
      </c>
      <c r="O42" s="31" t="s">
        <v>1383</v>
      </c>
      <c r="P42" s="513" t="s">
        <v>402</v>
      </c>
      <c r="Q42" s="514"/>
      <c r="R42" s="1">
        <v>1.0714359004449265</v>
      </c>
      <c r="S42" s="31" t="s">
        <v>1384</v>
      </c>
      <c r="T42" s="332">
        <v>6.1561315928261473E-2</v>
      </c>
      <c r="U42" s="319">
        <v>1</v>
      </c>
      <c r="V42" s="1">
        <v>1.0714359004449265</v>
      </c>
      <c r="W42" s="31" t="s">
        <v>1388</v>
      </c>
      <c r="X42" s="516"/>
      <c r="Y42" s="516"/>
      <c r="Z42" s="516"/>
      <c r="AA42" s="516"/>
      <c r="AB42" s="516"/>
      <c r="AC42" s="516"/>
      <c r="AD42" s="516"/>
      <c r="AE42" s="516"/>
      <c r="AF42" s="516"/>
      <c r="AG42" s="516"/>
      <c r="AH42" s="516"/>
      <c r="AI42" s="516"/>
      <c r="AJ42" s="516"/>
      <c r="AK42" s="516"/>
      <c r="AL42" s="516"/>
      <c r="AM42" s="516"/>
      <c r="AN42" s="516"/>
      <c r="AO42" s="516"/>
      <c r="AP42" s="516"/>
      <c r="AQ42" s="516"/>
      <c r="AR42" s="516"/>
      <c r="AS42" s="516"/>
      <c r="AT42" s="516"/>
      <c r="AU42" s="516"/>
      <c r="AV42" s="516"/>
      <c r="AW42" s="516"/>
      <c r="AX42" s="516"/>
      <c r="AY42" s="516"/>
      <c r="AZ42" s="516"/>
      <c r="BA42" s="516"/>
      <c r="BB42" s="516"/>
      <c r="BC42" s="516"/>
      <c r="BD42" s="516"/>
      <c r="BE42" s="516"/>
      <c r="BF42" s="516"/>
      <c r="BG42" s="516"/>
      <c r="BH42" s="516"/>
      <c r="BI42" s="516"/>
      <c r="BJ42" s="516"/>
      <c r="BK42" s="516"/>
      <c r="BL42" s="516"/>
      <c r="BM42" s="516"/>
      <c r="BN42" s="516"/>
      <c r="BO42" s="516"/>
      <c r="BP42" s="516"/>
      <c r="BQ42" s="516"/>
      <c r="BR42" s="516"/>
      <c r="BS42" s="516"/>
      <c r="BT42" s="516"/>
      <c r="BU42" s="516"/>
      <c r="BV42" s="516"/>
      <c r="BW42" s="516"/>
      <c r="BX42" s="516"/>
      <c r="BY42" s="516"/>
      <c r="BZ42" s="516"/>
      <c r="CA42" s="516"/>
      <c r="CB42" s="516"/>
      <c r="CC42" s="516"/>
      <c r="CD42" s="516"/>
      <c r="CE42" s="516"/>
      <c r="CF42" s="516"/>
    </row>
    <row r="43" spans="1:84">
      <c r="A43" s="215">
        <v>490</v>
      </c>
      <c r="B43" s="507" t="s">
        <v>790</v>
      </c>
      <c r="C43" s="508"/>
      <c r="D43" s="542" t="s">
        <v>402</v>
      </c>
      <c r="E43" s="543">
        <v>4</v>
      </c>
      <c r="F43" s="509" t="s">
        <v>324</v>
      </c>
      <c r="G43" s="510" t="s">
        <v>402</v>
      </c>
      <c r="H43" s="511" t="s">
        <v>325</v>
      </c>
      <c r="I43" s="511" t="s">
        <v>685</v>
      </c>
      <c r="J43" s="512" t="s">
        <v>402</v>
      </c>
      <c r="K43" s="510" t="s">
        <v>677</v>
      </c>
      <c r="L43" s="513">
        <v>209.23</v>
      </c>
      <c r="M43" s="514">
        <v>1</v>
      </c>
      <c r="N43" s="1">
        <v>1.2859877072397368</v>
      </c>
      <c r="O43" s="31" t="s">
        <v>1403</v>
      </c>
      <c r="P43" s="513">
        <v>209.23</v>
      </c>
      <c r="Q43" s="514">
        <v>1</v>
      </c>
      <c r="R43" s="1">
        <v>1.2859877072397368</v>
      </c>
      <c r="S43" s="31" t="s">
        <v>1403</v>
      </c>
      <c r="T43" s="513">
        <v>209.23</v>
      </c>
      <c r="U43" s="514">
        <v>1</v>
      </c>
      <c r="V43" s="1">
        <v>1.2859877072397368</v>
      </c>
      <c r="W43" s="31" t="s">
        <v>1403</v>
      </c>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6"/>
      <c r="AY43" s="516"/>
      <c r="AZ43" s="516"/>
      <c r="BA43" s="516"/>
      <c r="BB43" s="516"/>
      <c r="BC43" s="516"/>
      <c r="BD43" s="516"/>
      <c r="BE43" s="516"/>
      <c r="BF43" s="516"/>
      <c r="BG43" s="516"/>
      <c r="BH43" s="516"/>
      <c r="BI43" s="516"/>
      <c r="BJ43" s="516"/>
      <c r="BK43" s="516"/>
      <c r="BL43" s="516"/>
      <c r="BM43" s="516"/>
      <c r="BN43" s="516"/>
      <c r="BO43" s="516"/>
      <c r="BP43" s="516"/>
      <c r="BQ43" s="516"/>
      <c r="BR43" s="516"/>
      <c r="BS43" s="516"/>
      <c r="BT43" s="516"/>
      <c r="BU43" s="516"/>
      <c r="BV43" s="516"/>
      <c r="BW43" s="516"/>
      <c r="BX43" s="516"/>
      <c r="BY43" s="516"/>
      <c r="BZ43" s="516"/>
      <c r="CA43" s="516"/>
      <c r="CB43" s="516"/>
      <c r="CC43" s="516"/>
      <c r="CD43" s="516"/>
      <c r="CE43" s="516"/>
      <c r="CF43" s="516"/>
    </row>
    <row r="44" spans="1:84" ht="24">
      <c r="A44" s="215">
        <v>178</v>
      </c>
      <c r="B44" s="507"/>
      <c r="C44" s="508"/>
      <c r="D44" s="542" t="s">
        <v>402</v>
      </c>
      <c r="E44" s="543">
        <v>4</v>
      </c>
      <c r="F44" s="509" t="s">
        <v>973</v>
      </c>
      <c r="G44" s="510" t="s">
        <v>402</v>
      </c>
      <c r="H44" s="511" t="s">
        <v>325</v>
      </c>
      <c r="I44" s="511" t="s">
        <v>685</v>
      </c>
      <c r="J44" s="512" t="s">
        <v>402</v>
      </c>
      <c r="K44" s="510" t="s">
        <v>395</v>
      </c>
      <c r="L44" s="513">
        <v>5.3409999999999997E-9</v>
      </c>
      <c r="M44" s="514">
        <v>1</v>
      </c>
      <c r="N44" s="1">
        <v>5.0036982064925795</v>
      </c>
      <c r="O44" s="31" t="s">
        <v>1404</v>
      </c>
      <c r="P44" s="513">
        <v>5.3409999999999997E-9</v>
      </c>
      <c r="Q44" s="514">
        <v>1</v>
      </c>
      <c r="R44" s="1">
        <v>5.0036982064925795</v>
      </c>
      <c r="S44" s="31" t="s">
        <v>1405</v>
      </c>
      <c r="T44" s="513">
        <v>5.3409999999999997E-9</v>
      </c>
      <c r="U44" s="514">
        <v>1</v>
      </c>
      <c r="V44" s="1">
        <v>5.0036982064925795</v>
      </c>
      <c r="W44" s="31" t="s">
        <v>1406</v>
      </c>
      <c r="X44" s="516"/>
      <c r="Y44" s="516"/>
      <c r="Z44" s="516"/>
      <c r="AA44" s="516"/>
      <c r="AB44" s="516"/>
      <c r="AC44" s="516"/>
      <c r="AD44" s="516"/>
      <c r="AE44" s="516"/>
      <c r="AF44" s="516"/>
      <c r="AG44" s="516"/>
      <c r="AH44" s="516"/>
      <c r="AI44" s="516"/>
      <c r="AJ44" s="516"/>
      <c r="AK44" s="516"/>
      <c r="AL44" s="516"/>
      <c r="AM44" s="516"/>
      <c r="AN44" s="516"/>
      <c r="AO44" s="516"/>
      <c r="AP44" s="516"/>
      <c r="AQ44" s="516"/>
      <c r="AR44" s="516"/>
      <c r="AS44" s="516"/>
      <c r="AT44" s="516"/>
      <c r="AU44" s="516"/>
      <c r="AV44" s="516"/>
      <c r="AW44" s="516"/>
      <c r="AX44" s="516"/>
      <c r="AY44" s="516"/>
      <c r="AZ44" s="516"/>
      <c r="BA44" s="516"/>
      <c r="BB44" s="516"/>
      <c r="BC44" s="516"/>
      <c r="BD44" s="516"/>
      <c r="BE44" s="516"/>
      <c r="BF44" s="516"/>
      <c r="BG44" s="516"/>
      <c r="BH44" s="516"/>
      <c r="BI44" s="516"/>
      <c r="BJ44" s="516"/>
      <c r="BK44" s="516"/>
      <c r="BL44" s="516"/>
      <c r="BM44" s="516"/>
      <c r="BN44" s="516"/>
      <c r="BO44" s="516"/>
      <c r="BP44" s="516"/>
      <c r="BQ44" s="516"/>
      <c r="BR44" s="516"/>
      <c r="BS44" s="516"/>
      <c r="BT44" s="516"/>
      <c r="BU44" s="516"/>
      <c r="BV44" s="516"/>
      <c r="BW44" s="516"/>
      <c r="BX44" s="516"/>
      <c r="BY44" s="516"/>
      <c r="BZ44" s="516"/>
      <c r="CA44" s="516"/>
      <c r="CB44" s="516"/>
      <c r="CC44" s="516"/>
      <c r="CD44" s="516"/>
      <c r="CE44" s="516"/>
      <c r="CF44" s="516"/>
    </row>
    <row r="45" spans="1:84" ht="24">
      <c r="A45" s="122">
        <v>1896</v>
      </c>
      <c r="B45" s="507" t="s">
        <v>791</v>
      </c>
      <c r="C45" s="508"/>
      <c r="D45" s="542" t="s">
        <v>402</v>
      </c>
      <c r="E45" s="543">
        <v>4</v>
      </c>
      <c r="F45" s="509" t="s">
        <v>974</v>
      </c>
      <c r="G45" s="510" t="s">
        <v>402</v>
      </c>
      <c r="H45" s="511" t="s">
        <v>211</v>
      </c>
      <c r="I45" s="511" t="s">
        <v>686</v>
      </c>
      <c r="J45" s="512" t="s">
        <v>402</v>
      </c>
      <c r="K45" s="510" t="s">
        <v>395</v>
      </c>
      <c r="L45" s="513">
        <v>4.4308000000000002E-7</v>
      </c>
      <c r="M45" s="514">
        <v>1</v>
      </c>
      <c r="N45" s="1">
        <v>3.0032503680908538</v>
      </c>
      <c r="O45" s="31" t="s">
        <v>1407</v>
      </c>
      <c r="P45" s="513">
        <v>4.4308000000000002E-7</v>
      </c>
      <c r="Q45" s="514">
        <v>1</v>
      </c>
      <c r="R45" s="1">
        <v>3.0032503680908538</v>
      </c>
      <c r="S45" s="31" t="s">
        <v>1408</v>
      </c>
      <c r="T45" s="513">
        <v>4.4308000000000002E-7</v>
      </c>
      <c r="U45" s="514">
        <v>1</v>
      </c>
      <c r="V45" s="1">
        <v>3.0032503680908538</v>
      </c>
      <c r="W45" s="31" t="s">
        <v>1409</v>
      </c>
      <c r="X45" s="516"/>
      <c r="Y45" s="516"/>
      <c r="Z45" s="516"/>
      <c r="AA45" s="516"/>
      <c r="AB45" s="516"/>
      <c r="AC45" s="516"/>
      <c r="AD45" s="516"/>
      <c r="AE45" s="516"/>
      <c r="AF45" s="516"/>
      <c r="AG45" s="516"/>
      <c r="AH45" s="516"/>
      <c r="AI45" s="516"/>
      <c r="AJ45" s="516"/>
      <c r="AK45" s="516"/>
      <c r="AL45" s="516"/>
      <c r="AM45" s="516"/>
      <c r="AN45" s="516"/>
      <c r="AO45" s="516"/>
      <c r="AP45" s="516"/>
      <c r="AQ45" s="516"/>
      <c r="AR45" s="516"/>
      <c r="AS45" s="516"/>
      <c r="AT45" s="516"/>
      <c r="AU45" s="516"/>
      <c r="AV45" s="516"/>
      <c r="AW45" s="516"/>
      <c r="AX45" s="516"/>
      <c r="AY45" s="516"/>
      <c r="AZ45" s="516"/>
      <c r="BA45" s="516"/>
      <c r="BB45" s="516"/>
      <c r="BC45" s="516"/>
      <c r="BD45" s="516"/>
      <c r="BE45" s="516"/>
      <c r="BF45" s="516"/>
      <c r="BG45" s="516"/>
      <c r="BH45" s="516"/>
      <c r="BI45" s="516"/>
      <c r="BJ45" s="516"/>
      <c r="BK45" s="516"/>
      <c r="BL45" s="516"/>
      <c r="BM45" s="516"/>
      <c r="BN45" s="516"/>
      <c r="BO45" s="516"/>
      <c r="BP45" s="516"/>
      <c r="BQ45" s="516"/>
      <c r="BR45" s="516"/>
      <c r="BS45" s="516"/>
      <c r="BT45" s="516"/>
      <c r="BU45" s="516"/>
      <c r="BV45" s="516"/>
      <c r="BW45" s="516"/>
      <c r="BX45" s="516"/>
      <c r="BY45" s="516"/>
      <c r="BZ45" s="516"/>
      <c r="CA45" s="516"/>
      <c r="CB45" s="516"/>
      <c r="CC45" s="516"/>
      <c r="CD45" s="516"/>
      <c r="CE45" s="516"/>
      <c r="CF45" s="516"/>
    </row>
    <row r="46" spans="1:84">
      <c r="A46" s="528"/>
      <c r="B46" s="529"/>
      <c r="C46" s="530"/>
      <c r="D46" s="531"/>
      <c r="E46" s="531"/>
      <c r="F46" s="532"/>
      <c r="G46" s="533"/>
      <c r="H46" s="534"/>
      <c r="I46" s="534"/>
      <c r="J46" s="535"/>
      <c r="K46" s="533"/>
      <c r="L46" s="536"/>
      <c r="M46" s="514"/>
      <c r="N46" s="515"/>
      <c r="O46" s="517"/>
      <c r="P46" s="536"/>
      <c r="Q46" s="514"/>
      <c r="R46" s="515"/>
      <c r="S46" s="517"/>
      <c r="T46" s="536"/>
      <c r="U46" s="514"/>
      <c r="V46" s="515"/>
      <c r="W46" s="517"/>
      <c r="X46" s="516"/>
      <c r="Y46" s="516"/>
      <c r="Z46" s="516"/>
      <c r="AA46" s="516"/>
      <c r="AB46" s="516"/>
      <c r="AC46" s="516"/>
      <c r="AD46" s="516"/>
      <c r="AE46" s="516"/>
      <c r="AF46" s="516"/>
      <c r="AG46" s="516"/>
      <c r="AH46" s="516"/>
      <c r="AI46" s="516"/>
      <c r="AJ46" s="516"/>
      <c r="AK46" s="516"/>
      <c r="AL46" s="516"/>
      <c r="AM46" s="516"/>
      <c r="AN46" s="516"/>
      <c r="AO46" s="516"/>
      <c r="AP46" s="516"/>
      <c r="AQ46" s="516"/>
      <c r="AR46" s="516"/>
      <c r="AS46" s="516"/>
      <c r="AT46" s="516"/>
      <c r="AU46" s="516"/>
      <c r="AV46" s="516"/>
      <c r="AW46" s="516"/>
      <c r="AX46" s="516"/>
      <c r="AY46" s="516"/>
      <c r="AZ46" s="516"/>
      <c r="BA46" s="516"/>
      <c r="BB46" s="516"/>
      <c r="BC46" s="516"/>
      <c r="BD46" s="516"/>
      <c r="BE46" s="516"/>
      <c r="BF46" s="516"/>
      <c r="BG46" s="516"/>
      <c r="BH46" s="516"/>
      <c r="BI46" s="516"/>
      <c r="BJ46" s="516"/>
      <c r="BK46" s="516"/>
      <c r="BL46" s="516"/>
      <c r="BM46" s="516"/>
      <c r="BN46" s="516"/>
      <c r="BO46" s="516"/>
      <c r="BP46" s="516"/>
      <c r="BQ46" s="516"/>
      <c r="BR46" s="516"/>
      <c r="BS46" s="516"/>
      <c r="BT46" s="516"/>
      <c r="BU46" s="516"/>
      <c r="BV46" s="516"/>
      <c r="BW46" s="516"/>
      <c r="BX46" s="516"/>
      <c r="BY46" s="516"/>
      <c r="BZ46" s="516"/>
      <c r="CA46" s="516"/>
      <c r="CB46" s="516"/>
      <c r="CC46" s="516"/>
      <c r="CD46" s="516"/>
      <c r="CE46" s="516"/>
      <c r="CF46" s="516"/>
    </row>
    <row r="47" spans="1:84">
      <c r="A47" s="528"/>
      <c r="B47" s="529"/>
      <c r="C47" s="530"/>
      <c r="D47" s="531"/>
      <c r="E47" s="531"/>
      <c r="F47" s="532"/>
      <c r="G47" s="533"/>
      <c r="H47" s="534"/>
      <c r="I47" s="534"/>
      <c r="J47" s="535"/>
      <c r="K47" s="533"/>
      <c r="L47" s="536"/>
      <c r="M47" s="514"/>
      <c r="N47" s="515"/>
      <c r="O47" s="517"/>
      <c r="P47" s="536"/>
      <c r="Q47" s="514"/>
      <c r="R47" s="515"/>
      <c r="S47" s="517"/>
      <c r="T47" s="536"/>
      <c r="U47" s="514"/>
      <c r="V47" s="515"/>
      <c r="W47" s="517"/>
      <c r="X47" s="516"/>
      <c r="Y47" s="516"/>
      <c r="Z47" s="516"/>
      <c r="AA47" s="516"/>
      <c r="AB47" s="516"/>
      <c r="AC47" s="516"/>
      <c r="AD47" s="516"/>
      <c r="AE47" s="516"/>
      <c r="AF47" s="516"/>
      <c r="AG47" s="516"/>
      <c r="AH47" s="516"/>
      <c r="AI47" s="516"/>
      <c r="AJ47" s="516"/>
      <c r="AK47" s="516"/>
      <c r="AL47" s="516"/>
      <c r="AM47" s="516"/>
      <c r="AN47" s="516"/>
      <c r="AO47" s="516"/>
      <c r="AP47" s="516"/>
      <c r="AQ47" s="516"/>
      <c r="AR47" s="516"/>
      <c r="AS47" s="516"/>
      <c r="AT47" s="516"/>
      <c r="AU47" s="516"/>
      <c r="AV47" s="516"/>
      <c r="AW47" s="516"/>
      <c r="AX47" s="516"/>
      <c r="AY47" s="516"/>
      <c r="AZ47" s="516"/>
      <c r="BA47" s="516"/>
      <c r="BB47" s="516"/>
      <c r="BC47" s="516"/>
      <c r="BD47" s="516"/>
      <c r="BE47" s="516"/>
      <c r="BF47" s="516"/>
      <c r="BG47" s="516"/>
      <c r="BH47" s="516"/>
      <c r="BI47" s="516"/>
      <c r="BJ47" s="516"/>
      <c r="BK47" s="516"/>
      <c r="BL47" s="516"/>
      <c r="BM47" s="516"/>
      <c r="BN47" s="516"/>
      <c r="BO47" s="516"/>
      <c r="BP47" s="516"/>
      <c r="BQ47" s="516"/>
      <c r="BR47" s="516"/>
      <c r="BS47" s="516"/>
      <c r="BT47" s="516"/>
      <c r="BU47" s="516"/>
      <c r="BV47" s="516"/>
      <c r="BW47" s="516"/>
      <c r="BX47" s="516"/>
      <c r="BY47" s="516"/>
      <c r="BZ47" s="516"/>
      <c r="CA47" s="516"/>
      <c r="CB47" s="516"/>
      <c r="CC47" s="516"/>
      <c r="CD47" s="516"/>
      <c r="CE47" s="516"/>
      <c r="CF47" s="516"/>
    </row>
    <row r="48" spans="1:84">
      <c r="A48" s="528"/>
      <c r="B48" s="529"/>
      <c r="C48" s="530"/>
      <c r="D48" s="531"/>
      <c r="E48" s="531"/>
      <c r="F48" s="532"/>
      <c r="G48" s="533"/>
      <c r="H48" s="534"/>
      <c r="I48" s="534"/>
      <c r="J48" s="535"/>
      <c r="K48" s="533"/>
      <c r="L48" s="536"/>
      <c r="M48" s="514"/>
      <c r="N48" s="515"/>
      <c r="O48" s="517"/>
      <c r="P48" s="536"/>
      <c r="Q48" s="514"/>
      <c r="R48" s="515"/>
      <c r="S48" s="517"/>
      <c r="T48" s="536"/>
      <c r="U48" s="514"/>
      <c r="V48" s="515"/>
      <c r="W48" s="517"/>
      <c r="X48" s="516"/>
      <c r="Y48" s="516"/>
      <c r="Z48" s="516"/>
      <c r="AA48" s="516"/>
      <c r="AB48" s="516"/>
      <c r="AC48" s="516"/>
      <c r="AD48" s="516"/>
      <c r="AE48" s="516"/>
      <c r="AF48" s="516"/>
      <c r="AG48" s="516"/>
      <c r="AH48" s="516"/>
      <c r="AI48" s="516"/>
      <c r="AJ48" s="516"/>
      <c r="AK48" s="516"/>
      <c r="AL48" s="516"/>
      <c r="AM48" s="516"/>
      <c r="AN48" s="516"/>
      <c r="AO48" s="516"/>
      <c r="AP48" s="516"/>
      <c r="AQ48" s="516"/>
      <c r="AR48" s="516"/>
      <c r="AS48" s="516"/>
      <c r="AT48" s="516"/>
      <c r="AU48" s="516"/>
      <c r="AV48" s="516"/>
      <c r="AW48" s="516"/>
      <c r="AX48" s="516"/>
      <c r="AY48" s="516"/>
      <c r="AZ48" s="516"/>
      <c r="BA48" s="516"/>
      <c r="BB48" s="516"/>
      <c r="BC48" s="516"/>
      <c r="BD48" s="516"/>
      <c r="BE48" s="516"/>
      <c r="BF48" s="516"/>
      <c r="BG48" s="516"/>
      <c r="BH48" s="516"/>
      <c r="BI48" s="516"/>
      <c r="BJ48" s="516"/>
      <c r="BK48" s="516"/>
      <c r="BL48" s="516"/>
      <c r="BM48" s="516"/>
      <c r="BN48" s="516"/>
      <c r="BO48" s="516"/>
      <c r="BP48" s="516"/>
      <c r="BQ48" s="516"/>
      <c r="BR48" s="516"/>
      <c r="BS48" s="516"/>
      <c r="BT48" s="516"/>
      <c r="BU48" s="516"/>
      <c r="BV48" s="516"/>
      <c r="BW48" s="516"/>
      <c r="BX48" s="516"/>
      <c r="BY48" s="516"/>
      <c r="BZ48" s="516"/>
      <c r="CA48" s="516"/>
      <c r="CB48" s="516"/>
      <c r="CC48" s="516"/>
      <c r="CD48" s="516"/>
      <c r="CE48" s="516"/>
      <c r="CF48" s="516"/>
    </row>
    <row r="49" spans="1:84">
      <c r="A49" s="528"/>
      <c r="B49" s="529"/>
      <c r="C49" s="530"/>
      <c r="D49" s="531"/>
      <c r="E49" s="531"/>
      <c r="F49" s="532"/>
      <c r="G49" s="533"/>
      <c r="H49" s="534"/>
      <c r="I49" s="534"/>
      <c r="J49" s="535"/>
      <c r="K49" s="533"/>
      <c r="L49" s="536"/>
      <c r="M49" s="514"/>
      <c r="N49" s="515"/>
      <c r="O49" s="517"/>
      <c r="P49" s="536"/>
      <c r="Q49" s="514"/>
      <c r="R49" s="515"/>
      <c r="S49" s="517"/>
      <c r="T49" s="536"/>
      <c r="U49" s="514"/>
      <c r="V49" s="515"/>
      <c r="W49" s="517"/>
      <c r="X49" s="516"/>
      <c r="Y49" s="516"/>
      <c r="Z49" s="516"/>
      <c r="AA49" s="516"/>
      <c r="AB49" s="516"/>
      <c r="AC49" s="516"/>
      <c r="AD49" s="516"/>
      <c r="AE49" s="516"/>
      <c r="AF49" s="516"/>
      <c r="AG49" s="516"/>
      <c r="AH49" s="516"/>
      <c r="AI49" s="516"/>
      <c r="AJ49" s="516"/>
      <c r="AK49" s="516"/>
      <c r="AL49" s="516"/>
      <c r="AM49" s="516"/>
      <c r="AN49" s="516"/>
      <c r="AO49" s="516"/>
      <c r="AP49" s="516"/>
      <c r="AQ49" s="516"/>
      <c r="AR49" s="516"/>
      <c r="AS49" s="516"/>
      <c r="AT49" s="516"/>
      <c r="AU49" s="516"/>
      <c r="AV49" s="516"/>
      <c r="AW49" s="516"/>
      <c r="AX49" s="516"/>
      <c r="AY49" s="516"/>
      <c r="AZ49" s="516"/>
      <c r="BA49" s="516"/>
      <c r="BB49" s="516"/>
      <c r="BC49" s="516"/>
      <c r="BD49" s="516"/>
      <c r="BE49" s="516"/>
      <c r="BF49" s="516"/>
      <c r="BG49" s="516"/>
      <c r="BH49" s="516"/>
      <c r="BI49" s="516"/>
      <c r="BJ49" s="516"/>
      <c r="BK49" s="516"/>
      <c r="BL49" s="516"/>
      <c r="BM49" s="516"/>
      <c r="BN49" s="516"/>
      <c r="BO49" s="516"/>
      <c r="BP49" s="516"/>
      <c r="BQ49" s="516"/>
      <c r="BR49" s="516"/>
      <c r="BS49" s="516"/>
      <c r="BT49" s="516"/>
      <c r="BU49" s="516"/>
      <c r="BV49" s="516"/>
      <c r="BW49" s="516"/>
      <c r="BX49" s="516"/>
      <c r="BY49" s="516"/>
      <c r="BZ49" s="516"/>
      <c r="CA49" s="516"/>
      <c r="CB49" s="516"/>
      <c r="CC49" s="516"/>
      <c r="CD49" s="516"/>
      <c r="CE49" s="516"/>
      <c r="CF49" s="516"/>
    </row>
    <row r="50" spans="1:84">
      <c r="A50" s="528"/>
      <c r="B50" s="529"/>
      <c r="C50" s="530"/>
      <c r="D50" s="531"/>
      <c r="E50" s="531"/>
      <c r="F50" s="532"/>
      <c r="G50" s="533"/>
      <c r="H50" s="534"/>
      <c r="I50" s="534"/>
      <c r="J50" s="535"/>
      <c r="K50" s="533"/>
      <c r="L50" s="536"/>
      <c r="M50" s="514"/>
      <c r="N50" s="515"/>
      <c r="O50" s="517"/>
      <c r="P50" s="536"/>
      <c r="Q50" s="514"/>
      <c r="R50" s="515"/>
      <c r="S50" s="517"/>
      <c r="T50" s="536"/>
      <c r="U50" s="514"/>
      <c r="V50" s="515"/>
      <c r="W50" s="517"/>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6"/>
      <c r="AY50" s="516"/>
      <c r="AZ50" s="516"/>
      <c r="BA50" s="516"/>
      <c r="BB50" s="516"/>
      <c r="BC50" s="516"/>
      <c r="BD50" s="516"/>
      <c r="BE50" s="516"/>
      <c r="BF50" s="516"/>
      <c r="BG50" s="516"/>
      <c r="BH50" s="516"/>
      <c r="BI50" s="516"/>
      <c r="BJ50" s="516"/>
      <c r="BK50" s="516"/>
      <c r="BL50" s="516"/>
      <c r="BM50" s="516"/>
      <c r="BN50" s="516"/>
      <c r="BO50" s="516"/>
      <c r="BP50" s="516"/>
      <c r="BQ50" s="516"/>
      <c r="BR50" s="516"/>
      <c r="BS50" s="516"/>
      <c r="BT50" s="516"/>
      <c r="BU50" s="516"/>
      <c r="BV50" s="516"/>
      <c r="BW50" s="516"/>
      <c r="BX50" s="516"/>
      <c r="BY50" s="516"/>
      <c r="BZ50" s="516"/>
      <c r="CA50" s="516"/>
      <c r="CB50" s="516"/>
      <c r="CC50" s="516"/>
      <c r="CD50" s="516"/>
      <c r="CE50" s="516"/>
      <c r="CF50" s="516"/>
    </row>
    <row r="51" spans="1:84">
      <c r="A51" s="528"/>
      <c r="B51" s="529"/>
      <c r="C51" s="530"/>
      <c r="D51" s="531"/>
      <c r="E51" s="531"/>
      <c r="F51" s="532"/>
      <c r="G51" s="533"/>
      <c r="H51" s="534"/>
      <c r="I51" s="534"/>
      <c r="J51" s="535"/>
      <c r="K51" s="533"/>
      <c r="L51" s="536"/>
      <c r="M51" s="514"/>
      <c r="N51" s="515"/>
      <c r="O51" s="517"/>
      <c r="P51" s="536"/>
      <c r="Q51" s="514"/>
      <c r="R51" s="515"/>
      <c r="S51" s="517"/>
      <c r="T51" s="536"/>
      <c r="U51" s="514"/>
      <c r="V51" s="515"/>
      <c r="W51" s="517"/>
      <c r="X51" s="516"/>
      <c r="Y51" s="516"/>
      <c r="Z51" s="516"/>
      <c r="AA51" s="516"/>
      <c r="AB51" s="516"/>
      <c r="AC51" s="516"/>
      <c r="AD51" s="516"/>
      <c r="AE51" s="516"/>
      <c r="AF51" s="516"/>
      <c r="AG51" s="516"/>
      <c r="AH51" s="516"/>
      <c r="AI51" s="516"/>
      <c r="AJ51" s="516"/>
      <c r="AK51" s="516"/>
      <c r="AL51" s="516"/>
      <c r="AM51" s="516"/>
      <c r="AN51" s="516"/>
      <c r="AO51" s="516"/>
      <c r="AP51" s="516"/>
      <c r="AQ51" s="516"/>
      <c r="AR51" s="516"/>
      <c r="AS51" s="516"/>
      <c r="AT51" s="516"/>
      <c r="AU51" s="516"/>
      <c r="AV51" s="516"/>
      <c r="AW51" s="516"/>
      <c r="AX51" s="516"/>
      <c r="AY51" s="516"/>
      <c r="AZ51" s="516"/>
      <c r="BA51" s="516"/>
      <c r="BB51" s="516"/>
      <c r="BC51" s="516"/>
      <c r="BD51" s="516"/>
      <c r="BE51" s="516"/>
      <c r="BF51" s="516"/>
      <c r="BG51" s="516"/>
      <c r="BH51" s="516"/>
      <c r="BI51" s="516"/>
      <c r="BJ51" s="516"/>
      <c r="BK51" s="516"/>
      <c r="BL51" s="516"/>
      <c r="BM51" s="516"/>
      <c r="BN51" s="516"/>
      <c r="BO51" s="516"/>
      <c r="BP51" s="516"/>
      <c r="BQ51" s="516"/>
      <c r="BR51" s="516"/>
      <c r="BS51" s="516"/>
      <c r="BT51" s="516"/>
      <c r="BU51" s="516"/>
      <c r="BV51" s="516"/>
      <c r="BW51" s="516"/>
      <c r="BX51" s="516"/>
      <c r="BY51" s="516"/>
      <c r="BZ51" s="516"/>
      <c r="CA51" s="516"/>
      <c r="CB51" s="516"/>
      <c r="CC51" s="516"/>
      <c r="CD51" s="516"/>
      <c r="CE51" s="516"/>
      <c r="CF51" s="516"/>
    </row>
    <row r="52" spans="1:84">
      <c r="A52" s="528"/>
      <c r="B52" s="529"/>
      <c r="C52" s="530"/>
      <c r="D52" s="531"/>
      <c r="E52" s="531"/>
      <c r="F52" s="532"/>
      <c r="G52" s="533"/>
      <c r="H52" s="534"/>
      <c r="I52" s="534"/>
      <c r="J52" s="535"/>
      <c r="K52" s="533"/>
      <c r="L52" s="536"/>
      <c r="M52" s="514"/>
      <c r="N52" s="515"/>
      <c r="O52" s="517"/>
      <c r="P52" s="536"/>
      <c r="Q52" s="514"/>
      <c r="R52" s="515"/>
      <c r="S52" s="517"/>
      <c r="T52" s="536"/>
      <c r="U52" s="514"/>
      <c r="V52" s="515"/>
      <c r="W52" s="517"/>
      <c r="X52" s="516"/>
      <c r="Y52" s="516"/>
      <c r="Z52" s="516"/>
      <c r="AA52" s="516"/>
      <c r="AB52" s="516"/>
      <c r="AC52" s="516"/>
      <c r="AD52" s="516"/>
      <c r="AE52" s="516"/>
      <c r="AF52" s="516"/>
      <c r="AG52" s="516"/>
      <c r="AH52" s="516"/>
      <c r="AI52" s="516"/>
      <c r="AJ52" s="516"/>
      <c r="AK52" s="516"/>
      <c r="AL52" s="516"/>
      <c r="AM52" s="516"/>
      <c r="AN52" s="516"/>
      <c r="AO52" s="516"/>
      <c r="AP52" s="516"/>
      <c r="AQ52" s="516"/>
      <c r="AR52" s="516"/>
      <c r="AS52" s="516"/>
      <c r="AT52" s="516"/>
      <c r="AU52" s="516"/>
      <c r="AV52" s="516"/>
      <c r="AW52" s="516"/>
      <c r="AX52" s="516"/>
      <c r="AY52" s="516"/>
      <c r="AZ52" s="516"/>
      <c r="BA52" s="516"/>
      <c r="BB52" s="516"/>
      <c r="BC52" s="516"/>
      <c r="BD52" s="516"/>
      <c r="BE52" s="516"/>
      <c r="BF52" s="516"/>
      <c r="BG52" s="516"/>
      <c r="BH52" s="516"/>
      <c r="BI52" s="516"/>
      <c r="BJ52" s="516"/>
      <c r="BK52" s="516"/>
      <c r="BL52" s="516"/>
      <c r="BM52" s="516"/>
      <c r="BN52" s="516"/>
      <c r="BO52" s="516"/>
      <c r="BP52" s="516"/>
      <c r="BQ52" s="516"/>
      <c r="BR52" s="516"/>
      <c r="BS52" s="516"/>
      <c r="BT52" s="516"/>
      <c r="BU52" s="516"/>
      <c r="BV52" s="516"/>
      <c r="BW52" s="516"/>
      <c r="BX52" s="516"/>
      <c r="BY52" s="516"/>
      <c r="BZ52" s="516"/>
      <c r="CA52" s="516"/>
      <c r="CB52" s="516"/>
      <c r="CC52" s="516"/>
      <c r="CD52" s="516"/>
      <c r="CE52" s="516"/>
      <c r="CF52" s="516"/>
    </row>
    <row r="53" spans="1:84">
      <c r="A53" s="528"/>
      <c r="B53" s="529"/>
      <c r="C53" s="530"/>
      <c r="D53" s="531"/>
      <c r="E53" s="531"/>
      <c r="F53" s="532"/>
      <c r="G53" s="533"/>
      <c r="H53" s="534"/>
      <c r="I53" s="534"/>
      <c r="J53" s="535"/>
      <c r="K53" s="533"/>
      <c r="L53" s="536"/>
      <c r="M53" s="514"/>
      <c r="N53" s="515"/>
      <c r="O53" s="517"/>
      <c r="P53" s="536"/>
      <c r="Q53" s="514"/>
      <c r="R53" s="515"/>
      <c r="S53" s="517"/>
      <c r="T53" s="536"/>
      <c r="U53" s="514"/>
      <c r="V53" s="515"/>
      <c r="W53" s="517"/>
      <c r="X53" s="516"/>
      <c r="Y53" s="516"/>
      <c r="Z53" s="516"/>
      <c r="AA53" s="516"/>
      <c r="AB53" s="516"/>
      <c r="AC53" s="516"/>
      <c r="AD53" s="516"/>
      <c r="AE53" s="516"/>
      <c r="AF53" s="516"/>
      <c r="AG53" s="516"/>
      <c r="AH53" s="516"/>
      <c r="AI53" s="516"/>
      <c r="AJ53" s="516"/>
      <c r="AK53" s="516"/>
      <c r="AL53" s="516"/>
      <c r="AM53" s="516"/>
      <c r="AN53" s="516"/>
      <c r="AO53" s="516"/>
      <c r="AP53" s="516"/>
      <c r="AQ53" s="516"/>
      <c r="AR53" s="516"/>
      <c r="AS53" s="516"/>
      <c r="AT53" s="516"/>
      <c r="AU53" s="516"/>
      <c r="AV53" s="516"/>
      <c r="AW53" s="516"/>
      <c r="AX53" s="516"/>
      <c r="AY53" s="516"/>
      <c r="AZ53" s="516"/>
      <c r="BA53" s="516"/>
      <c r="BB53" s="516"/>
      <c r="BC53" s="516"/>
      <c r="BD53" s="516"/>
      <c r="BE53" s="516"/>
      <c r="BF53" s="516"/>
      <c r="BG53" s="516"/>
      <c r="BH53" s="516"/>
      <c r="BI53" s="516"/>
      <c r="BJ53" s="516"/>
      <c r="BK53" s="516"/>
      <c r="BL53" s="516"/>
      <c r="BM53" s="516"/>
      <c r="BN53" s="516"/>
      <c r="BO53" s="516"/>
      <c r="BP53" s="516"/>
      <c r="BQ53" s="516"/>
      <c r="BR53" s="516"/>
      <c r="BS53" s="516"/>
      <c r="BT53" s="516"/>
      <c r="BU53" s="516"/>
      <c r="BV53" s="516"/>
      <c r="BW53" s="516"/>
      <c r="BX53" s="516"/>
      <c r="BY53" s="516"/>
      <c r="BZ53" s="516"/>
      <c r="CA53" s="516"/>
      <c r="CB53" s="516"/>
      <c r="CC53" s="516"/>
      <c r="CD53" s="516"/>
      <c r="CE53" s="516"/>
      <c r="CF53" s="516"/>
    </row>
    <row r="54" spans="1:84">
      <c r="A54" s="528"/>
      <c r="B54" s="529"/>
      <c r="C54" s="530"/>
      <c r="D54" s="531"/>
      <c r="E54" s="531"/>
      <c r="F54" s="532"/>
      <c r="G54" s="533"/>
      <c r="H54" s="534"/>
      <c r="I54" s="534"/>
      <c r="J54" s="535"/>
      <c r="K54" s="533"/>
      <c r="L54" s="536"/>
      <c r="M54" s="514"/>
      <c r="N54" s="515"/>
      <c r="O54" s="517"/>
      <c r="P54" s="536"/>
      <c r="Q54" s="514"/>
      <c r="R54" s="515"/>
      <c r="S54" s="517"/>
      <c r="T54" s="536"/>
      <c r="U54" s="514"/>
      <c r="V54" s="515"/>
      <c r="W54" s="517"/>
      <c r="X54" s="516"/>
      <c r="Y54" s="516"/>
      <c r="Z54" s="516"/>
      <c r="AA54" s="516"/>
      <c r="AB54" s="516"/>
      <c r="AC54" s="516"/>
      <c r="AD54" s="516"/>
      <c r="AE54" s="516"/>
      <c r="AF54" s="516"/>
      <c r="AG54" s="516"/>
      <c r="AH54" s="516"/>
      <c r="AI54" s="516"/>
      <c r="AJ54" s="516"/>
      <c r="AK54" s="516"/>
      <c r="AL54" s="516"/>
      <c r="AM54" s="516"/>
      <c r="AN54" s="516"/>
      <c r="AO54" s="516"/>
      <c r="AP54" s="516"/>
      <c r="AQ54" s="516"/>
      <c r="AR54" s="516"/>
      <c r="AS54" s="516"/>
      <c r="AT54" s="516"/>
      <c r="AU54" s="516"/>
      <c r="AV54" s="516"/>
      <c r="AW54" s="516"/>
      <c r="AX54" s="516"/>
      <c r="AY54" s="516"/>
      <c r="AZ54" s="516"/>
      <c r="BA54" s="516"/>
      <c r="BB54" s="516"/>
      <c r="BC54" s="516"/>
      <c r="BD54" s="516"/>
      <c r="BE54" s="516"/>
      <c r="BF54" s="516"/>
      <c r="BG54" s="516"/>
      <c r="BH54" s="516"/>
      <c r="BI54" s="516"/>
      <c r="BJ54" s="516"/>
      <c r="BK54" s="516"/>
      <c r="BL54" s="516"/>
      <c r="BM54" s="516"/>
      <c r="BN54" s="516"/>
      <c r="BO54" s="516"/>
      <c r="BP54" s="516"/>
      <c r="BQ54" s="516"/>
      <c r="BR54" s="516"/>
      <c r="BS54" s="516"/>
      <c r="BT54" s="516"/>
      <c r="BU54" s="516"/>
      <c r="BV54" s="516"/>
      <c r="BW54" s="516"/>
      <c r="BX54" s="516"/>
      <c r="BY54" s="516"/>
      <c r="BZ54" s="516"/>
      <c r="CA54" s="516"/>
      <c r="CB54" s="516"/>
      <c r="CC54" s="516"/>
      <c r="CD54" s="516"/>
      <c r="CE54" s="516"/>
      <c r="CF54" s="516"/>
    </row>
    <row r="55" spans="1:84">
      <c r="A55" s="528"/>
      <c r="B55" s="529"/>
      <c r="C55" s="530"/>
      <c r="D55" s="531"/>
      <c r="E55" s="531"/>
      <c r="F55" s="532"/>
      <c r="G55" s="533"/>
      <c r="H55" s="534"/>
      <c r="I55" s="534"/>
      <c r="J55" s="535"/>
      <c r="K55" s="533"/>
      <c r="L55" s="536"/>
      <c r="M55" s="514"/>
      <c r="N55" s="515"/>
      <c r="O55" s="517"/>
      <c r="P55" s="536"/>
      <c r="Q55" s="514"/>
      <c r="R55" s="515"/>
      <c r="S55" s="517"/>
      <c r="T55" s="536"/>
      <c r="U55" s="514"/>
      <c r="V55" s="515"/>
      <c r="W55" s="517"/>
      <c r="X55" s="516"/>
      <c r="Y55" s="516"/>
      <c r="Z55" s="516"/>
      <c r="AA55" s="516"/>
      <c r="AB55" s="516"/>
      <c r="AC55" s="516"/>
      <c r="AD55" s="516"/>
      <c r="AE55" s="516"/>
      <c r="AF55" s="516"/>
      <c r="AG55" s="516"/>
      <c r="AH55" s="516"/>
      <c r="AI55" s="516"/>
      <c r="AJ55" s="516"/>
      <c r="AK55" s="516"/>
      <c r="AL55" s="516"/>
      <c r="AM55" s="516"/>
      <c r="AN55" s="516"/>
      <c r="AO55" s="516"/>
      <c r="AP55" s="516"/>
      <c r="AQ55" s="516"/>
      <c r="AR55" s="516"/>
      <c r="AS55" s="516"/>
      <c r="AT55" s="516"/>
      <c r="AU55" s="516"/>
      <c r="AV55" s="516"/>
      <c r="AW55" s="516"/>
      <c r="AX55" s="516"/>
      <c r="AY55" s="516"/>
      <c r="AZ55" s="516"/>
      <c r="BA55" s="516"/>
      <c r="BB55" s="516"/>
      <c r="BC55" s="516"/>
      <c r="BD55" s="516"/>
      <c r="BE55" s="516"/>
      <c r="BF55" s="516"/>
      <c r="BG55" s="516"/>
      <c r="BH55" s="516"/>
      <c r="BI55" s="516"/>
      <c r="BJ55" s="516"/>
      <c r="BK55" s="516"/>
      <c r="BL55" s="516"/>
      <c r="BM55" s="516"/>
      <c r="BN55" s="516"/>
      <c r="BO55" s="516"/>
      <c r="BP55" s="516"/>
      <c r="BQ55" s="516"/>
      <c r="BR55" s="516"/>
      <c r="BS55" s="516"/>
      <c r="BT55" s="516"/>
      <c r="BU55" s="516"/>
      <c r="BV55" s="516"/>
      <c r="BW55" s="516"/>
      <c r="BX55" s="516"/>
      <c r="BY55" s="516"/>
      <c r="BZ55" s="516"/>
      <c r="CA55" s="516"/>
      <c r="CB55" s="516"/>
      <c r="CC55" s="516"/>
      <c r="CD55" s="516"/>
      <c r="CE55" s="516"/>
      <c r="CF55" s="516"/>
    </row>
    <row r="56" spans="1:84">
      <c r="A56" s="528"/>
      <c r="B56" s="529"/>
      <c r="C56" s="530"/>
      <c r="D56" s="531"/>
      <c r="E56" s="531"/>
      <c r="F56" s="532"/>
      <c r="G56" s="533"/>
      <c r="H56" s="534"/>
      <c r="I56" s="534"/>
      <c r="J56" s="535"/>
      <c r="K56" s="533"/>
      <c r="L56" s="536"/>
      <c r="M56" s="514"/>
      <c r="N56" s="515"/>
      <c r="O56" s="517"/>
      <c r="P56" s="536"/>
      <c r="Q56" s="514"/>
      <c r="R56" s="515"/>
      <c r="S56" s="517"/>
      <c r="T56" s="536"/>
      <c r="U56" s="514"/>
      <c r="V56" s="515"/>
      <c r="W56" s="517"/>
      <c r="X56" s="516"/>
      <c r="Y56" s="516"/>
      <c r="Z56" s="516"/>
      <c r="AA56" s="516"/>
      <c r="AB56" s="516"/>
      <c r="AC56" s="516"/>
      <c r="AD56" s="516"/>
      <c r="AE56" s="516"/>
      <c r="AF56" s="516"/>
      <c r="AG56" s="516"/>
      <c r="AH56" s="516"/>
      <c r="AI56" s="516"/>
      <c r="AJ56" s="516"/>
      <c r="AK56" s="516"/>
      <c r="AL56" s="516"/>
      <c r="AM56" s="516"/>
      <c r="AN56" s="516"/>
      <c r="AO56" s="516"/>
      <c r="AP56" s="516"/>
      <c r="AQ56" s="516"/>
      <c r="AR56" s="516"/>
      <c r="AS56" s="516"/>
      <c r="AT56" s="516"/>
      <c r="AU56" s="516"/>
      <c r="AV56" s="516"/>
      <c r="AW56" s="516"/>
      <c r="AX56" s="516"/>
      <c r="AY56" s="516"/>
      <c r="AZ56" s="516"/>
      <c r="BA56" s="516"/>
      <c r="BB56" s="516"/>
      <c r="BC56" s="516"/>
      <c r="BD56" s="516"/>
      <c r="BE56" s="516"/>
      <c r="BF56" s="516"/>
      <c r="BG56" s="516"/>
      <c r="BH56" s="516"/>
      <c r="BI56" s="516"/>
      <c r="BJ56" s="516"/>
      <c r="BK56" s="516"/>
      <c r="BL56" s="516"/>
      <c r="BM56" s="516"/>
      <c r="BN56" s="516"/>
      <c r="BO56" s="516"/>
      <c r="BP56" s="516"/>
      <c r="BQ56" s="516"/>
      <c r="BR56" s="516"/>
      <c r="BS56" s="516"/>
      <c r="BT56" s="516"/>
      <c r="BU56" s="516"/>
      <c r="BV56" s="516"/>
      <c r="BW56" s="516"/>
      <c r="BX56" s="516"/>
      <c r="BY56" s="516"/>
      <c r="BZ56" s="516"/>
      <c r="CA56" s="516"/>
      <c r="CB56" s="516"/>
      <c r="CC56" s="516"/>
      <c r="CD56" s="516"/>
      <c r="CE56" s="516"/>
      <c r="CF56" s="516"/>
    </row>
    <row r="57" spans="1:84">
      <c r="A57" s="537"/>
      <c r="B57" s="538"/>
      <c r="C57" s="539"/>
      <c r="D57" s="537"/>
      <c r="E57" s="537"/>
      <c r="F57" s="537"/>
      <c r="G57" s="537"/>
      <c r="H57" s="537"/>
      <c r="I57" s="537"/>
      <c r="J57" s="537"/>
      <c r="K57" s="537"/>
      <c r="L57" s="537"/>
      <c r="M57" s="540"/>
      <c r="N57" s="540"/>
      <c r="O57" s="540"/>
      <c r="P57" s="537"/>
      <c r="Q57" s="540"/>
      <c r="R57" s="540"/>
      <c r="S57" s="540"/>
      <c r="T57" s="537"/>
      <c r="U57" s="540"/>
      <c r="V57" s="540"/>
      <c r="W57" s="540"/>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6"/>
      <c r="AY57" s="516"/>
      <c r="AZ57" s="516"/>
      <c r="BA57" s="516"/>
      <c r="BB57" s="516"/>
      <c r="BC57" s="516"/>
      <c r="BD57" s="516"/>
      <c r="BE57" s="516"/>
      <c r="BF57" s="516"/>
      <c r="BG57" s="516"/>
      <c r="BH57" s="516"/>
      <c r="BI57" s="516"/>
      <c r="BJ57" s="516"/>
      <c r="BK57" s="516"/>
      <c r="BL57" s="516"/>
      <c r="BM57" s="516"/>
      <c r="BN57" s="516"/>
      <c r="BO57" s="516"/>
      <c r="BP57" s="516"/>
      <c r="BQ57" s="516"/>
      <c r="BR57" s="516"/>
      <c r="BS57" s="516"/>
      <c r="BT57" s="516"/>
      <c r="BU57" s="516"/>
      <c r="BV57" s="516"/>
      <c r="BW57" s="516"/>
      <c r="BX57" s="516"/>
      <c r="BY57" s="516"/>
      <c r="BZ57" s="516"/>
      <c r="CA57" s="516"/>
      <c r="CB57" s="516"/>
      <c r="CC57" s="516"/>
      <c r="CD57" s="516"/>
      <c r="CE57" s="516"/>
      <c r="CF57" s="516"/>
    </row>
  </sheetData>
  <dataConsolidate/>
  <conditionalFormatting sqref="L1 P1 T1">
    <cfRule type="cellIs" dxfId="12" priority="29" stopIfTrue="1" operator="equal">
      <formula>$F10</formula>
    </cfRule>
  </conditionalFormatting>
  <conditionalFormatting sqref="B11:B12 B14:B41 B7:B9 B43:B56">
    <cfRule type="cellIs" dxfId="11" priority="30" stopIfTrue="1" operator="notEqual">
      <formula>""</formula>
    </cfRule>
  </conditionalFormatting>
  <conditionalFormatting sqref="B10">
    <cfRule type="cellIs" dxfId="10" priority="19" stopIfTrue="1" operator="notEqual">
      <formula>""</formula>
    </cfRule>
  </conditionalFormatting>
  <dataValidations xWindow="775" yWindow="897" count="3">
    <dataValidation allowBlank="1" showInputMessage="1" showErrorMessage="1" promptTitle="Input Group" prompt="Indicates the kind of input flow. Within the ecoinvent quality network, only 4 and 5 are actively used (any material, fuel, electricity, heat or service is classified as an input from technosphere)._x000a__x000a_4=FromNature_x000a_5=FromTechnosphere_x000a_- = an Output-Flow" sqref="D10:D45"/>
    <dataValidation allowBlank="1" showInputMessage="1" showErrorMessage="1" promptTitle="Output Group" prompt="Indicates the kind of output flow. The options 0, 2, and 4 are actively used in the ecoinvent quality network. The codes are: 0=ReferenceProduct_x000a_2=Allocated by product_x000a_4=ToNature_x000a_- = The flow is an Input-Flow_x000a__x000a_" sqref="E10:E45"/>
    <dataValidation allowBlank="1" showInputMessage="1" showErrorMessage="1" prompt="Do not enter anything into these fields. _x000a__x000a_Entering the Index-Number in column A will update these fields accordingly (maybe you need to press &quot;F9&quot; to have Excel recalculate the fields). Be sure to have the names-list open._x000a_" sqref="F10:K12 F14:K45"/>
  </dataValidations>
  <printOptions headings="1"/>
  <pageMargins left="0" right="0" top="0.59055118110236227" bottom="0.59055118110236227" header="0.51181102362204722" footer="0.51181102362204722"/>
  <pageSetup paperSize="9" scale="71" orientation="landscape" r:id="rId1"/>
  <headerFooter alignWithMargins="0">
    <oddFooter>Seite &amp;P&amp;R&amp;F</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V61"/>
  <sheetViews>
    <sheetView zoomScale="75" workbookViewId="0">
      <pane xSplit="12" ySplit="6" topLeftCell="M7" activePane="bottomRight" state="frozen"/>
      <selection activeCell="O46" sqref="O46"/>
      <selection pane="topRight" activeCell="O46" sqref="O46"/>
      <selection pane="bottomLeft" activeCell="O46" sqref="O46"/>
      <selection pane="bottomRight" activeCell="O46" sqref="O46"/>
    </sheetView>
  </sheetViews>
  <sheetFormatPr defaultColWidth="11.42578125" defaultRowHeight="12" outlineLevelCol="1"/>
  <cols>
    <col min="1" max="1" width="6" style="7" customWidth="1" outlineLevel="1"/>
    <col min="2" max="2" width="13.28515625" style="158" customWidth="1"/>
    <col min="3" max="3" width="3.7109375" style="159" hidden="1" customWidth="1"/>
    <col min="4" max="4" width="3.140625" style="7" hidden="1" customWidth="1"/>
    <col min="5" max="5" width="6.28515625" style="7" hidden="1" customWidth="1"/>
    <col min="6" max="6" width="33.85546875" style="8" customWidth="1"/>
    <col min="7" max="7" width="6" style="7" customWidth="1"/>
    <col min="8" max="8" width="5.7109375" style="7" hidden="1" customWidth="1" outlineLevel="1"/>
    <col min="9" max="9" width="19.42578125" style="7" hidden="1" customWidth="1" outlineLevel="1"/>
    <col min="10" max="10" width="3.28515625" style="7" customWidth="1" collapsed="1"/>
    <col min="11" max="11" width="5.140625" style="7" customWidth="1"/>
    <col min="12" max="12" width="11.42578125" style="7"/>
    <col min="13" max="13" width="2.42578125" style="140" hidden="1" customWidth="1" outlineLevel="1"/>
    <col min="14" max="14" width="4.28515625" style="140" hidden="1" customWidth="1" outlineLevel="1"/>
    <col min="15" max="15" width="37.85546875" style="140" hidden="1" customWidth="1" outlineLevel="1"/>
    <col min="16" max="16" width="11.42578125" style="7" collapsed="1"/>
    <col min="17" max="17" width="2.42578125" style="140" customWidth="1" outlineLevel="1"/>
    <col min="18" max="18" width="4.28515625" style="140" customWidth="1" outlineLevel="1"/>
    <col min="19" max="19" width="37.85546875" style="140" customWidth="1" outlineLevel="1"/>
    <col min="20" max="20" width="11.42578125" style="7"/>
    <col min="23" max="16384" width="11.42578125" style="7"/>
  </cols>
  <sheetData>
    <row r="1" spans="1:22">
      <c r="A1" s="36"/>
      <c r="B1" s="34"/>
      <c r="C1" s="35"/>
      <c r="D1" s="36"/>
      <c r="E1" s="36"/>
      <c r="F1" s="37" t="s">
        <v>510</v>
      </c>
      <c r="G1" s="36"/>
      <c r="H1" s="36"/>
      <c r="I1" s="36"/>
      <c r="J1" s="36"/>
      <c r="K1" s="36"/>
      <c r="L1" s="122">
        <v>32075</v>
      </c>
      <c r="M1" s="22"/>
      <c r="N1" s="22"/>
      <c r="O1" s="22"/>
      <c r="P1" s="122" t="s">
        <v>1080</v>
      </c>
      <c r="Q1" s="22"/>
      <c r="R1" s="22"/>
      <c r="S1" s="22"/>
      <c r="U1" s="7"/>
      <c r="V1" s="7"/>
    </row>
    <row r="2" spans="1:22">
      <c r="A2" s="36"/>
      <c r="B2" s="147"/>
      <c r="C2" s="35" t="s">
        <v>511</v>
      </c>
      <c r="D2" s="147">
        <v>3503</v>
      </c>
      <c r="E2" s="147">
        <v>3504</v>
      </c>
      <c r="F2" s="147">
        <v>3702</v>
      </c>
      <c r="G2" s="147">
        <v>3703</v>
      </c>
      <c r="H2" s="147">
        <v>3506</v>
      </c>
      <c r="I2" s="147">
        <v>3507</v>
      </c>
      <c r="J2" s="147">
        <v>3508</v>
      </c>
      <c r="K2" s="147">
        <v>3706</v>
      </c>
      <c r="L2" s="147">
        <v>3707</v>
      </c>
      <c r="M2" s="23">
        <v>3708</v>
      </c>
      <c r="N2" s="23">
        <v>3709</v>
      </c>
      <c r="O2" s="134">
        <v>3792</v>
      </c>
      <c r="P2" s="147">
        <v>3707</v>
      </c>
      <c r="Q2" s="23">
        <v>3708</v>
      </c>
      <c r="R2" s="23">
        <v>3709</v>
      </c>
      <c r="S2" s="134">
        <v>3792</v>
      </c>
      <c r="U2" s="7"/>
      <c r="V2" s="7"/>
    </row>
    <row r="3" spans="1:22" ht="60" customHeight="1">
      <c r="A3" s="36" t="s">
        <v>398</v>
      </c>
      <c r="B3" s="166"/>
      <c r="C3" s="35">
        <v>401</v>
      </c>
      <c r="D3" s="167" t="s">
        <v>514</v>
      </c>
      <c r="E3" s="167" t="s">
        <v>515</v>
      </c>
      <c r="F3" s="132" t="s">
        <v>516</v>
      </c>
      <c r="G3" s="41" t="s">
        <v>517</v>
      </c>
      <c r="H3" s="41" t="s">
        <v>518</v>
      </c>
      <c r="I3" s="41" t="s">
        <v>519</v>
      </c>
      <c r="J3" s="41" t="s">
        <v>520</v>
      </c>
      <c r="K3" s="41" t="s">
        <v>394</v>
      </c>
      <c r="L3" s="177" t="s">
        <v>79</v>
      </c>
      <c r="M3" s="25" t="s">
        <v>265</v>
      </c>
      <c r="N3" s="25" t="s">
        <v>266</v>
      </c>
      <c r="O3" s="136" t="s">
        <v>548</v>
      </c>
      <c r="P3" s="177" t="s">
        <v>1410</v>
      </c>
      <c r="Q3" s="25" t="s">
        <v>265</v>
      </c>
      <c r="R3" s="25" t="s">
        <v>266</v>
      </c>
      <c r="S3" s="136" t="s">
        <v>548</v>
      </c>
      <c r="U3" s="7"/>
      <c r="V3" s="7"/>
    </row>
    <row r="4" spans="1:22" ht="12" customHeight="1">
      <c r="A4" s="36"/>
      <c r="B4" s="166"/>
      <c r="C4" s="35">
        <v>662</v>
      </c>
      <c r="D4" s="13"/>
      <c r="E4" s="13"/>
      <c r="F4" s="132" t="s">
        <v>517</v>
      </c>
      <c r="G4" s="132"/>
      <c r="H4" s="132"/>
      <c r="I4" s="132"/>
      <c r="J4" s="132"/>
      <c r="K4" s="132"/>
      <c r="L4" s="177" t="s">
        <v>521</v>
      </c>
      <c r="M4" s="27"/>
      <c r="N4" s="27"/>
      <c r="O4" s="201"/>
      <c r="P4" s="177" t="s">
        <v>521</v>
      </c>
      <c r="Q4" s="27"/>
      <c r="R4" s="27"/>
      <c r="S4" s="201"/>
      <c r="U4" s="7"/>
      <c r="V4" s="7"/>
    </row>
    <row r="5" spans="1:22">
      <c r="A5" s="36"/>
      <c r="B5" s="166"/>
      <c r="C5" s="35">
        <v>493</v>
      </c>
      <c r="D5" s="13"/>
      <c r="E5" s="13"/>
      <c r="F5" s="132" t="s">
        <v>520</v>
      </c>
      <c r="G5" s="132"/>
      <c r="H5" s="132"/>
      <c r="I5" s="132"/>
      <c r="J5" s="132"/>
      <c r="K5" s="132"/>
      <c r="L5" s="177">
        <v>1</v>
      </c>
      <c r="M5" s="27"/>
      <c r="N5" s="27"/>
      <c r="O5" s="201"/>
      <c r="P5" s="177">
        <v>1</v>
      </c>
      <c r="Q5" s="27"/>
      <c r="R5" s="27"/>
      <c r="S5" s="201"/>
      <c r="U5" s="7"/>
      <c r="V5" s="7"/>
    </row>
    <row r="6" spans="1:22">
      <c r="A6" s="36"/>
      <c r="B6" s="166"/>
      <c r="C6" s="35">
        <v>403</v>
      </c>
      <c r="D6" s="13"/>
      <c r="E6" s="13"/>
      <c r="F6" s="132" t="s">
        <v>394</v>
      </c>
      <c r="G6" s="352"/>
      <c r="H6" s="132"/>
      <c r="I6" s="132"/>
      <c r="J6" s="132"/>
      <c r="K6" s="132"/>
      <c r="L6" s="177" t="s">
        <v>396</v>
      </c>
      <c r="M6" s="27"/>
      <c r="N6" s="27"/>
      <c r="O6" s="201"/>
      <c r="P6" s="177" t="s">
        <v>396</v>
      </c>
      <c r="Q6" s="27"/>
      <c r="R6" s="27"/>
      <c r="S6" s="201"/>
      <c r="U6" s="7"/>
      <c r="V6" s="7"/>
    </row>
    <row r="7" spans="1:22" ht="24">
      <c r="A7" s="120">
        <v>32075</v>
      </c>
      <c r="B7" s="146"/>
      <c r="C7" s="169"/>
      <c r="D7" s="11" t="s">
        <v>402</v>
      </c>
      <c r="E7" s="170">
        <v>0</v>
      </c>
      <c r="F7" s="145" t="s">
        <v>79</v>
      </c>
      <c r="G7" s="16" t="s">
        <v>521</v>
      </c>
      <c r="H7" s="14" t="s">
        <v>402</v>
      </c>
      <c r="I7" s="14" t="s">
        <v>402</v>
      </c>
      <c r="J7" s="15">
        <v>1</v>
      </c>
      <c r="K7" s="16" t="s">
        <v>396</v>
      </c>
      <c r="L7" s="149">
        <v>1</v>
      </c>
      <c r="M7" s="29"/>
      <c r="N7" s="1"/>
      <c r="O7" s="139"/>
      <c r="P7" s="149">
        <v>0</v>
      </c>
      <c r="Q7" s="29"/>
      <c r="R7" s="1"/>
      <c r="S7" s="139"/>
      <c r="U7" s="7"/>
      <c r="V7" s="7"/>
    </row>
    <row r="8" spans="1:22" ht="24">
      <c r="A8" s="120" t="s">
        <v>1080</v>
      </c>
      <c r="B8" s="146"/>
      <c r="C8" s="169"/>
      <c r="D8" s="11" t="s">
        <v>402</v>
      </c>
      <c r="E8" s="170">
        <v>0</v>
      </c>
      <c r="F8" s="145" t="s">
        <v>1410</v>
      </c>
      <c r="G8" s="16" t="s">
        <v>521</v>
      </c>
      <c r="H8" s="14" t="s">
        <v>402</v>
      </c>
      <c r="I8" s="14" t="s">
        <v>402</v>
      </c>
      <c r="J8" s="15">
        <v>1</v>
      </c>
      <c r="K8" s="16" t="s">
        <v>396</v>
      </c>
      <c r="L8" s="149">
        <v>0</v>
      </c>
      <c r="M8" s="29"/>
      <c r="N8" s="1"/>
      <c r="O8" s="139"/>
      <c r="P8" s="149">
        <v>1</v>
      </c>
      <c r="Q8" s="29"/>
      <c r="R8" s="1"/>
      <c r="S8" s="139"/>
      <c r="U8" s="7"/>
      <c r="V8" s="7"/>
    </row>
    <row r="9" spans="1:22" ht="12.75">
      <c r="A9" s="120">
        <v>32073</v>
      </c>
      <c r="B9" s="37" t="s">
        <v>658</v>
      </c>
      <c r="C9" s="151" t="s">
        <v>525</v>
      </c>
      <c r="D9" s="152" t="s">
        <v>526</v>
      </c>
      <c r="E9" s="153" t="s">
        <v>402</v>
      </c>
      <c r="F9" s="144" t="s">
        <v>793</v>
      </c>
      <c r="G9" s="125" t="s">
        <v>465</v>
      </c>
      <c r="H9" s="154" t="s">
        <v>402</v>
      </c>
      <c r="I9" s="123" t="s">
        <v>402</v>
      </c>
      <c r="J9" s="124">
        <v>1</v>
      </c>
      <c r="K9" s="125" t="s">
        <v>396</v>
      </c>
      <c r="L9" s="155">
        <v>0.12157339471624924</v>
      </c>
      <c r="M9" s="29">
        <v>1</v>
      </c>
      <c r="N9" s="1">
        <v>3.0280682133013928</v>
      </c>
      <c r="O9" s="31" t="s">
        <v>1411</v>
      </c>
      <c r="P9" s="155">
        <v>1</v>
      </c>
      <c r="Q9" s="29">
        <v>1</v>
      </c>
      <c r="R9" s="1">
        <v>3.0280682133013928</v>
      </c>
      <c r="S9" s="31" t="s">
        <v>1411</v>
      </c>
      <c r="U9" s="7"/>
      <c r="V9" s="7"/>
    </row>
    <row r="10" spans="1:22" ht="24">
      <c r="A10" s="120">
        <v>32074</v>
      </c>
      <c r="B10" s="37"/>
      <c r="C10" s="151" t="s">
        <v>525</v>
      </c>
      <c r="D10" s="152" t="s">
        <v>526</v>
      </c>
      <c r="E10" s="153" t="s">
        <v>402</v>
      </c>
      <c r="F10" s="144" t="s">
        <v>793</v>
      </c>
      <c r="G10" s="125" t="s">
        <v>268</v>
      </c>
      <c r="H10" s="154" t="s">
        <v>402</v>
      </c>
      <c r="I10" s="123" t="s">
        <v>402</v>
      </c>
      <c r="J10" s="124">
        <v>1</v>
      </c>
      <c r="K10" s="125" t="s">
        <v>396</v>
      </c>
      <c r="L10" s="155">
        <v>0.22451661376991361</v>
      </c>
      <c r="M10" s="29">
        <v>1</v>
      </c>
      <c r="N10" s="1">
        <v>3.0280682133013928</v>
      </c>
      <c r="O10" s="31" t="s">
        <v>1412</v>
      </c>
      <c r="P10" s="155">
        <v>0</v>
      </c>
      <c r="Q10" s="29">
        <v>1</v>
      </c>
      <c r="R10" s="1">
        <v>3.0280682133013928</v>
      </c>
      <c r="S10" s="31" t="s">
        <v>1412</v>
      </c>
      <c r="U10" s="7"/>
      <c r="V10" s="7"/>
    </row>
    <row r="11" spans="1:22" ht="24">
      <c r="A11" s="472" t="s">
        <v>773</v>
      </c>
      <c r="B11" s="37"/>
      <c r="C11" s="151" t="s">
        <v>525</v>
      </c>
      <c r="D11" s="152" t="s">
        <v>526</v>
      </c>
      <c r="E11" s="153" t="s">
        <v>402</v>
      </c>
      <c r="F11" s="144" t="s">
        <v>793</v>
      </c>
      <c r="G11" s="125" t="s">
        <v>789</v>
      </c>
      <c r="H11" s="154" t="s">
        <v>402</v>
      </c>
      <c r="I11" s="123" t="s">
        <v>402</v>
      </c>
      <c r="J11" s="124">
        <v>1</v>
      </c>
      <c r="K11" s="125" t="s">
        <v>396</v>
      </c>
      <c r="L11" s="155">
        <v>0.65390999151383711</v>
      </c>
      <c r="M11" s="29">
        <v>1</v>
      </c>
      <c r="N11" s="1">
        <v>3.0280682133013928</v>
      </c>
      <c r="O11" s="31" t="s">
        <v>1413</v>
      </c>
      <c r="P11" s="155">
        <v>0</v>
      </c>
      <c r="Q11" s="29">
        <v>1</v>
      </c>
      <c r="R11" s="1">
        <v>3.0280682133013928</v>
      </c>
      <c r="S11" s="31" t="s">
        <v>1413</v>
      </c>
      <c r="U11" s="7"/>
      <c r="V11" s="7"/>
    </row>
    <row r="12" spans="1:22" ht="24">
      <c r="A12" s="2">
        <v>1824</v>
      </c>
      <c r="B12" s="37" t="s">
        <v>152</v>
      </c>
      <c r="C12" s="151" t="s">
        <v>525</v>
      </c>
      <c r="D12" s="152" t="s">
        <v>526</v>
      </c>
      <c r="E12" s="153" t="s">
        <v>402</v>
      </c>
      <c r="F12" s="144" t="s">
        <v>85</v>
      </c>
      <c r="G12" s="125" t="s">
        <v>86</v>
      </c>
      <c r="H12" s="154" t="s">
        <v>402</v>
      </c>
      <c r="I12" s="123" t="s">
        <v>402</v>
      </c>
      <c r="J12" s="124">
        <v>0</v>
      </c>
      <c r="K12" s="125" t="s">
        <v>397</v>
      </c>
      <c r="L12" s="415">
        <v>183.37021492234663</v>
      </c>
      <c r="M12" s="29">
        <v>1</v>
      </c>
      <c r="N12" s="1">
        <v>2.0949941301068096</v>
      </c>
      <c r="O12" s="31" t="s">
        <v>1414</v>
      </c>
      <c r="P12" s="415">
        <v>114.94954920794802</v>
      </c>
      <c r="Q12" s="29">
        <v>1</v>
      </c>
      <c r="R12" s="1">
        <v>2.0949941301068096</v>
      </c>
      <c r="S12" s="31" t="s">
        <v>1414</v>
      </c>
      <c r="U12" s="7"/>
      <c r="V12" s="7"/>
    </row>
    <row r="13" spans="1:22" ht="12.75">
      <c r="A13" s="157">
        <v>1841</v>
      </c>
      <c r="B13" s="37"/>
      <c r="C13" s="151" t="s">
        <v>525</v>
      </c>
      <c r="D13" s="152" t="s">
        <v>526</v>
      </c>
      <c r="E13" s="153" t="s">
        <v>402</v>
      </c>
      <c r="F13" s="144" t="s">
        <v>62</v>
      </c>
      <c r="G13" s="125" t="s">
        <v>521</v>
      </c>
      <c r="H13" s="154" t="s">
        <v>402</v>
      </c>
      <c r="I13" s="123" t="s">
        <v>402</v>
      </c>
      <c r="J13" s="124">
        <v>0</v>
      </c>
      <c r="K13" s="125" t="s">
        <v>397</v>
      </c>
      <c r="L13" s="415">
        <v>3.5084002000000014</v>
      </c>
      <c r="M13" s="29">
        <v>1</v>
      </c>
      <c r="N13" s="1">
        <v>2.0949941301068096</v>
      </c>
      <c r="O13" s="31" t="s">
        <v>1071</v>
      </c>
      <c r="P13" s="415">
        <v>3.5538386000000002</v>
      </c>
      <c r="Q13" s="29">
        <v>1</v>
      </c>
      <c r="R13" s="1">
        <v>2.0949941301068096</v>
      </c>
      <c r="S13" s="31" t="s">
        <v>1071</v>
      </c>
      <c r="U13" s="7"/>
      <c r="V13" s="7"/>
    </row>
    <row r="14" spans="1:22" ht="12.75">
      <c r="A14" s="416">
        <v>2987</v>
      </c>
      <c r="B14" s="37"/>
      <c r="C14" s="151" t="s">
        <v>525</v>
      </c>
      <c r="D14" s="152" t="s">
        <v>526</v>
      </c>
      <c r="E14" s="153" t="s">
        <v>402</v>
      </c>
      <c r="F14" s="144" t="s">
        <v>59</v>
      </c>
      <c r="G14" s="125" t="s">
        <v>521</v>
      </c>
      <c r="H14" s="154" t="s">
        <v>402</v>
      </c>
      <c r="I14" s="123" t="s">
        <v>402</v>
      </c>
      <c r="J14" s="124">
        <v>0</v>
      </c>
      <c r="K14" s="125" t="s">
        <v>397</v>
      </c>
      <c r="L14" s="415">
        <v>0.87710005000000035</v>
      </c>
      <c r="M14" s="29">
        <v>1</v>
      </c>
      <c r="N14" s="1">
        <v>2.0949941301068096</v>
      </c>
      <c r="O14" s="31" t="s">
        <v>60</v>
      </c>
      <c r="P14" s="415">
        <v>0.88845965000000005</v>
      </c>
      <c r="Q14" s="29">
        <v>1</v>
      </c>
      <c r="R14" s="1">
        <v>2.0949941301068096</v>
      </c>
      <c r="S14" s="31" t="s">
        <v>60</v>
      </c>
      <c r="U14" s="7"/>
      <c r="V14" s="7"/>
    </row>
    <row r="15" spans="1:22">
      <c r="U15" s="7"/>
      <c r="V15" s="7"/>
    </row>
    <row r="16" spans="1:22">
      <c r="B16" s="7"/>
      <c r="C16" s="7"/>
      <c r="F16" s="7"/>
      <c r="M16" s="7"/>
      <c r="N16" s="7"/>
      <c r="O16" s="7"/>
      <c r="Q16" s="7"/>
      <c r="R16" s="7"/>
      <c r="S16" s="7"/>
      <c r="U16" s="7"/>
      <c r="V16" s="7"/>
    </row>
    <row r="17" spans="2:22">
      <c r="B17" s="7"/>
      <c r="C17" s="7"/>
      <c r="F17" s="7"/>
      <c r="M17" s="7"/>
      <c r="N17" s="7"/>
      <c r="O17" s="7"/>
      <c r="Q17" s="7"/>
      <c r="R17" s="7"/>
      <c r="S17" s="7"/>
      <c r="U17" s="7"/>
      <c r="V17" s="7"/>
    </row>
    <row r="18" spans="2:22">
      <c r="B18" s="7"/>
      <c r="C18" s="7"/>
      <c r="F18" s="7"/>
      <c r="M18" s="7"/>
      <c r="N18" s="7"/>
      <c r="O18" s="7"/>
      <c r="Q18" s="7"/>
      <c r="R18" s="7"/>
      <c r="S18" s="7"/>
      <c r="U18" s="7"/>
      <c r="V18" s="7"/>
    </row>
    <row r="19" spans="2:22">
      <c r="B19" s="7"/>
      <c r="C19" s="7"/>
      <c r="F19" s="7"/>
      <c r="M19" s="7"/>
      <c r="N19" s="7"/>
      <c r="O19" s="7"/>
      <c r="Q19" s="7"/>
      <c r="R19" s="7"/>
      <c r="S19" s="7"/>
      <c r="U19" s="7"/>
      <c r="V19" s="7"/>
    </row>
    <row r="20" spans="2:22">
      <c r="B20" s="7"/>
      <c r="C20" s="7"/>
      <c r="F20" s="7"/>
      <c r="M20" s="7"/>
      <c r="N20" s="7"/>
      <c r="O20" s="7"/>
      <c r="Q20" s="7"/>
      <c r="R20" s="7"/>
      <c r="S20" s="7"/>
      <c r="U20" s="7"/>
      <c r="V20" s="7"/>
    </row>
    <row r="21" spans="2:22">
      <c r="B21" s="7"/>
      <c r="C21" s="7"/>
      <c r="F21" s="7"/>
      <c r="M21" s="7"/>
      <c r="N21" s="7"/>
      <c r="O21" s="7"/>
      <c r="Q21" s="7"/>
      <c r="R21" s="7"/>
      <c r="S21" s="7"/>
      <c r="U21" s="7"/>
      <c r="V21" s="7"/>
    </row>
    <row r="22" spans="2:22">
      <c r="B22" s="7"/>
      <c r="C22" s="7"/>
      <c r="F22" s="7"/>
      <c r="M22" s="7"/>
      <c r="N22" s="7"/>
      <c r="O22" s="7"/>
      <c r="Q22" s="7"/>
      <c r="R22" s="7"/>
      <c r="S22" s="7"/>
      <c r="U22" s="7"/>
      <c r="V22" s="7"/>
    </row>
    <row r="23" spans="2:22">
      <c r="B23" s="7"/>
      <c r="C23" s="7"/>
      <c r="F23" s="7"/>
      <c r="M23" s="7"/>
      <c r="N23" s="7"/>
      <c r="O23" s="7"/>
      <c r="Q23" s="7"/>
      <c r="R23" s="7"/>
      <c r="S23" s="7"/>
      <c r="U23" s="7"/>
      <c r="V23" s="7"/>
    </row>
    <row r="24" spans="2:22">
      <c r="B24" s="7"/>
      <c r="C24" s="7"/>
      <c r="F24" s="7"/>
      <c r="M24" s="7"/>
      <c r="N24" s="7"/>
      <c r="O24" s="7"/>
      <c r="Q24" s="7"/>
      <c r="R24" s="7"/>
      <c r="S24" s="7"/>
      <c r="U24" s="7"/>
      <c r="V24" s="7"/>
    </row>
    <row r="25" spans="2:22">
      <c r="B25" s="7"/>
      <c r="C25" s="7"/>
      <c r="F25" s="7"/>
      <c r="M25" s="7"/>
      <c r="N25" s="7"/>
      <c r="O25" s="7"/>
      <c r="Q25" s="7"/>
      <c r="R25" s="7"/>
      <c r="S25" s="7"/>
      <c r="U25" s="7"/>
      <c r="V25" s="7"/>
    </row>
    <row r="26" spans="2:22">
      <c r="B26" s="7"/>
      <c r="C26" s="7"/>
      <c r="F26" s="7"/>
      <c r="M26" s="7"/>
      <c r="N26" s="7"/>
      <c r="O26" s="7"/>
      <c r="Q26" s="7"/>
      <c r="R26" s="7"/>
      <c r="S26" s="7"/>
      <c r="U26" s="7"/>
      <c r="V26" s="7"/>
    </row>
    <row r="27" spans="2:22">
      <c r="B27" s="7"/>
      <c r="C27" s="7"/>
      <c r="F27" s="7"/>
      <c r="M27" s="7"/>
      <c r="N27" s="7"/>
      <c r="O27" s="7"/>
      <c r="Q27" s="7"/>
      <c r="R27" s="7"/>
      <c r="S27" s="7"/>
      <c r="U27" s="7"/>
      <c r="V27" s="7"/>
    </row>
    <row r="28" spans="2:22">
      <c r="B28" s="7"/>
      <c r="C28" s="7"/>
      <c r="F28" s="7"/>
      <c r="M28" s="7"/>
      <c r="N28" s="7"/>
      <c r="O28" s="7"/>
      <c r="Q28" s="7"/>
      <c r="R28" s="7"/>
      <c r="S28" s="7"/>
      <c r="U28" s="7"/>
      <c r="V28" s="7"/>
    </row>
    <row r="29" spans="2:22">
      <c r="B29" s="7"/>
      <c r="C29" s="7"/>
      <c r="F29" s="7"/>
      <c r="M29" s="7"/>
      <c r="N29" s="7"/>
      <c r="O29" s="7"/>
      <c r="Q29" s="7"/>
      <c r="R29" s="7"/>
      <c r="S29" s="7"/>
      <c r="U29" s="7"/>
      <c r="V29" s="7"/>
    </row>
    <row r="30" spans="2:22">
      <c r="B30" s="7"/>
      <c r="C30" s="7"/>
      <c r="F30" s="7"/>
      <c r="M30" s="7"/>
      <c r="N30" s="7"/>
      <c r="O30" s="7"/>
      <c r="Q30" s="7"/>
      <c r="R30" s="7"/>
      <c r="S30" s="7"/>
      <c r="U30" s="7"/>
      <c r="V30" s="7"/>
    </row>
    <row r="31" spans="2:22">
      <c r="B31" s="7"/>
      <c r="C31" s="7"/>
      <c r="F31" s="7"/>
      <c r="M31" s="7"/>
      <c r="N31" s="7"/>
      <c r="O31" s="7"/>
      <c r="Q31" s="7"/>
      <c r="R31" s="7"/>
      <c r="S31" s="7"/>
      <c r="U31" s="7"/>
      <c r="V31" s="7"/>
    </row>
    <row r="32" spans="2:22">
      <c r="B32" s="7"/>
      <c r="C32" s="7"/>
      <c r="F32" s="7"/>
      <c r="M32" s="7"/>
      <c r="N32" s="7"/>
      <c r="O32" s="7"/>
      <c r="Q32" s="7"/>
      <c r="R32" s="7"/>
      <c r="S32" s="7"/>
      <c r="U32" s="7"/>
      <c r="V32" s="7"/>
    </row>
    <row r="33" spans="2:22">
      <c r="B33" s="7"/>
      <c r="C33" s="7"/>
      <c r="F33" s="7"/>
      <c r="M33" s="7"/>
      <c r="N33" s="7"/>
      <c r="O33" s="7"/>
      <c r="Q33" s="7"/>
      <c r="R33" s="7"/>
      <c r="S33" s="7"/>
      <c r="U33" s="7"/>
      <c r="V33" s="7"/>
    </row>
    <row r="34" spans="2:22">
      <c r="B34" s="7"/>
      <c r="C34" s="7"/>
      <c r="F34" s="7"/>
      <c r="M34" s="7"/>
      <c r="N34" s="7"/>
      <c r="O34" s="7"/>
      <c r="Q34" s="7"/>
      <c r="R34" s="7"/>
      <c r="S34" s="7"/>
      <c r="U34" s="7"/>
      <c r="V34" s="7"/>
    </row>
    <row r="35" spans="2:22">
      <c r="B35" s="7"/>
      <c r="C35" s="7"/>
      <c r="F35" s="7"/>
      <c r="M35" s="7"/>
      <c r="N35" s="7"/>
      <c r="O35" s="7"/>
      <c r="Q35" s="7"/>
      <c r="R35" s="7"/>
      <c r="S35" s="7"/>
      <c r="U35" s="7"/>
      <c r="V35" s="7"/>
    </row>
    <row r="36" spans="2:22">
      <c r="B36" s="7"/>
      <c r="C36" s="7"/>
      <c r="F36" s="7"/>
      <c r="M36" s="7"/>
      <c r="N36" s="7"/>
      <c r="O36" s="7"/>
      <c r="Q36" s="7"/>
      <c r="R36" s="7"/>
      <c r="S36" s="7"/>
      <c r="U36" s="7"/>
      <c r="V36" s="7"/>
    </row>
    <row r="37" spans="2:22">
      <c r="B37" s="7"/>
      <c r="C37" s="7"/>
      <c r="F37" s="7"/>
      <c r="M37" s="7"/>
      <c r="N37" s="7"/>
      <c r="O37" s="7"/>
      <c r="Q37" s="7"/>
      <c r="R37" s="7"/>
      <c r="S37" s="7"/>
      <c r="U37" s="7"/>
      <c r="V37" s="7"/>
    </row>
    <row r="38" spans="2:22">
      <c r="B38" s="7"/>
      <c r="C38" s="7"/>
      <c r="F38" s="7"/>
      <c r="M38" s="7"/>
      <c r="N38" s="7"/>
      <c r="O38" s="7"/>
      <c r="Q38" s="7"/>
      <c r="R38" s="7"/>
      <c r="S38" s="7"/>
      <c r="U38" s="7"/>
      <c r="V38" s="7"/>
    </row>
    <row r="39" spans="2:22">
      <c r="B39" s="7"/>
      <c r="C39" s="7"/>
      <c r="F39" s="7"/>
      <c r="M39" s="7"/>
      <c r="N39" s="7"/>
      <c r="O39" s="7"/>
      <c r="Q39" s="7"/>
      <c r="R39" s="7"/>
      <c r="S39" s="7"/>
      <c r="U39" s="7"/>
      <c r="V39" s="7"/>
    </row>
    <row r="40" spans="2:22">
      <c r="B40" s="7"/>
      <c r="C40" s="7"/>
      <c r="F40" s="7"/>
      <c r="M40" s="7"/>
      <c r="N40" s="7"/>
      <c r="O40" s="7"/>
      <c r="Q40" s="7"/>
      <c r="R40" s="7"/>
      <c r="S40" s="7"/>
      <c r="U40" s="7"/>
      <c r="V40" s="7"/>
    </row>
    <row r="41" spans="2:22">
      <c r="B41" s="7"/>
      <c r="C41" s="7"/>
      <c r="F41" s="7"/>
      <c r="M41" s="7"/>
      <c r="N41" s="7"/>
      <c r="O41" s="7"/>
      <c r="Q41" s="7"/>
      <c r="R41" s="7"/>
      <c r="S41" s="7"/>
      <c r="U41" s="7"/>
      <c r="V41" s="7"/>
    </row>
    <row r="42" spans="2:22">
      <c r="B42" s="7"/>
      <c r="C42" s="7"/>
      <c r="F42" s="7"/>
      <c r="M42" s="7"/>
      <c r="N42" s="7"/>
      <c r="O42" s="7"/>
      <c r="Q42" s="7"/>
      <c r="R42" s="7"/>
      <c r="S42" s="7"/>
      <c r="U42" s="7"/>
      <c r="V42" s="7"/>
    </row>
    <row r="43" spans="2:22">
      <c r="B43" s="7"/>
      <c r="C43" s="7"/>
      <c r="F43" s="7"/>
      <c r="M43" s="7"/>
      <c r="N43" s="7"/>
      <c r="O43" s="7"/>
      <c r="Q43" s="7"/>
      <c r="R43" s="7"/>
      <c r="S43" s="7"/>
      <c r="U43" s="7"/>
      <c r="V43" s="7"/>
    </row>
    <row r="44" spans="2:22">
      <c r="B44" s="7"/>
      <c r="C44" s="7"/>
      <c r="F44" s="7"/>
      <c r="M44" s="7"/>
      <c r="N44" s="7"/>
      <c r="O44" s="7"/>
      <c r="Q44" s="7"/>
      <c r="R44" s="7"/>
      <c r="S44" s="7"/>
      <c r="U44" s="7"/>
      <c r="V44" s="7"/>
    </row>
    <row r="45" spans="2:22">
      <c r="B45" s="7"/>
      <c r="C45" s="7"/>
      <c r="F45" s="7"/>
      <c r="M45" s="7"/>
      <c r="N45" s="7"/>
      <c r="O45" s="7"/>
      <c r="Q45" s="7"/>
      <c r="R45" s="7"/>
      <c r="S45" s="7"/>
      <c r="U45" s="7"/>
      <c r="V45" s="7"/>
    </row>
    <row r="46" spans="2:22">
      <c r="B46" s="7"/>
      <c r="C46" s="7"/>
      <c r="F46" s="7"/>
      <c r="M46" s="7"/>
      <c r="N46" s="7"/>
      <c r="O46" s="7"/>
      <c r="Q46" s="7"/>
      <c r="R46" s="7"/>
      <c r="S46" s="7"/>
      <c r="U46" s="7"/>
      <c r="V46" s="7"/>
    </row>
    <row r="47" spans="2:22">
      <c r="B47" s="7"/>
      <c r="C47" s="7"/>
      <c r="F47" s="7"/>
      <c r="M47" s="7"/>
      <c r="N47" s="7"/>
      <c r="O47" s="7"/>
      <c r="Q47" s="7"/>
      <c r="R47" s="7"/>
      <c r="S47" s="7"/>
      <c r="U47" s="7"/>
      <c r="V47" s="7"/>
    </row>
    <row r="48" spans="2:22">
      <c r="B48" s="7"/>
      <c r="C48" s="7"/>
      <c r="F48" s="7"/>
      <c r="M48" s="7"/>
      <c r="N48" s="7"/>
      <c r="O48" s="7"/>
      <c r="Q48" s="7"/>
      <c r="R48" s="7"/>
      <c r="S48" s="7"/>
      <c r="U48" s="7"/>
      <c r="V48" s="7"/>
    </row>
    <row r="49" spans="2:22">
      <c r="B49" s="7"/>
      <c r="C49" s="7"/>
      <c r="F49" s="7"/>
      <c r="M49" s="7"/>
      <c r="N49" s="7"/>
      <c r="O49" s="7"/>
      <c r="Q49" s="7"/>
      <c r="R49" s="7"/>
      <c r="S49" s="7"/>
      <c r="U49" s="7"/>
      <c r="V49" s="7"/>
    </row>
    <row r="50" spans="2:22">
      <c r="B50" s="7"/>
      <c r="C50" s="7"/>
      <c r="F50" s="7"/>
      <c r="M50" s="7"/>
      <c r="N50" s="7"/>
      <c r="O50" s="7"/>
      <c r="Q50" s="7"/>
      <c r="R50" s="7"/>
      <c r="S50" s="7"/>
      <c r="U50" s="7"/>
      <c r="V50" s="7"/>
    </row>
    <row r="51" spans="2:22">
      <c r="B51" s="7"/>
      <c r="C51" s="7"/>
      <c r="F51" s="7"/>
      <c r="M51" s="7"/>
      <c r="N51" s="7"/>
      <c r="O51" s="7"/>
      <c r="Q51" s="7"/>
      <c r="R51" s="7"/>
      <c r="S51" s="7"/>
      <c r="U51" s="7"/>
      <c r="V51" s="7"/>
    </row>
    <row r="52" spans="2:22">
      <c r="B52" s="7"/>
      <c r="C52" s="7"/>
      <c r="F52" s="7"/>
      <c r="M52" s="7"/>
      <c r="N52" s="7"/>
      <c r="O52" s="7"/>
      <c r="Q52" s="7"/>
      <c r="R52" s="7"/>
      <c r="S52" s="7"/>
      <c r="U52" s="7"/>
      <c r="V52" s="7"/>
    </row>
    <row r="53" spans="2:22">
      <c r="B53" s="7"/>
      <c r="C53" s="7"/>
      <c r="F53" s="7"/>
      <c r="M53" s="7"/>
      <c r="N53" s="7"/>
      <c r="O53" s="7"/>
      <c r="Q53" s="7"/>
      <c r="R53" s="7"/>
      <c r="S53" s="7"/>
      <c r="U53" s="7"/>
      <c r="V53" s="7"/>
    </row>
    <row r="54" spans="2:22">
      <c r="B54" s="7"/>
      <c r="C54" s="7"/>
      <c r="F54" s="7"/>
      <c r="M54" s="7"/>
      <c r="N54" s="7"/>
      <c r="O54" s="7"/>
      <c r="Q54" s="7"/>
      <c r="R54" s="7"/>
      <c r="S54" s="7"/>
      <c r="U54" s="7"/>
      <c r="V54" s="7"/>
    </row>
    <row r="55" spans="2:22">
      <c r="B55" s="7"/>
      <c r="C55" s="7"/>
      <c r="F55" s="7"/>
      <c r="M55" s="7"/>
      <c r="N55" s="7"/>
      <c r="O55" s="7"/>
      <c r="Q55" s="7"/>
      <c r="R55" s="7"/>
      <c r="S55" s="7"/>
      <c r="U55" s="7"/>
      <c r="V55" s="7"/>
    </row>
    <row r="56" spans="2:22">
      <c r="B56" s="7"/>
      <c r="C56" s="7"/>
      <c r="F56" s="7"/>
      <c r="M56" s="7"/>
      <c r="N56" s="7"/>
      <c r="O56" s="7"/>
      <c r="Q56" s="7"/>
      <c r="R56" s="7"/>
      <c r="S56" s="7"/>
      <c r="U56" s="7"/>
      <c r="V56" s="7"/>
    </row>
    <row r="57" spans="2:22">
      <c r="B57" s="7"/>
      <c r="C57" s="7"/>
      <c r="F57" s="7"/>
      <c r="M57" s="7"/>
      <c r="N57" s="7"/>
      <c r="O57" s="7"/>
      <c r="Q57" s="7"/>
      <c r="R57" s="7"/>
      <c r="S57" s="7"/>
      <c r="U57" s="7"/>
      <c r="V57" s="7"/>
    </row>
    <row r="58" spans="2:22">
      <c r="B58" s="7"/>
      <c r="C58" s="7"/>
      <c r="F58" s="7"/>
      <c r="M58" s="7"/>
      <c r="N58" s="7"/>
      <c r="O58" s="7"/>
      <c r="Q58" s="7"/>
      <c r="R58" s="7"/>
      <c r="S58" s="7"/>
      <c r="U58" s="7"/>
      <c r="V58" s="7"/>
    </row>
    <row r="59" spans="2:22">
      <c r="B59" s="7"/>
      <c r="C59" s="7"/>
      <c r="F59" s="7"/>
      <c r="M59" s="7"/>
      <c r="N59" s="7"/>
      <c r="O59" s="7"/>
      <c r="Q59" s="7"/>
      <c r="R59" s="7"/>
      <c r="S59" s="7"/>
      <c r="U59" s="7"/>
      <c r="V59" s="7"/>
    </row>
    <row r="60" spans="2:22">
      <c r="B60" s="7"/>
      <c r="C60" s="7"/>
      <c r="F60" s="7"/>
      <c r="M60" s="7"/>
      <c r="N60" s="7"/>
      <c r="O60" s="7"/>
      <c r="Q60" s="7"/>
      <c r="R60" s="7"/>
      <c r="S60" s="7"/>
      <c r="U60" s="7"/>
      <c r="V60" s="7"/>
    </row>
    <row r="61" spans="2:22">
      <c r="B61" s="7"/>
      <c r="C61" s="7"/>
      <c r="F61" s="7"/>
      <c r="M61" s="7"/>
      <c r="N61" s="7"/>
      <c r="O61" s="7"/>
      <c r="Q61" s="7"/>
      <c r="R61" s="7"/>
      <c r="S61" s="7"/>
      <c r="U61" s="7"/>
      <c r="V61" s="7"/>
    </row>
  </sheetData>
  <phoneticPr fontId="0" type="noConversion"/>
  <pageMargins left="0.78740157499999996" right="0.78740157499999996" top="0.984251969" bottom="0.984251969" header="0.4921259845" footer="0.4921259845"/>
  <pageSetup paperSize="9"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enableFormatConditionsCalculation="0">
    <pageSetUpPr fitToPage="1"/>
  </sheetPr>
  <dimension ref="A1:O21"/>
  <sheetViews>
    <sheetView zoomScale="75" workbookViewId="0">
      <pane xSplit="11" ySplit="6" topLeftCell="L7" activePane="bottomRight" state="frozen"/>
      <selection activeCell="K41" sqref="K41"/>
      <selection pane="topRight" activeCell="K41" sqref="K41"/>
      <selection pane="bottomLeft" activeCell="K41" sqref="K41"/>
      <selection pane="bottomRight" activeCell="O46" sqref="O46"/>
    </sheetView>
  </sheetViews>
  <sheetFormatPr defaultColWidth="11.42578125" defaultRowHeight="12" outlineLevelRow="1" outlineLevelCol="1"/>
  <cols>
    <col min="1" max="1" width="7.42578125" style="7" customWidth="1" outlineLevel="1"/>
    <col min="2" max="2" width="11.85546875" style="158" customWidth="1"/>
    <col min="3" max="3" width="3.7109375" style="159" hidden="1" customWidth="1"/>
    <col min="4" max="4" width="3.140625" style="7" hidden="1" customWidth="1"/>
    <col min="5" max="5" width="2.7109375" style="7" hidden="1" customWidth="1"/>
    <col min="6" max="6" width="56.42578125" style="8" customWidth="1"/>
    <col min="7" max="7" width="5" style="7" customWidth="1"/>
    <col min="8" max="8" width="5.7109375" style="7" hidden="1" customWidth="1"/>
    <col min="9" max="9" width="19.42578125" style="7" hidden="1" customWidth="1"/>
    <col min="10" max="10" width="4.140625" style="7" bestFit="1" customWidth="1"/>
    <col min="11" max="11" width="5.140625" style="7" customWidth="1"/>
    <col min="12" max="12" width="11.28515625" style="7" customWidth="1"/>
    <col min="13" max="13" width="2" style="141" customWidth="1" outlineLevel="1"/>
    <col min="14" max="14" width="4.28515625" style="140" customWidth="1" outlineLevel="1"/>
    <col min="15" max="15" width="37.85546875" style="140" customWidth="1" outlineLevel="1"/>
    <col min="16" max="16384" width="11.42578125" style="7"/>
  </cols>
  <sheetData>
    <row r="1" spans="1:15">
      <c r="A1" s="36"/>
      <c r="B1" s="34"/>
      <c r="C1" s="35"/>
      <c r="D1" s="36"/>
      <c r="E1" s="36"/>
      <c r="F1" s="37" t="s">
        <v>510</v>
      </c>
      <c r="G1" s="36"/>
      <c r="H1" s="36"/>
      <c r="I1" s="36"/>
      <c r="J1" s="36"/>
      <c r="K1" s="36"/>
      <c r="L1" s="417">
        <v>32076</v>
      </c>
      <c r="M1" s="21"/>
      <c r="N1" s="22"/>
      <c r="O1" s="22"/>
    </row>
    <row r="2" spans="1:15">
      <c r="A2" s="36"/>
      <c r="B2" s="147"/>
      <c r="C2" s="35" t="s">
        <v>511</v>
      </c>
      <c r="D2" s="147">
        <v>3503</v>
      </c>
      <c r="E2" s="147">
        <v>3504</v>
      </c>
      <c r="F2" s="147">
        <v>3702</v>
      </c>
      <c r="G2" s="147">
        <v>3703</v>
      </c>
      <c r="H2" s="147">
        <v>3506</v>
      </c>
      <c r="I2" s="147">
        <v>3507</v>
      </c>
      <c r="J2" s="147">
        <v>3508</v>
      </c>
      <c r="K2" s="147">
        <v>3706</v>
      </c>
      <c r="L2" s="147">
        <v>3707</v>
      </c>
      <c r="M2" s="133">
        <v>3708</v>
      </c>
      <c r="N2" s="133">
        <v>3709</v>
      </c>
      <c r="O2" s="134">
        <v>3792</v>
      </c>
    </row>
    <row r="3" spans="1:15" ht="89.25" customHeight="1">
      <c r="A3" s="36" t="s">
        <v>398</v>
      </c>
      <c r="B3" s="166"/>
      <c r="C3" s="35">
        <v>401</v>
      </c>
      <c r="D3" s="167" t="s">
        <v>514</v>
      </c>
      <c r="E3" s="167" t="s">
        <v>515</v>
      </c>
      <c r="F3" s="132" t="s">
        <v>516</v>
      </c>
      <c r="G3" s="41" t="s">
        <v>517</v>
      </c>
      <c r="H3" s="41" t="s">
        <v>518</v>
      </c>
      <c r="I3" s="41" t="s">
        <v>519</v>
      </c>
      <c r="J3" s="41" t="s">
        <v>520</v>
      </c>
      <c r="K3" s="41" t="s">
        <v>394</v>
      </c>
      <c r="L3" s="178" t="s">
        <v>66</v>
      </c>
      <c r="M3" s="135" t="s">
        <v>265</v>
      </c>
      <c r="N3" s="135" t="s">
        <v>266</v>
      </c>
      <c r="O3" s="136" t="s">
        <v>548</v>
      </c>
    </row>
    <row r="4" spans="1:15" ht="13.5" customHeight="1">
      <c r="A4" s="36"/>
      <c r="B4" s="166"/>
      <c r="C4" s="35">
        <v>662</v>
      </c>
      <c r="D4" s="9"/>
      <c r="E4" s="9"/>
      <c r="F4" s="132" t="s">
        <v>517</v>
      </c>
      <c r="G4" s="132"/>
      <c r="H4" s="132"/>
      <c r="I4" s="132"/>
      <c r="J4" s="132"/>
      <c r="K4" s="132"/>
      <c r="L4" s="178" t="s">
        <v>393</v>
      </c>
      <c r="M4" s="137">
        <v>0</v>
      </c>
      <c r="N4" s="137">
        <v>0</v>
      </c>
      <c r="O4" s="138">
        <v>0</v>
      </c>
    </row>
    <row r="5" spans="1:15">
      <c r="A5" s="36"/>
      <c r="B5" s="166"/>
      <c r="C5" s="35">
        <v>493</v>
      </c>
      <c r="D5" s="9"/>
      <c r="E5" s="9"/>
      <c r="F5" s="132" t="s">
        <v>520</v>
      </c>
      <c r="G5" s="132"/>
      <c r="H5" s="132"/>
      <c r="I5" s="132"/>
      <c r="J5" s="132"/>
      <c r="K5" s="132"/>
      <c r="L5" s="178">
        <v>1</v>
      </c>
      <c r="M5" s="137">
        <v>0</v>
      </c>
      <c r="N5" s="137">
        <v>0</v>
      </c>
      <c r="O5" s="138">
        <v>0</v>
      </c>
    </row>
    <row r="6" spans="1:15">
      <c r="A6" s="36"/>
      <c r="B6" s="166"/>
      <c r="C6" s="35">
        <v>403</v>
      </c>
      <c r="D6" s="9"/>
      <c r="E6" s="9"/>
      <c r="F6" s="132" t="s">
        <v>394</v>
      </c>
      <c r="G6" s="352"/>
      <c r="H6" s="132"/>
      <c r="I6" s="132"/>
      <c r="J6" s="132"/>
      <c r="K6" s="132"/>
      <c r="L6" s="178" t="s">
        <v>522</v>
      </c>
      <c r="M6" s="137">
        <v>0</v>
      </c>
      <c r="N6" s="137">
        <v>0</v>
      </c>
      <c r="O6" s="138">
        <v>0</v>
      </c>
    </row>
    <row r="7" spans="1:15" ht="12.75">
      <c r="A7" s="2">
        <v>2291</v>
      </c>
      <c r="B7" s="163" t="s">
        <v>524</v>
      </c>
      <c r="C7" s="151" t="s">
        <v>525</v>
      </c>
      <c r="D7" s="152" t="s">
        <v>526</v>
      </c>
      <c r="E7" s="153" t="s">
        <v>402</v>
      </c>
      <c r="F7" s="144" t="s">
        <v>70</v>
      </c>
      <c r="G7" s="125" t="s">
        <v>393</v>
      </c>
      <c r="H7" s="164" t="s">
        <v>402</v>
      </c>
      <c r="I7" s="123" t="s">
        <v>402</v>
      </c>
      <c r="J7" s="124">
        <v>0</v>
      </c>
      <c r="K7" s="125" t="s">
        <v>678</v>
      </c>
      <c r="L7" s="165">
        <v>0.04</v>
      </c>
      <c r="M7" s="29">
        <v>1</v>
      </c>
      <c r="N7" s="1">
        <v>1.2849840792941758</v>
      </c>
      <c r="O7" s="139" t="s">
        <v>71</v>
      </c>
    </row>
    <row r="8" spans="1:15" ht="12.75">
      <c r="A8" s="156">
        <v>4804</v>
      </c>
      <c r="B8" s="163" t="s">
        <v>525</v>
      </c>
      <c r="C8" s="151" t="s">
        <v>525</v>
      </c>
      <c r="D8" s="152" t="s">
        <v>526</v>
      </c>
      <c r="E8" s="153" t="s">
        <v>402</v>
      </c>
      <c r="F8" s="144" t="s">
        <v>72</v>
      </c>
      <c r="G8" s="125" t="s">
        <v>521</v>
      </c>
      <c r="H8" s="164" t="s">
        <v>402</v>
      </c>
      <c r="I8" s="123" t="s">
        <v>402</v>
      </c>
      <c r="J8" s="124">
        <v>1</v>
      </c>
      <c r="K8" s="125" t="s">
        <v>522</v>
      </c>
      <c r="L8" s="165">
        <v>2.4</v>
      </c>
      <c r="M8" s="29">
        <v>1</v>
      </c>
      <c r="N8" s="1">
        <v>1.2354522921220721</v>
      </c>
      <c r="O8" s="139" t="s">
        <v>73</v>
      </c>
    </row>
    <row r="9" spans="1:15" ht="12.75">
      <c r="A9" s="156">
        <v>1484</v>
      </c>
      <c r="B9" s="163"/>
      <c r="C9" s="151" t="s">
        <v>525</v>
      </c>
      <c r="D9" s="152" t="s">
        <v>526</v>
      </c>
      <c r="E9" s="153" t="s">
        <v>402</v>
      </c>
      <c r="F9" s="144" t="s">
        <v>74</v>
      </c>
      <c r="G9" s="125" t="s">
        <v>393</v>
      </c>
      <c r="H9" s="164" t="s">
        <v>402</v>
      </c>
      <c r="I9" s="123" t="s">
        <v>402</v>
      </c>
      <c r="J9" s="124">
        <v>1</v>
      </c>
      <c r="K9" s="125" t="s">
        <v>522</v>
      </c>
      <c r="L9" s="165">
        <v>1</v>
      </c>
      <c r="M9" s="29">
        <v>1</v>
      </c>
      <c r="N9" s="1">
        <v>2.0865051432908035</v>
      </c>
      <c r="O9" s="139" t="s">
        <v>75</v>
      </c>
    </row>
    <row r="10" spans="1:15" ht="12.75" hidden="1" outlineLevel="1">
      <c r="A10" s="156">
        <v>1489</v>
      </c>
      <c r="B10" s="163" t="s">
        <v>525</v>
      </c>
      <c r="C10" s="151" t="s">
        <v>525</v>
      </c>
      <c r="D10" s="152" t="s">
        <v>526</v>
      </c>
      <c r="E10" s="153" t="s">
        <v>402</v>
      </c>
      <c r="F10" s="144" t="s">
        <v>52</v>
      </c>
      <c r="G10" s="125" t="s">
        <v>521</v>
      </c>
      <c r="H10" s="164" t="s">
        <v>402</v>
      </c>
      <c r="I10" s="123" t="s">
        <v>402</v>
      </c>
      <c r="J10" s="124">
        <v>1</v>
      </c>
      <c r="K10" s="125" t="s">
        <v>396</v>
      </c>
      <c r="L10" s="165">
        <v>0</v>
      </c>
      <c r="M10" s="29">
        <v>1</v>
      </c>
      <c r="N10" s="1">
        <v>1.2284225230179247</v>
      </c>
      <c r="O10" s="139" t="s">
        <v>76</v>
      </c>
    </row>
    <row r="11" spans="1:15" ht="12.75" hidden="1" outlineLevel="1">
      <c r="A11" s="156">
        <v>1490</v>
      </c>
      <c r="B11" s="163" t="s">
        <v>525</v>
      </c>
      <c r="C11" s="151" t="s">
        <v>525</v>
      </c>
      <c r="D11" s="152" t="s">
        <v>526</v>
      </c>
      <c r="E11" s="153" t="s">
        <v>402</v>
      </c>
      <c r="F11" s="144" t="s">
        <v>53</v>
      </c>
      <c r="G11" s="125" t="s">
        <v>521</v>
      </c>
      <c r="H11" s="164" t="s">
        <v>402</v>
      </c>
      <c r="I11" s="123" t="s">
        <v>402</v>
      </c>
      <c r="J11" s="124">
        <v>1</v>
      </c>
      <c r="K11" s="125" t="s">
        <v>396</v>
      </c>
      <c r="L11" s="165">
        <v>0</v>
      </c>
      <c r="M11" s="29">
        <v>1</v>
      </c>
      <c r="N11" s="1">
        <v>1.2284225230179247</v>
      </c>
      <c r="O11" s="139" t="s">
        <v>76</v>
      </c>
    </row>
    <row r="12" spans="1:15" ht="12.75" hidden="1" outlineLevel="1">
      <c r="A12" s="156">
        <v>1491</v>
      </c>
      <c r="B12" s="163" t="s">
        <v>525</v>
      </c>
      <c r="C12" s="151" t="s">
        <v>525</v>
      </c>
      <c r="D12" s="152" t="s">
        <v>526</v>
      </c>
      <c r="E12" s="153" t="s">
        <v>402</v>
      </c>
      <c r="F12" s="144" t="s">
        <v>663</v>
      </c>
      <c r="G12" s="125" t="s">
        <v>521</v>
      </c>
      <c r="H12" s="164" t="s">
        <v>402</v>
      </c>
      <c r="I12" s="123" t="s">
        <v>402</v>
      </c>
      <c r="J12" s="124">
        <v>1</v>
      </c>
      <c r="K12" s="125" t="s">
        <v>396</v>
      </c>
      <c r="L12" s="165">
        <v>0</v>
      </c>
      <c r="M12" s="29">
        <v>1</v>
      </c>
      <c r="N12" s="1">
        <v>1.2284225230179247</v>
      </c>
      <c r="O12" s="139" t="s">
        <v>76</v>
      </c>
    </row>
    <row r="13" spans="1:15" ht="12.75" collapsed="1">
      <c r="A13" s="156">
        <v>1645</v>
      </c>
      <c r="B13" s="163" t="s">
        <v>525</v>
      </c>
      <c r="C13" s="151" t="s">
        <v>525</v>
      </c>
      <c r="D13" s="152" t="s">
        <v>526</v>
      </c>
      <c r="E13" s="153" t="s">
        <v>402</v>
      </c>
      <c r="F13" s="144" t="s">
        <v>664</v>
      </c>
      <c r="G13" s="125" t="s">
        <v>521</v>
      </c>
      <c r="H13" s="164" t="s">
        <v>402</v>
      </c>
      <c r="I13" s="123" t="s">
        <v>402</v>
      </c>
      <c r="J13" s="124">
        <v>1</v>
      </c>
      <c r="K13" s="125" t="s">
        <v>396</v>
      </c>
      <c r="L13" s="586">
        <v>0</v>
      </c>
      <c r="M13" s="29">
        <v>1</v>
      </c>
      <c r="N13" s="1">
        <v>1.2284225230179247</v>
      </c>
      <c r="O13" s="139" t="s">
        <v>77</v>
      </c>
    </row>
    <row r="14" spans="1:15" ht="12.75">
      <c r="A14" s="156">
        <v>1646</v>
      </c>
      <c r="B14" s="163" t="s">
        <v>525</v>
      </c>
      <c r="C14" s="151" t="s">
        <v>525</v>
      </c>
      <c r="D14" s="152" t="s">
        <v>526</v>
      </c>
      <c r="E14" s="153" t="s">
        <v>402</v>
      </c>
      <c r="F14" s="144" t="s">
        <v>665</v>
      </c>
      <c r="G14" s="125" t="s">
        <v>521</v>
      </c>
      <c r="H14" s="164" t="s">
        <v>402</v>
      </c>
      <c r="I14" s="123" t="s">
        <v>402</v>
      </c>
      <c r="J14" s="124">
        <v>1</v>
      </c>
      <c r="K14" s="125" t="s">
        <v>396</v>
      </c>
      <c r="L14" s="586">
        <v>22.388059701492537</v>
      </c>
      <c r="M14" s="29">
        <v>1</v>
      </c>
      <c r="N14" s="1">
        <v>1.2284225230179247</v>
      </c>
      <c r="O14" s="139" t="s">
        <v>77</v>
      </c>
    </row>
    <row r="15" spans="1:15" ht="12.75">
      <c r="A15" s="120">
        <v>32075</v>
      </c>
      <c r="B15" s="163" t="s">
        <v>525</v>
      </c>
      <c r="C15" s="151" t="s">
        <v>525</v>
      </c>
      <c r="D15" s="152" t="s">
        <v>526</v>
      </c>
      <c r="E15" s="153" t="s">
        <v>402</v>
      </c>
      <c r="F15" s="144" t="s">
        <v>79</v>
      </c>
      <c r="G15" s="125" t="s">
        <v>521</v>
      </c>
      <c r="H15" s="164" t="s">
        <v>402</v>
      </c>
      <c r="I15" s="123" t="s">
        <v>402</v>
      </c>
      <c r="J15" s="124">
        <v>1</v>
      </c>
      <c r="K15" s="125" t="s">
        <v>396</v>
      </c>
      <c r="L15" s="586">
        <v>23.059701492537314</v>
      </c>
      <c r="M15" s="29">
        <v>1</v>
      </c>
      <c r="N15" s="1">
        <v>1.3582005896413567</v>
      </c>
      <c r="O15" s="139" t="s">
        <v>78</v>
      </c>
    </row>
    <row r="16" spans="1:15" ht="12.75">
      <c r="A16" s="157">
        <v>1802</v>
      </c>
      <c r="B16" s="163" t="s">
        <v>525</v>
      </c>
      <c r="C16" s="151" t="s">
        <v>525</v>
      </c>
      <c r="D16" s="152" t="s">
        <v>526</v>
      </c>
      <c r="E16" s="153" t="s">
        <v>402</v>
      </c>
      <c r="F16" s="144" t="s">
        <v>80</v>
      </c>
      <c r="G16" s="125" t="s">
        <v>393</v>
      </c>
      <c r="H16" s="164" t="s">
        <v>402</v>
      </c>
      <c r="I16" s="123" t="s">
        <v>402</v>
      </c>
      <c r="J16" s="124">
        <v>0</v>
      </c>
      <c r="K16" s="125" t="s">
        <v>81</v>
      </c>
      <c r="L16" s="586">
        <v>0</v>
      </c>
      <c r="M16" s="29">
        <v>1</v>
      </c>
      <c r="N16" s="1">
        <v>2.0865051432908035</v>
      </c>
      <c r="O16" s="139" t="s">
        <v>82</v>
      </c>
    </row>
    <row r="17" spans="1:15" ht="12.75">
      <c r="A17" s="157">
        <v>2988</v>
      </c>
      <c r="B17" s="163" t="s">
        <v>525</v>
      </c>
      <c r="C17" s="151" t="s">
        <v>525</v>
      </c>
      <c r="D17" s="152" t="s">
        <v>526</v>
      </c>
      <c r="E17" s="153" t="s">
        <v>402</v>
      </c>
      <c r="F17" s="144" t="s">
        <v>63</v>
      </c>
      <c r="G17" s="125" t="s">
        <v>393</v>
      </c>
      <c r="H17" s="164" t="s">
        <v>402</v>
      </c>
      <c r="I17" s="123" t="s">
        <v>402</v>
      </c>
      <c r="J17" s="124">
        <v>0</v>
      </c>
      <c r="K17" s="125" t="s">
        <v>397</v>
      </c>
      <c r="L17" s="586">
        <v>48.152530664179125</v>
      </c>
      <c r="M17" s="29">
        <v>1</v>
      </c>
      <c r="N17" s="1">
        <v>2.0865051432908035</v>
      </c>
      <c r="O17" s="139" t="s">
        <v>83</v>
      </c>
    </row>
    <row r="18" spans="1:15" ht="12.75">
      <c r="A18" s="2">
        <v>2987</v>
      </c>
      <c r="B18" s="163" t="s">
        <v>525</v>
      </c>
      <c r="C18" s="151" t="s">
        <v>525</v>
      </c>
      <c r="D18" s="152" t="s">
        <v>526</v>
      </c>
      <c r="E18" s="153" t="s">
        <v>402</v>
      </c>
      <c r="F18" s="144" t="s">
        <v>59</v>
      </c>
      <c r="G18" s="125" t="s">
        <v>521</v>
      </c>
      <c r="H18" s="164" t="s">
        <v>402</v>
      </c>
      <c r="I18" s="123" t="s">
        <v>402</v>
      </c>
      <c r="J18" s="124">
        <v>0</v>
      </c>
      <c r="K18" s="125" t="s">
        <v>397</v>
      </c>
      <c r="L18" s="586">
        <v>202.25665332089559</v>
      </c>
      <c r="M18" s="29">
        <v>1</v>
      </c>
      <c r="N18" s="1">
        <v>2.0865051432908035</v>
      </c>
      <c r="O18" s="139" t="s">
        <v>84</v>
      </c>
    </row>
    <row r="19" spans="1:15" ht="12.75">
      <c r="A19" s="156">
        <v>1824</v>
      </c>
      <c r="B19" s="163" t="s">
        <v>525</v>
      </c>
      <c r="C19" s="151" t="s">
        <v>525</v>
      </c>
      <c r="D19" s="152" t="s">
        <v>526</v>
      </c>
      <c r="E19" s="153" t="s">
        <v>402</v>
      </c>
      <c r="F19" s="144" t="s">
        <v>85</v>
      </c>
      <c r="G19" s="125" t="s">
        <v>86</v>
      </c>
      <c r="H19" s="164" t="s">
        <v>402</v>
      </c>
      <c r="I19" s="123" t="s">
        <v>402</v>
      </c>
      <c r="J19" s="124">
        <v>0</v>
      </c>
      <c r="K19" s="125" t="s">
        <v>397</v>
      </c>
      <c r="L19" s="586" t="s">
        <v>402</v>
      </c>
      <c r="M19" s="29">
        <v>1</v>
      </c>
      <c r="N19" s="1">
        <v>2.0865051432908035</v>
      </c>
      <c r="O19" s="139" t="s">
        <v>87</v>
      </c>
    </row>
    <row r="20" spans="1:15" ht="12.75">
      <c r="A20" s="214">
        <v>490</v>
      </c>
      <c r="B20" s="296" t="s">
        <v>692</v>
      </c>
      <c r="C20" s="169" t="s">
        <v>525</v>
      </c>
      <c r="D20" s="11" t="s">
        <v>402</v>
      </c>
      <c r="E20" s="170" t="s">
        <v>527</v>
      </c>
      <c r="F20" s="144" t="s">
        <v>324</v>
      </c>
      <c r="G20" s="125" t="s">
        <v>402</v>
      </c>
      <c r="H20" s="164" t="s">
        <v>325</v>
      </c>
      <c r="I20" s="123" t="s">
        <v>685</v>
      </c>
      <c r="J20" s="124" t="s">
        <v>402</v>
      </c>
      <c r="K20" s="125" t="s">
        <v>677</v>
      </c>
      <c r="L20" s="586">
        <v>0.14400000000000002</v>
      </c>
      <c r="M20" s="29">
        <v>1</v>
      </c>
      <c r="N20" s="1">
        <v>1.2849840792941758</v>
      </c>
      <c r="O20" s="139" t="s">
        <v>88</v>
      </c>
    </row>
    <row r="21" spans="1:15">
      <c r="A21" s="417">
        <v>32076</v>
      </c>
      <c r="B21" s="168"/>
      <c r="C21" s="169"/>
      <c r="D21" s="11" t="s">
        <v>402</v>
      </c>
      <c r="E21" s="170">
        <v>0</v>
      </c>
      <c r="F21" s="145" t="s">
        <v>66</v>
      </c>
      <c r="G21" s="16" t="s">
        <v>393</v>
      </c>
      <c r="H21" s="14" t="s">
        <v>402</v>
      </c>
      <c r="I21" s="14" t="s">
        <v>402</v>
      </c>
      <c r="J21" s="15">
        <v>1</v>
      </c>
      <c r="K21" s="16" t="s">
        <v>522</v>
      </c>
      <c r="L21" s="149">
        <v>1</v>
      </c>
      <c r="M21" s="40"/>
      <c r="N21" s="89"/>
      <c r="O21" s="202"/>
    </row>
  </sheetData>
  <phoneticPr fontId="0" type="noConversion"/>
  <pageMargins left="0.78740157499999996" right="0.78740157499999996" top="0.984251969" bottom="0.984251969" header="0.4921259845" footer="0.4921259845"/>
  <pageSetup paperSize="9" scale="81"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workbookViewId="0"/>
  </sheetViews>
  <sheetFormatPr defaultRowHeight="12"/>
  <sheetData>
    <row r="1" spans="1:1">
      <c r="A1" t="s">
        <v>1962</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55"/>
  <sheetViews>
    <sheetView topLeftCell="B1" zoomScale="75" zoomScaleNormal="75" workbookViewId="0">
      <selection activeCell="AM17" sqref="AM17"/>
    </sheetView>
  </sheetViews>
  <sheetFormatPr defaultColWidth="11.42578125" defaultRowHeight="12" outlineLevelRow="1" outlineLevelCol="1"/>
  <cols>
    <col min="1" max="1" width="5.140625" style="941" hidden="1" customWidth="1" outlineLevel="1"/>
    <col min="2" max="2" width="12.140625" style="944" bestFit="1" customWidth="1" collapsed="1"/>
    <col min="3" max="3" width="3.7109375" style="943" hidden="1" customWidth="1"/>
    <col min="4" max="4" width="4.140625" style="941" hidden="1" customWidth="1"/>
    <col min="5" max="5" width="5.85546875" style="941" hidden="1" customWidth="1"/>
    <col min="6" max="6" width="37.140625" style="942" customWidth="1"/>
    <col min="7" max="7" width="6" style="941" customWidth="1"/>
    <col min="8" max="8" width="4.5703125" style="941" hidden="1" customWidth="1" outlineLevel="1"/>
    <col min="9" max="9" width="7.42578125" style="941" hidden="1" customWidth="1" outlineLevel="1"/>
    <col min="10" max="10" width="2.5703125" style="941" customWidth="1" collapsed="1"/>
    <col min="11" max="11" width="5.140625" style="941" customWidth="1"/>
    <col min="12" max="12" width="16.140625" style="941" customWidth="1"/>
    <col min="13" max="13" width="6.7109375" style="32" hidden="1" customWidth="1" outlineLevel="1"/>
    <col min="14" max="14" width="6.140625" style="32" hidden="1" customWidth="1" outlineLevel="1"/>
    <col min="15" max="15" width="9" style="33" hidden="1" customWidth="1" outlineLevel="1"/>
    <col min="16" max="16" width="15" style="941" customWidth="1" collapsed="1"/>
    <col min="17" max="17" width="11.42578125" style="32" hidden="1" customWidth="1" outlineLevel="1"/>
    <col min="18" max="18" width="9.140625" style="32" hidden="1" customWidth="1" outlineLevel="1"/>
    <col min="19" max="19" width="11.85546875" style="33" hidden="1" customWidth="1" outlineLevel="1"/>
    <col min="20" max="20" width="13.140625" style="941" customWidth="1" collapsed="1"/>
    <col min="21" max="21" width="6.5703125" style="32" hidden="1" customWidth="1" outlineLevel="1"/>
    <col min="22" max="22" width="7.7109375" style="32" hidden="1" customWidth="1" outlineLevel="1"/>
    <col min="23" max="23" width="47.85546875" style="33" hidden="1" customWidth="1" outlineLevel="1"/>
    <col min="24" max="24" width="15" style="941" bestFit="1" customWidth="1" collapsed="1"/>
    <col min="25" max="26" width="11.140625" style="32" hidden="1" customWidth="1" outlineLevel="1"/>
    <col min="27" max="27" width="47.85546875" style="33" hidden="1" customWidth="1" outlineLevel="1"/>
    <col min="28" max="28" width="16" style="941" bestFit="1" customWidth="1" collapsed="1"/>
    <col min="29" max="29" width="2.42578125" style="32" hidden="1" customWidth="1" outlineLevel="1"/>
    <col min="30" max="30" width="4.28515625" style="32" hidden="1" customWidth="1" outlineLevel="1"/>
    <col min="31" max="31" width="34.7109375" style="33" hidden="1" customWidth="1" outlineLevel="1"/>
    <col min="32" max="32" width="16" style="941" bestFit="1" customWidth="1" collapsed="1"/>
    <col min="33" max="33" width="2.42578125" style="32" hidden="1" customWidth="1" outlineLevel="1"/>
    <col min="34" max="34" width="4.28515625" style="32" hidden="1" customWidth="1" outlineLevel="1"/>
    <col min="35" max="35" width="44.5703125" style="33" hidden="1" customWidth="1" outlineLevel="1"/>
    <col min="36" max="36" width="16" style="941" bestFit="1" customWidth="1" collapsed="1"/>
    <col min="37" max="37" width="2.42578125" style="32" customWidth="1" outlineLevel="1"/>
    <col min="38" max="38" width="4.28515625" style="32" customWidth="1" outlineLevel="1"/>
    <col min="39" max="39" width="44.5703125" style="33" customWidth="1" outlineLevel="1"/>
    <col min="40" max="16384" width="11.42578125" style="941"/>
  </cols>
  <sheetData>
    <row r="1" spans="1:39">
      <c r="A1" s="1007"/>
      <c r="B1" s="1024"/>
      <c r="C1" s="1014"/>
      <c r="D1" s="1007"/>
      <c r="E1" s="1007"/>
      <c r="F1" s="1023" t="s">
        <v>510</v>
      </c>
      <c r="G1" s="1007"/>
      <c r="H1" s="1007"/>
      <c r="I1" s="1007"/>
      <c r="J1" s="1007"/>
      <c r="K1" s="1007"/>
      <c r="L1" s="991">
        <v>1489</v>
      </c>
      <c r="M1" s="22"/>
      <c r="N1" s="22"/>
      <c r="O1" s="22"/>
      <c r="P1" s="991">
        <v>1490</v>
      </c>
      <c r="Q1" s="22"/>
      <c r="R1" s="22"/>
      <c r="S1" s="22"/>
      <c r="T1" s="991">
        <v>1491</v>
      </c>
      <c r="U1" s="22"/>
      <c r="V1" s="22"/>
      <c r="W1" s="22"/>
      <c r="X1" s="991">
        <v>1645</v>
      </c>
      <c r="Y1" s="22"/>
      <c r="Z1" s="22"/>
      <c r="AA1" s="22"/>
      <c r="AB1" s="991">
        <v>1646</v>
      </c>
      <c r="AC1" s="22"/>
      <c r="AD1" s="22"/>
      <c r="AE1" s="22"/>
      <c r="AF1" s="991" t="s">
        <v>148</v>
      </c>
      <c r="AG1" s="22"/>
      <c r="AH1" s="22"/>
      <c r="AI1" s="22"/>
      <c r="AJ1" s="991" t="s">
        <v>432</v>
      </c>
      <c r="AK1" s="22"/>
      <c r="AL1" s="22"/>
      <c r="AM1" s="22"/>
    </row>
    <row r="2" spans="1:39">
      <c r="A2" s="1007"/>
      <c r="B2" s="1022"/>
      <c r="C2" s="1014" t="s">
        <v>511</v>
      </c>
      <c r="D2" s="1022">
        <v>3503</v>
      </c>
      <c r="E2" s="1022">
        <v>3504</v>
      </c>
      <c r="F2" s="1022">
        <v>3702</v>
      </c>
      <c r="G2" s="1022">
        <v>3703</v>
      </c>
      <c r="H2" s="1022">
        <v>3506</v>
      </c>
      <c r="I2" s="1022">
        <v>3507</v>
      </c>
      <c r="J2" s="1022">
        <v>3508</v>
      </c>
      <c r="K2" s="1022">
        <v>3706</v>
      </c>
      <c r="L2" s="1022">
        <v>3707</v>
      </c>
      <c r="M2" s="1021">
        <v>3708</v>
      </c>
      <c r="N2" s="1021">
        <v>3709</v>
      </c>
      <c r="O2" s="1020">
        <v>3792</v>
      </c>
      <c r="P2" s="1022">
        <v>3707</v>
      </c>
      <c r="Q2" s="1021">
        <v>3708</v>
      </c>
      <c r="R2" s="1021">
        <v>3709</v>
      </c>
      <c r="S2" s="1020">
        <v>3792</v>
      </c>
      <c r="T2" s="1022">
        <v>3707</v>
      </c>
      <c r="U2" s="1021">
        <v>3708</v>
      </c>
      <c r="V2" s="1021">
        <v>3709</v>
      </c>
      <c r="W2" s="1020">
        <v>3792</v>
      </c>
      <c r="X2" s="1022">
        <v>3707</v>
      </c>
      <c r="Y2" s="1021">
        <v>3708</v>
      </c>
      <c r="Z2" s="1021">
        <v>3709</v>
      </c>
      <c r="AA2" s="1020">
        <v>3792</v>
      </c>
      <c r="AB2" s="1022">
        <v>3707</v>
      </c>
      <c r="AC2" s="1021">
        <v>3708</v>
      </c>
      <c r="AD2" s="1021">
        <v>3709</v>
      </c>
      <c r="AE2" s="1020">
        <v>3792</v>
      </c>
      <c r="AF2" s="1022">
        <v>3707</v>
      </c>
      <c r="AG2" s="1021">
        <v>3708</v>
      </c>
      <c r="AH2" s="1021">
        <v>3709</v>
      </c>
      <c r="AI2" s="1020">
        <v>3792</v>
      </c>
      <c r="AJ2" s="1022">
        <v>3707</v>
      </c>
      <c r="AK2" s="1021">
        <v>3708</v>
      </c>
      <c r="AL2" s="1021">
        <v>3709</v>
      </c>
      <c r="AM2" s="1020">
        <v>3792</v>
      </c>
    </row>
    <row r="3" spans="1:39" ht="57.75" customHeight="1">
      <c r="A3" s="1007" t="s">
        <v>398</v>
      </c>
      <c r="B3" s="1015"/>
      <c r="C3" s="1014">
        <v>401</v>
      </c>
      <c r="D3" s="1019" t="s">
        <v>514</v>
      </c>
      <c r="E3" s="1019" t="s">
        <v>515</v>
      </c>
      <c r="F3" s="946" t="s">
        <v>516</v>
      </c>
      <c r="G3" s="1018" t="s">
        <v>517</v>
      </c>
      <c r="H3" s="1018" t="s">
        <v>518</v>
      </c>
      <c r="I3" s="1018" t="s">
        <v>519</v>
      </c>
      <c r="J3" s="1018" t="s">
        <v>520</v>
      </c>
      <c r="K3" s="1018" t="s">
        <v>394</v>
      </c>
      <c r="L3" s="1011" t="s">
        <v>52</v>
      </c>
      <c r="M3" s="1017" t="s">
        <v>265</v>
      </c>
      <c r="N3" s="1017" t="s">
        <v>266</v>
      </c>
      <c r="O3" s="1016" t="s">
        <v>548</v>
      </c>
      <c r="P3" s="1011" t="s">
        <v>53</v>
      </c>
      <c r="Q3" s="1017" t="s">
        <v>265</v>
      </c>
      <c r="R3" s="1017" t="s">
        <v>266</v>
      </c>
      <c r="S3" s="1016" t="s">
        <v>548</v>
      </c>
      <c r="T3" s="1011" t="s">
        <v>663</v>
      </c>
      <c r="U3" s="1017" t="s">
        <v>265</v>
      </c>
      <c r="V3" s="1017" t="s">
        <v>266</v>
      </c>
      <c r="W3" s="1016" t="s">
        <v>548</v>
      </c>
      <c r="X3" s="1011" t="s">
        <v>664</v>
      </c>
      <c r="Y3" s="1017" t="s">
        <v>265</v>
      </c>
      <c r="Z3" s="1017" t="s">
        <v>266</v>
      </c>
      <c r="AA3" s="1016" t="s">
        <v>548</v>
      </c>
      <c r="AB3" s="1011" t="s">
        <v>665</v>
      </c>
      <c r="AC3" s="1017" t="s">
        <v>265</v>
      </c>
      <c r="AD3" s="1017" t="s">
        <v>266</v>
      </c>
      <c r="AE3" s="1016" t="s">
        <v>548</v>
      </c>
      <c r="AF3" s="1011" t="s">
        <v>149</v>
      </c>
      <c r="AG3" s="1017" t="s">
        <v>265</v>
      </c>
      <c r="AH3" s="1017" t="s">
        <v>266</v>
      </c>
      <c r="AI3" s="1016" t="s">
        <v>548</v>
      </c>
      <c r="AJ3" s="1011" t="s">
        <v>433</v>
      </c>
      <c r="AK3" s="1017" t="s">
        <v>265</v>
      </c>
      <c r="AL3" s="1017" t="s">
        <v>266</v>
      </c>
      <c r="AM3" s="1016" t="s">
        <v>548</v>
      </c>
    </row>
    <row r="4" spans="1:39" ht="19.5" customHeight="1">
      <c r="A4" s="1007"/>
      <c r="B4" s="1015"/>
      <c r="C4" s="1014">
        <v>662</v>
      </c>
      <c r="D4" s="1013"/>
      <c r="E4" s="1013"/>
      <c r="F4" s="946" t="s">
        <v>517</v>
      </c>
      <c r="G4" s="946"/>
      <c r="H4" s="946"/>
      <c r="I4" s="946"/>
      <c r="J4" s="946"/>
      <c r="K4" s="946"/>
      <c r="L4" s="1011" t="s">
        <v>521</v>
      </c>
      <c r="M4" s="1010"/>
      <c r="N4" s="1010"/>
      <c r="O4" s="1009"/>
      <c r="P4" s="1011" t="s">
        <v>521</v>
      </c>
      <c r="Q4" s="1010"/>
      <c r="R4" s="1010"/>
      <c r="S4" s="1009"/>
      <c r="T4" s="1011" t="s">
        <v>521</v>
      </c>
      <c r="U4" s="1010"/>
      <c r="V4" s="1010"/>
      <c r="W4" s="1009"/>
      <c r="X4" s="1011" t="s">
        <v>521</v>
      </c>
      <c r="Y4" s="1010"/>
      <c r="Z4" s="1010"/>
      <c r="AA4" s="1009"/>
      <c r="AB4" s="1011" t="s">
        <v>521</v>
      </c>
      <c r="AC4" s="1010"/>
      <c r="AD4" s="1010"/>
      <c r="AE4" s="1009"/>
      <c r="AF4" s="1011" t="s">
        <v>521</v>
      </c>
      <c r="AG4" s="1010"/>
      <c r="AH4" s="1010"/>
      <c r="AI4" s="1009"/>
      <c r="AJ4" s="1011" t="s">
        <v>393</v>
      </c>
      <c r="AK4" s="1010"/>
      <c r="AL4" s="1010"/>
      <c r="AM4" s="1009"/>
    </row>
    <row r="5" spans="1:39">
      <c r="A5" s="1007"/>
      <c r="B5" s="1015"/>
      <c r="C5" s="1014">
        <v>493</v>
      </c>
      <c r="D5" s="1013"/>
      <c r="E5" s="1013"/>
      <c r="F5" s="946" t="s">
        <v>520</v>
      </c>
      <c r="G5" s="946"/>
      <c r="H5" s="946"/>
      <c r="I5" s="946"/>
      <c r="J5" s="946"/>
      <c r="K5" s="946"/>
      <c r="L5" s="1011">
        <v>1</v>
      </c>
      <c r="M5" s="1010"/>
      <c r="N5" s="1010"/>
      <c r="O5" s="1009"/>
      <c r="P5" s="1011">
        <v>1</v>
      </c>
      <c r="Q5" s="1010"/>
      <c r="R5" s="1010"/>
      <c r="S5" s="1009"/>
      <c r="T5" s="1011">
        <v>1</v>
      </c>
      <c r="U5" s="1010"/>
      <c r="V5" s="1010"/>
      <c r="W5" s="1009"/>
      <c r="X5" s="1011">
        <v>1</v>
      </c>
      <c r="Y5" s="1010"/>
      <c r="Z5" s="1010"/>
      <c r="AA5" s="1009"/>
      <c r="AB5" s="1011">
        <v>1</v>
      </c>
      <c r="AC5" s="1010"/>
      <c r="AD5" s="1010"/>
      <c r="AE5" s="1009"/>
      <c r="AF5" s="1011">
        <v>1</v>
      </c>
      <c r="AG5" s="1010"/>
      <c r="AH5" s="1010"/>
      <c r="AI5" s="1009"/>
      <c r="AJ5" s="1011">
        <v>1</v>
      </c>
      <c r="AK5" s="1010"/>
      <c r="AL5" s="1010"/>
      <c r="AM5" s="1009"/>
    </row>
    <row r="6" spans="1:39">
      <c r="A6" s="1007"/>
      <c r="B6" s="1015"/>
      <c r="C6" s="1014">
        <v>403</v>
      </c>
      <c r="D6" s="1013"/>
      <c r="E6" s="1013"/>
      <c r="F6" s="946" t="s">
        <v>394</v>
      </c>
      <c r="G6" s="1012"/>
      <c r="H6" s="946"/>
      <c r="I6" s="946"/>
      <c r="J6" s="946"/>
      <c r="K6" s="946"/>
      <c r="L6" s="1011" t="s">
        <v>396</v>
      </c>
      <c r="M6" s="1010"/>
      <c r="N6" s="1010"/>
      <c r="O6" s="1009"/>
      <c r="P6" s="1011" t="s">
        <v>396</v>
      </c>
      <c r="Q6" s="1010"/>
      <c r="R6" s="1010"/>
      <c r="S6" s="1009"/>
      <c r="T6" s="1011" t="s">
        <v>396</v>
      </c>
      <c r="U6" s="1010"/>
      <c r="V6" s="1010"/>
      <c r="W6" s="1009"/>
      <c r="X6" s="1011" t="s">
        <v>396</v>
      </c>
      <c r="Y6" s="1010"/>
      <c r="Z6" s="1010"/>
      <c r="AA6" s="1009"/>
      <c r="AB6" s="1011" t="s">
        <v>396</v>
      </c>
      <c r="AC6" s="1010"/>
      <c r="AD6" s="1010"/>
      <c r="AE6" s="1009"/>
      <c r="AF6" s="1011" t="s">
        <v>396</v>
      </c>
      <c r="AG6" s="1010"/>
      <c r="AH6" s="1010"/>
      <c r="AI6" s="1009"/>
      <c r="AJ6" s="1011" t="s">
        <v>396</v>
      </c>
      <c r="AK6" s="1010"/>
      <c r="AL6" s="1010"/>
      <c r="AM6" s="1009"/>
    </row>
    <row r="7" spans="1:39" ht="24">
      <c r="A7" s="1008">
        <v>4807</v>
      </c>
      <c r="B7" s="990" t="s">
        <v>524</v>
      </c>
      <c r="C7" s="989" t="s">
        <v>525</v>
      </c>
      <c r="D7" s="1001" t="s">
        <v>526</v>
      </c>
      <c r="E7" s="1000" t="s">
        <v>402</v>
      </c>
      <c r="F7" s="509" t="s">
        <v>2004</v>
      </c>
      <c r="G7" s="997" t="s">
        <v>521</v>
      </c>
      <c r="H7" s="1003" t="s">
        <v>402</v>
      </c>
      <c r="I7" s="999" t="s">
        <v>402</v>
      </c>
      <c r="J7" s="998">
        <v>0</v>
      </c>
      <c r="K7" s="997" t="s">
        <v>395</v>
      </c>
      <c r="L7" s="995">
        <v>2.6353053416582344</v>
      </c>
      <c r="M7" s="994">
        <v>1</v>
      </c>
      <c r="N7" s="993">
        <v>2.0482753016103628</v>
      </c>
      <c r="O7" s="996" t="s">
        <v>2000</v>
      </c>
      <c r="P7" s="995">
        <v>3.2716908498667463</v>
      </c>
      <c r="Q7" s="994">
        <v>1</v>
      </c>
      <c r="R7" s="993">
        <v>2.0482753016103628</v>
      </c>
      <c r="S7" s="996" t="s">
        <v>2000</v>
      </c>
      <c r="T7" s="995">
        <v>2.5192008318119066</v>
      </c>
      <c r="U7" s="994">
        <v>1</v>
      </c>
      <c r="V7" s="993">
        <v>2.0482753016103628</v>
      </c>
      <c r="W7" s="996" t="s">
        <v>2000</v>
      </c>
      <c r="X7" s="995">
        <v>2.835471452807961</v>
      </c>
      <c r="Y7" s="994">
        <v>1</v>
      </c>
      <c r="Z7" s="993">
        <v>2.0482753016103628</v>
      </c>
      <c r="AA7" s="996" t="s">
        <v>2000</v>
      </c>
      <c r="AB7" s="995">
        <v>2.2481672145159179</v>
      </c>
      <c r="AC7" s="994">
        <v>1</v>
      </c>
      <c r="AD7" s="993">
        <v>2.0482753016103628</v>
      </c>
      <c r="AE7" s="992" t="s">
        <v>2000</v>
      </c>
      <c r="AF7" s="995">
        <v>3.9767038116284454</v>
      </c>
      <c r="AG7" s="994">
        <v>1</v>
      </c>
      <c r="AH7" s="993">
        <v>2.0482753016103628</v>
      </c>
      <c r="AI7" s="992" t="s">
        <v>2000</v>
      </c>
      <c r="AJ7" s="995">
        <v>2.2949999999999999</v>
      </c>
      <c r="AK7" s="994">
        <v>1</v>
      </c>
      <c r="AL7" s="993">
        <v>2.0482753016103628</v>
      </c>
      <c r="AM7" s="992" t="s">
        <v>2000</v>
      </c>
    </row>
    <row r="8" spans="1:39" ht="24">
      <c r="A8" s="1005">
        <v>1198</v>
      </c>
      <c r="B8" s="990" t="s">
        <v>525</v>
      </c>
      <c r="C8" s="989" t="s">
        <v>525</v>
      </c>
      <c r="D8" s="1001" t="s">
        <v>526</v>
      </c>
      <c r="E8" s="1000" t="s">
        <v>402</v>
      </c>
      <c r="F8" s="509" t="s">
        <v>54</v>
      </c>
      <c r="G8" s="997" t="s">
        <v>521</v>
      </c>
      <c r="H8" s="1003" t="s">
        <v>402</v>
      </c>
      <c r="I8" s="999" t="s">
        <v>402</v>
      </c>
      <c r="J8" s="998">
        <v>0</v>
      </c>
      <c r="K8" s="997" t="s">
        <v>395</v>
      </c>
      <c r="L8" s="995">
        <v>4.0261609386445248E-2</v>
      </c>
      <c r="M8" s="994">
        <v>1</v>
      </c>
      <c r="N8" s="993">
        <v>2.1801136974489768</v>
      </c>
      <c r="O8" s="996" t="s">
        <v>2002</v>
      </c>
      <c r="P8" s="995">
        <v>0</v>
      </c>
      <c r="Q8" s="994">
        <v>1</v>
      </c>
      <c r="R8" s="993">
        <v>2.1801136974489768</v>
      </c>
      <c r="S8" s="996" t="s">
        <v>2002</v>
      </c>
      <c r="T8" s="995">
        <v>1.8253737904726383E-2</v>
      </c>
      <c r="U8" s="994">
        <v>1</v>
      </c>
      <c r="V8" s="993">
        <v>2.1801136974489768</v>
      </c>
      <c r="W8" s="996" t="s">
        <v>2002</v>
      </c>
      <c r="X8" s="995">
        <v>0.13331785693567266</v>
      </c>
      <c r="Y8" s="994">
        <v>1</v>
      </c>
      <c r="Z8" s="993">
        <v>2.1801136974489768</v>
      </c>
      <c r="AA8" s="996" t="s">
        <v>2002</v>
      </c>
      <c r="AB8" s="995">
        <v>0.11429262956506793</v>
      </c>
      <c r="AC8" s="994">
        <v>1</v>
      </c>
      <c r="AD8" s="993">
        <v>2.1801136974489768</v>
      </c>
      <c r="AE8" s="992" t="s">
        <v>2002</v>
      </c>
      <c r="AF8" s="995">
        <v>8.6363636363636365E-2</v>
      </c>
      <c r="AG8" s="994">
        <v>1</v>
      </c>
      <c r="AH8" s="993">
        <v>2.1801136974489768</v>
      </c>
      <c r="AI8" s="992" t="s">
        <v>2002</v>
      </c>
      <c r="AJ8" s="995">
        <v>0.13331785693567266</v>
      </c>
      <c r="AK8" s="994">
        <v>1</v>
      </c>
      <c r="AL8" s="993">
        <v>2.1801136974489768</v>
      </c>
      <c r="AM8" s="992" t="s">
        <v>2002</v>
      </c>
    </row>
    <row r="9" spans="1:39" ht="24">
      <c r="A9" s="1007">
        <v>1259</v>
      </c>
      <c r="B9" s="990" t="s">
        <v>525</v>
      </c>
      <c r="C9" s="989" t="s">
        <v>525</v>
      </c>
      <c r="D9" s="1001" t="s">
        <v>526</v>
      </c>
      <c r="E9" s="1000" t="s">
        <v>402</v>
      </c>
      <c r="F9" s="509" t="s">
        <v>55</v>
      </c>
      <c r="G9" s="997" t="s">
        <v>521</v>
      </c>
      <c r="H9" s="1003" t="s">
        <v>402</v>
      </c>
      <c r="I9" s="999" t="s">
        <v>402</v>
      </c>
      <c r="J9" s="998">
        <v>0</v>
      </c>
      <c r="K9" s="997" t="s">
        <v>395</v>
      </c>
      <c r="L9" s="995">
        <v>7.3202926157173176E-4</v>
      </c>
      <c r="M9" s="994">
        <v>1</v>
      </c>
      <c r="N9" s="993">
        <v>2.0482753016103628</v>
      </c>
      <c r="O9" s="996" t="s">
        <v>2003</v>
      </c>
      <c r="P9" s="995">
        <v>0</v>
      </c>
      <c r="Q9" s="994">
        <v>1</v>
      </c>
      <c r="R9" s="993">
        <v>2.0482753016103628</v>
      </c>
      <c r="S9" s="996" t="s">
        <v>2003</v>
      </c>
      <c r="T9" s="995">
        <v>1.9221186013676879</v>
      </c>
      <c r="U9" s="994">
        <v>1</v>
      </c>
      <c r="V9" s="993">
        <v>2.0482753016103628</v>
      </c>
      <c r="W9" s="996" t="s">
        <v>2003</v>
      </c>
      <c r="X9" s="995">
        <v>1.4033458624807648E-3</v>
      </c>
      <c r="Y9" s="994">
        <v>1</v>
      </c>
      <c r="Z9" s="993">
        <v>2.0482753016103628</v>
      </c>
      <c r="AA9" s="996" t="s">
        <v>2003</v>
      </c>
      <c r="AB9" s="995">
        <v>2.818327025337445E-2</v>
      </c>
      <c r="AC9" s="994">
        <v>1</v>
      </c>
      <c r="AD9" s="993">
        <v>2.0482753016103628</v>
      </c>
      <c r="AE9" s="992" t="s">
        <v>2003</v>
      </c>
      <c r="AF9" s="995">
        <v>9.0909090909090909E-4</v>
      </c>
      <c r="AG9" s="994">
        <v>1</v>
      </c>
      <c r="AH9" s="993">
        <v>2.0482753016103628</v>
      </c>
      <c r="AI9" s="992" t="s">
        <v>2003</v>
      </c>
      <c r="AJ9" s="995">
        <v>1.4033458624807648E-3</v>
      </c>
      <c r="AK9" s="994">
        <v>1</v>
      </c>
      <c r="AL9" s="993">
        <v>2.0482753016103628</v>
      </c>
      <c r="AM9" s="992" t="s">
        <v>2003</v>
      </c>
    </row>
    <row r="10" spans="1:39" ht="12.75">
      <c r="A10" s="1007">
        <v>1266</v>
      </c>
      <c r="B10" s="990" t="s">
        <v>525</v>
      </c>
      <c r="C10" s="989" t="s">
        <v>525</v>
      </c>
      <c r="D10" s="1001" t="s">
        <v>526</v>
      </c>
      <c r="E10" s="1000" t="s">
        <v>402</v>
      </c>
      <c r="F10" s="509" t="s">
        <v>56</v>
      </c>
      <c r="G10" s="997" t="s">
        <v>521</v>
      </c>
      <c r="H10" s="1003" t="s">
        <v>402</v>
      </c>
      <c r="I10" s="999" t="s">
        <v>402</v>
      </c>
      <c r="J10" s="998">
        <v>0</v>
      </c>
      <c r="K10" s="997" t="s">
        <v>395</v>
      </c>
      <c r="L10" s="995">
        <v>3.6601463078586591E-3</v>
      </c>
      <c r="M10" s="994">
        <v>1</v>
      </c>
      <c r="N10" s="993">
        <v>2.1801136974489768</v>
      </c>
      <c r="O10" s="996" t="s">
        <v>2002</v>
      </c>
      <c r="P10" s="995">
        <v>0</v>
      </c>
      <c r="Q10" s="994">
        <v>1</v>
      </c>
      <c r="R10" s="993">
        <v>2.1801136974489768</v>
      </c>
      <c r="S10" s="996" t="s">
        <v>2002</v>
      </c>
      <c r="T10" s="995">
        <v>8.297153593057445E-3</v>
      </c>
      <c r="U10" s="994">
        <v>1</v>
      </c>
      <c r="V10" s="993">
        <v>2.1801136974489768</v>
      </c>
      <c r="W10" s="996" t="s">
        <v>2002</v>
      </c>
      <c r="X10" s="995">
        <v>7.0167293124038252E-3</v>
      </c>
      <c r="Y10" s="994">
        <v>1</v>
      </c>
      <c r="Z10" s="993">
        <v>2.1801136974489768</v>
      </c>
      <c r="AA10" s="996" t="s">
        <v>2002</v>
      </c>
      <c r="AB10" s="995">
        <v>6.0154015560562072E-3</v>
      </c>
      <c r="AC10" s="994">
        <v>1</v>
      </c>
      <c r="AD10" s="993">
        <v>2.1801136974489768</v>
      </c>
      <c r="AE10" s="992" t="s">
        <v>2002</v>
      </c>
      <c r="AF10" s="995">
        <v>4.5454545454545461E-3</v>
      </c>
      <c r="AG10" s="994">
        <v>1</v>
      </c>
      <c r="AH10" s="993">
        <v>2.1801136974489768</v>
      </c>
      <c r="AI10" s="992" t="s">
        <v>2002</v>
      </c>
      <c r="AJ10" s="995">
        <v>7.0167293124038252E-3</v>
      </c>
      <c r="AK10" s="994">
        <v>1</v>
      </c>
      <c r="AL10" s="993">
        <v>2.1801136974489768</v>
      </c>
      <c r="AM10" s="992" t="s">
        <v>2002</v>
      </c>
    </row>
    <row r="11" spans="1:39" ht="24">
      <c r="A11" s="1007">
        <v>1270</v>
      </c>
      <c r="B11" s="990" t="s">
        <v>525</v>
      </c>
      <c r="C11" s="989" t="s">
        <v>525</v>
      </c>
      <c r="D11" s="1001" t="s">
        <v>526</v>
      </c>
      <c r="E11" s="1000" t="s">
        <v>402</v>
      </c>
      <c r="F11" s="509" t="s">
        <v>2001</v>
      </c>
      <c r="G11" s="997" t="s">
        <v>521</v>
      </c>
      <c r="H11" s="1003" t="s">
        <v>402</v>
      </c>
      <c r="I11" s="999" t="s">
        <v>402</v>
      </c>
      <c r="J11" s="998">
        <v>0</v>
      </c>
      <c r="K11" s="997" t="s">
        <v>395</v>
      </c>
      <c r="L11" s="995">
        <v>0</v>
      </c>
      <c r="M11" s="994">
        <v>1</v>
      </c>
      <c r="N11" s="993">
        <v>2.0482753016103628</v>
      </c>
      <c r="O11" s="996" t="s">
        <v>2000</v>
      </c>
      <c r="P11" s="995">
        <v>0</v>
      </c>
      <c r="Q11" s="994">
        <v>1</v>
      </c>
      <c r="R11" s="993">
        <v>2.0482753016103628</v>
      </c>
      <c r="S11" s="996" t="s">
        <v>2000</v>
      </c>
      <c r="T11" s="995">
        <v>0</v>
      </c>
      <c r="U11" s="994">
        <v>1</v>
      </c>
      <c r="V11" s="993">
        <v>2.0482753016103628</v>
      </c>
      <c r="W11" s="996" t="s">
        <v>2000</v>
      </c>
      <c r="X11" s="995">
        <v>0</v>
      </c>
      <c r="Y11" s="994">
        <v>1</v>
      </c>
      <c r="Z11" s="993">
        <v>2.0482753016103628</v>
      </c>
      <c r="AA11" s="996" t="s">
        <v>2000</v>
      </c>
      <c r="AB11" s="995">
        <v>1.8380393643505077E-2</v>
      </c>
      <c r="AC11" s="994">
        <v>1</v>
      </c>
      <c r="AD11" s="993">
        <v>2.0482753016103628</v>
      </c>
      <c r="AE11" s="992" t="s">
        <v>2000</v>
      </c>
      <c r="AF11" s="995">
        <v>0</v>
      </c>
      <c r="AG11" s="994">
        <v>1</v>
      </c>
      <c r="AH11" s="993">
        <v>2.0482753016103628</v>
      </c>
      <c r="AI11" s="992" t="s">
        <v>2000</v>
      </c>
      <c r="AJ11" s="995">
        <v>0</v>
      </c>
      <c r="AK11" s="994">
        <v>1</v>
      </c>
      <c r="AL11" s="993">
        <v>2.0482753016103628</v>
      </c>
      <c r="AM11" s="992" t="s">
        <v>2000</v>
      </c>
    </row>
    <row r="12" spans="1:39" ht="24">
      <c r="A12" s="1004">
        <v>853</v>
      </c>
      <c r="B12" s="990" t="s">
        <v>525</v>
      </c>
      <c r="C12" s="989" t="s">
        <v>525</v>
      </c>
      <c r="D12" s="1001" t="s">
        <v>526</v>
      </c>
      <c r="E12" s="1000" t="s">
        <v>402</v>
      </c>
      <c r="F12" s="509" t="s">
        <v>504</v>
      </c>
      <c r="G12" s="997" t="s">
        <v>521</v>
      </c>
      <c r="H12" s="1003" t="s">
        <v>402</v>
      </c>
      <c r="I12" s="999" t="s">
        <v>402</v>
      </c>
      <c r="J12" s="998">
        <v>0</v>
      </c>
      <c r="K12" s="997" t="s">
        <v>395</v>
      </c>
      <c r="L12" s="995">
        <v>0</v>
      </c>
      <c r="M12" s="994">
        <v>1</v>
      </c>
      <c r="N12" s="993">
        <v>2.0482753016103628</v>
      </c>
      <c r="O12" s="996" t="s">
        <v>2000</v>
      </c>
      <c r="P12" s="995">
        <v>0</v>
      </c>
      <c r="Q12" s="994">
        <v>1</v>
      </c>
      <c r="R12" s="993">
        <v>2.0482753016103628</v>
      </c>
      <c r="S12" s="996" t="s">
        <v>2000</v>
      </c>
      <c r="T12" s="995">
        <v>0</v>
      </c>
      <c r="U12" s="994">
        <v>1</v>
      </c>
      <c r="V12" s="993">
        <v>2.0482753016103628</v>
      </c>
      <c r="W12" s="996" t="s">
        <v>2000</v>
      </c>
      <c r="X12" s="995">
        <v>0</v>
      </c>
      <c r="Y12" s="994">
        <v>1</v>
      </c>
      <c r="Z12" s="993">
        <v>2.0482753016103628</v>
      </c>
      <c r="AA12" s="996" t="s">
        <v>2000</v>
      </c>
      <c r="AB12" s="995">
        <v>1.2439850417924236</v>
      </c>
      <c r="AC12" s="994">
        <v>1</v>
      </c>
      <c r="AD12" s="993">
        <v>2.0482753016103628</v>
      </c>
      <c r="AE12" s="992" t="s">
        <v>2000</v>
      </c>
      <c r="AF12" s="995">
        <v>0</v>
      </c>
      <c r="AG12" s="994">
        <v>1</v>
      </c>
      <c r="AH12" s="993">
        <v>2.0482753016103628</v>
      </c>
      <c r="AI12" s="992" t="s">
        <v>2000</v>
      </c>
      <c r="AJ12" s="995">
        <v>0</v>
      </c>
      <c r="AK12" s="994">
        <v>1</v>
      </c>
      <c r="AL12" s="993">
        <v>2.0482753016103628</v>
      </c>
      <c r="AM12" s="992" t="s">
        <v>2000</v>
      </c>
    </row>
    <row r="13" spans="1:39" ht="24">
      <c r="A13" s="1007">
        <v>1132</v>
      </c>
      <c r="B13" s="990" t="s">
        <v>525</v>
      </c>
      <c r="C13" s="989" t="s">
        <v>525</v>
      </c>
      <c r="D13" s="1001" t="s">
        <v>526</v>
      </c>
      <c r="E13" s="1000" t="s">
        <v>402</v>
      </c>
      <c r="F13" s="509" t="s">
        <v>620</v>
      </c>
      <c r="G13" s="997" t="s">
        <v>521</v>
      </c>
      <c r="H13" s="1003" t="s">
        <v>402</v>
      </c>
      <c r="I13" s="999" t="s">
        <v>402</v>
      </c>
      <c r="J13" s="998">
        <v>0</v>
      </c>
      <c r="K13" s="997" t="s">
        <v>395</v>
      </c>
      <c r="L13" s="995">
        <v>1.7971318371586016</v>
      </c>
      <c r="M13" s="994">
        <v>1</v>
      </c>
      <c r="N13" s="993">
        <v>2.0482753016103628</v>
      </c>
      <c r="O13" s="996" t="s">
        <v>2000</v>
      </c>
      <c r="P13" s="995">
        <v>0</v>
      </c>
      <c r="Q13" s="994">
        <v>1</v>
      </c>
      <c r="R13" s="993">
        <v>2.0482753016103628</v>
      </c>
      <c r="S13" s="996" t="s">
        <v>2000</v>
      </c>
      <c r="T13" s="995">
        <v>0.26678114519544038</v>
      </c>
      <c r="U13" s="994">
        <v>1</v>
      </c>
      <c r="V13" s="993">
        <v>2.0482753016103628</v>
      </c>
      <c r="W13" s="996" t="s">
        <v>2000</v>
      </c>
      <c r="X13" s="995">
        <v>1.4998815788541937</v>
      </c>
      <c r="Y13" s="994">
        <v>1</v>
      </c>
      <c r="Z13" s="993">
        <v>2.0482753016103628</v>
      </c>
      <c r="AA13" s="996" t="s">
        <v>2000</v>
      </c>
      <c r="AB13" s="995">
        <v>0.20046882667182872</v>
      </c>
      <c r="AC13" s="994">
        <v>1</v>
      </c>
      <c r="AD13" s="993">
        <v>2.0482753016103628</v>
      </c>
      <c r="AE13" s="992" t="s">
        <v>2000</v>
      </c>
      <c r="AF13" s="995" t="s">
        <v>402</v>
      </c>
      <c r="AG13" s="994">
        <v>1</v>
      </c>
      <c r="AH13" s="993">
        <v>2.0482753016103628</v>
      </c>
      <c r="AI13" s="992" t="s">
        <v>2000</v>
      </c>
      <c r="AJ13" s="995">
        <v>0</v>
      </c>
      <c r="AK13" s="994">
        <v>1</v>
      </c>
      <c r="AL13" s="993">
        <v>2.0482753016103628</v>
      </c>
      <c r="AM13" s="992" t="s">
        <v>2000</v>
      </c>
    </row>
    <row r="14" spans="1:39" ht="24">
      <c r="A14" s="1005">
        <v>968</v>
      </c>
      <c r="B14" s="990" t="s">
        <v>525</v>
      </c>
      <c r="C14" s="989" t="s">
        <v>525</v>
      </c>
      <c r="D14" s="1001" t="s">
        <v>526</v>
      </c>
      <c r="E14" s="1000" t="s">
        <v>402</v>
      </c>
      <c r="F14" s="509" t="s">
        <v>1999</v>
      </c>
      <c r="G14" s="997" t="s">
        <v>521</v>
      </c>
      <c r="H14" s="1003" t="s">
        <v>402</v>
      </c>
      <c r="I14" s="999" t="s">
        <v>402</v>
      </c>
      <c r="J14" s="998">
        <v>0</v>
      </c>
      <c r="K14" s="997" t="s">
        <v>395</v>
      </c>
      <c r="L14" s="995">
        <v>0</v>
      </c>
      <c r="M14" s="994">
        <v>1</v>
      </c>
      <c r="N14" s="993">
        <v>2.1017337433591363</v>
      </c>
      <c r="O14" s="996" t="s">
        <v>1995</v>
      </c>
      <c r="P14" s="995">
        <v>0</v>
      </c>
      <c r="Q14" s="994">
        <v>1</v>
      </c>
      <c r="R14" s="993">
        <v>2.1017337433591363</v>
      </c>
      <c r="S14" s="996" t="s">
        <v>1995</v>
      </c>
      <c r="T14" s="995">
        <v>0</v>
      </c>
      <c r="U14" s="994">
        <v>1</v>
      </c>
      <c r="V14" s="993">
        <v>2.1017337433591363</v>
      </c>
      <c r="W14" s="996" t="s">
        <v>1995</v>
      </c>
      <c r="X14" s="995">
        <v>0</v>
      </c>
      <c r="Y14" s="994">
        <v>1</v>
      </c>
      <c r="Z14" s="993">
        <v>2.1017337433591363</v>
      </c>
      <c r="AA14" s="996" t="s">
        <v>1995</v>
      </c>
      <c r="AB14" s="995">
        <v>0</v>
      </c>
      <c r="AC14" s="994">
        <v>1</v>
      </c>
      <c r="AD14" s="993">
        <v>2.1017337433591363</v>
      </c>
      <c r="AE14" s="992" t="s">
        <v>1995</v>
      </c>
      <c r="AF14" s="995">
        <v>0.24746678828397176</v>
      </c>
      <c r="AG14" s="994">
        <v>1</v>
      </c>
      <c r="AH14" s="993">
        <v>2.1017337433591363</v>
      </c>
      <c r="AI14" s="992" t="s">
        <v>1995</v>
      </c>
      <c r="AJ14" s="995">
        <v>6.5000000000000002E-2</v>
      </c>
      <c r="AK14" s="994">
        <v>1</v>
      </c>
      <c r="AL14" s="993">
        <v>2.1017337433591363</v>
      </c>
      <c r="AM14" s="992" t="s">
        <v>1995</v>
      </c>
    </row>
    <row r="15" spans="1:39" ht="12.75" hidden="1">
      <c r="A15" s="1005">
        <v>3133</v>
      </c>
      <c r="B15" s="990" t="s">
        <v>525</v>
      </c>
      <c r="C15" s="989" t="s">
        <v>525</v>
      </c>
      <c r="D15" s="1001" t="s">
        <v>526</v>
      </c>
      <c r="E15" s="1000" t="s">
        <v>402</v>
      </c>
      <c r="F15" s="509" t="s">
        <v>1998</v>
      </c>
      <c r="G15" s="997" t="s">
        <v>393</v>
      </c>
      <c r="H15" s="1003" t="s">
        <v>402</v>
      </c>
      <c r="I15" s="999" t="s">
        <v>402</v>
      </c>
      <c r="J15" s="998">
        <v>0</v>
      </c>
      <c r="K15" s="997" t="s">
        <v>395</v>
      </c>
      <c r="L15" s="995">
        <v>0</v>
      </c>
      <c r="M15" s="994">
        <v>1</v>
      </c>
      <c r="N15" s="993">
        <v>2.1801136974489768</v>
      </c>
      <c r="O15" s="996" t="s">
        <v>1997</v>
      </c>
      <c r="P15" s="995">
        <v>0</v>
      </c>
      <c r="Q15" s="994">
        <v>1</v>
      </c>
      <c r="R15" s="993">
        <v>2.1801136974489768</v>
      </c>
      <c r="S15" s="996" t="s">
        <v>1997</v>
      </c>
      <c r="T15" s="995">
        <v>0</v>
      </c>
      <c r="U15" s="994">
        <v>1</v>
      </c>
      <c r="V15" s="993">
        <v>2.1801136974489768</v>
      </c>
      <c r="W15" s="996" t="s">
        <v>1997</v>
      </c>
      <c r="X15" s="995">
        <v>0</v>
      </c>
      <c r="Y15" s="994">
        <v>1</v>
      </c>
      <c r="Z15" s="993">
        <v>2.1801136974489768</v>
      </c>
      <c r="AA15" s="996" t="s">
        <v>1997</v>
      </c>
      <c r="AB15" s="995">
        <v>0</v>
      </c>
      <c r="AC15" s="994">
        <v>1</v>
      </c>
      <c r="AD15" s="993">
        <v>2.1801136974489768</v>
      </c>
      <c r="AE15" s="992" t="s">
        <v>1997</v>
      </c>
      <c r="AF15" s="995"/>
      <c r="AG15" s="994">
        <v>1</v>
      </c>
      <c r="AH15" s="993">
        <v>2.1801136974489768</v>
      </c>
      <c r="AI15" s="992" t="s">
        <v>1997</v>
      </c>
      <c r="AJ15" s="995">
        <v>0</v>
      </c>
      <c r="AK15" s="994">
        <v>1</v>
      </c>
      <c r="AL15" s="993">
        <v>2.1801136974489768</v>
      </c>
      <c r="AM15" s="992" t="s">
        <v>1997</v>
      </c>
    </row>
    <row r="16" spans="1:39" ht="24">
      <c r="A16" s="1005">
        <v>942</v>
      </c>
      <c r="B16" s="990" t="s">
        <v>525</v>
      </c>
      <c r="C16" s="989" t="s">
        <v>525</v>
      </c>
      <c r="D16" s="1001" t="s">
        <v>526</v>
      </c>
      <c r="E16" s="1000" t="s">
        <v>402</v>
      </c>
      <c r="F16" s="509" t="s">
        <v>1996</v>
      </c>
      <c r="G16" s="997" t="s">
        <v>521</v>
      </c>
      <c r="H16" s="1003" t="s">
        <v>402</v>
      </c>
      <c r="I16" s="999" t="s">
        <v>402</v>
      </c>
      <c r="J16" s="998">
        <v>0</v>
      </c>
      <c r="K16" s="997" t="s">
        <v>395</v>
      </c>
      <c r="L16" s="995" t="s">
        <v>402</v>
      </c>
      <c r="M16" s="994">
        <v>1</v>
      </c>
      <c r="N16" s="993">
        <v>2.1017337433591363</v>
      </c>
      <c r="O16" s="996" t="s">
        <v>1995</v>
      </c>
      <c r="P16" s="995">
        <v>0</v>
      </c>
      <c r="Q16" s="994">
        <v>1</v>
      </c>
      <c r="R16" s="993">
        <v>2.1017337433591363</v>
      </c>
      <c r="S16" s="996" t="s">
        <v>1995</v>
      </c>
      <c r="T16" s="995" t="s">
        <v>402</v>
      </c>
      <c r="U16" s="994">
        <v>1</v>
      </c>
      <c r="V16" s="993">
        <v>2.1017337433591363</v>
      </c>
      <c r="W16" s="996" t="s">
        <v>1995</v>
      </c>
      <c r="X16" s="995" t="s">
        <v>402</v>
      </c>
      <c r="Y16" s="994">
        <v>1</v>
      </c>
      <c r="Z16" s="993">
        <v>2.1017337433591363</v>
      </c>
      <c r="AA16" s="996" t="s">
        <v>1995</v>
      </c>
      <c r="AB16" s="995" t="s">
        <v>402</v>
      </c>
      <c r="AC16" s="994">
        <v>1</v>
      </c>
      <c r="AD16" s="993">
        <v>2.1017337433591363</v>
      </c>
      <c r="AE16" s="992" t="s">
        <v>1995</v>
      </c>
      <c r="AF16" s="995">
        <v>7.2089528575863779</v>
      </c>
      <c r="AG16" s="994">
        <v>1</v>
      </c>
      <c r="AH16" s="993">
        <v>2.1017337433591363</v>
      </c>
      <c r="AI16" s="992" t="s">
        <v>1995</v>
      </c>
      <c r="AJ16" s="995" t="s">
        <v>402</v>
      </c>
      <c r="AK16" s="994">
        <v>1</v>
      </c>
      <c r="AL16" s="993">
        <v>2.1017337433591363</v>
      </c>
      <c r="AM16" s="992" t="s">
        <v>1995</v>
      </c>
    </row>
    <row r="17" spans="1:39" ht="12.75">
      <c r="A17" s="1005">
        <v>2745</v>
      </c>
      <c r="B17" s="990" t="s">
        <v>525</v>
      </c>
      <c r="C17" s="989" t="s">
        <v>525</v>
      </c>
      <c r="D17" s="1001" t="s">
        <v>526</v>
      </c>
      <c r="E17" s="1000" t="s">
        <v>402</v>
      </c>
      <c r="F17" s="509" t="s">
        <v>1994</v>
      </c>
      <c r="G17" s="997" t="s">
        <v>393</v>
      </c>
      <c r="H17" s="1003" t="s">
        <v>402</v>
      </c>
      <c r="I17" s="999" t="s">
        <v>402</v>
      </c>
      <c r="J17" s="998">
        <v>0</v>
      </c>
      <c r="K17" s="997" t="s">
        <v>409</v>
      </c>
      <c r="L17" s="995" t="s">
        <v>402</v>
      </c>
      <c r="M17" s="994">
        <v>1</v>
      </c>
      <c r="N17" s="993">
        <v>2.1801136974489768</v>
      </c>
      <c r="O17" s="996" t="s">
        <v>1993</v>
      </c>
      <c r="P17" s="995">
        <v>0</v>
      </c>
      <c r="Q17" s="994">
        <v>1</v>
      </c>
      <c r="R17" s="993">
        <v>2.1801136974489768</v>
      </c>
      <c r="S17" s="996" t="s">
        <v>1993</v>
      </c>
      <c r="T17" s="995">
        <v>0</v>
      </c>
      <c r="U17" s="994">
        <v>1</v>
      </c>
      <c r="V17" s="993">
        <v>2.1801136974489768</v>
      </c>
      <c r="W17" s="996" t="s">
        <v>1993</v>
      </c>
      <c r="X17" s="995">
        <v>0</v>
      </c>
      <c r="Y17" s="994">
        <v>1</v>
      </c>
      <c r="Z17" s="993">
        <v>2.1801136974489768</v>
      </c>
      <c r="AA17" s="996" t="s">
        <v>1993</v>
      </c>
      <c r="AB17" s="995" t="s">
        <v>402</v>
      </c>
      <c r="AC17" s="994">
        <v>1</v>
      </c>
      <c r="AD17" s="993">
        <v>2.1801136974489768</v>
      </c>
      <c r="AE17" s="992" t="s">
        <v>1993</v>
      </c>
      <c r="AF17" s="995">
        <v>5.374633775668457E-4</v>
      </c>
      <c r="AG17" s="994">
        <v>1</v>
      </c>
      <c r="AH17" s="993">
        <v>2.1801136974489768</v>
      </c>
      <c r="AI17" s="992" t="s">
        <v>1993</v>
      </c>
      <c r="AJ17" s="995">
        <v>0</v>
      </c>
      <c r="AK17" s="994">
        <v>1</v>
      </c>
      <c r="AL17" s="993">
        <v>2.1801136974489768</v>
      </c>
      <c r="AM17" s="992" t="s">
        <v>1993</v>
      </c>
    </row>
    <row r="18" spans="1:39" ht="12.75">
      <c r="A18" s="1005">
        <v>1092</v>
      </c>
      <c r="B18" s="990" t="s">
        <v>525</v>
      </c>
      <c r="C18" s="989" t="s">
        <v>525</v>
      </c>
      <c r="D18" s="1001" t="s">
        <v>526</v>
      </c>
      <c r="E18" s="1000" t="s">
        <v>402</v>
      </c>
      <c r="F18" s="509" t="s">
        <v>1992</v>
      </c>
      <c r="G18" s="997" t="s">
        <v>521</v>
      </c>
      <c r="H18" s="1003" t="s">
        <v>402</v>
      </c>
      <c r="I18" s="999" t="s">
        <v>402</v>
      </c>
      <c r="J18" s="998">
        <v>0</v>
      </c>
      <c r="K18" s="997" t="s">
        <v>395</v>
      </c>
      <c r="L18" s="995">
        <v>2.6353053416582344</v>
      </c>
      <c r="M18" s="994">
        <v>1</v>
      </c>
      <c r="N18" s="993">
        <v>2.1801136974489768</v>
      </c>
      <c r="O18" s="996" t="s">
        <v>1987</v>
      </c>
      <c r="P18" s="995">
        <v>3.2716908498667463</v>
      </c>
      <c r="Q18" s="994">
        <v>1</v>
      </c>
      <c r="R18" s="993">
        <v>2.1801136974489768</v>
      </c>
      <c r="S18" s="996" t="s">
        <v>1987</v>
      </c>
      <c r="T18" s="995">
        <v>2.5192008318119066</v>
      </c>
      <c r="U18" s="994">
        <v>1</v>
      </c>
      <c r="V18" s="993">
        <v>2.1801136974489768</v>
      </c>
      <c r="W18" s="996" t="s">
        <v>1987</v>
      </c>
      <c r="X18" s="995">
        <v>2.835471452807961</v>
      </c>
      <c r="Y18" s="994">
        <v>1</v>
      </c>
      <c r="Z18" s="993">
        <v>2.1801136974489768</v>
      </c>
      <c r="AA18" s="996" t="s">
        <v>1987</v>
      </c>
      <c r="AB18" s="995">
        <v>2.2481672145159179</v>
      </c>
      <c r="AC18" s="994">
        <v>1</v>
      </c>
      <c r="AD18" s="993">
        <v>2.1801136974489768</v>
      </c>
      <c r="AE18" s="992" t="s">
        <v>1987</v>
      </c>
      <c r="AF18" s="995">
        <v>3.9767038116284454</v>
      </c>
      <c r="AG18" s="994">
        <v>1</v>
      </c>
      <c r="AH18" s="993">
        <v>2.1801136974489768</v>
      </c>
      <c r="AI18" s="992" t="s">
        <v>1987</v>
      </c>
      <c r="AJ18" s="995">
        <v>2.2949999999999999</v>
      </c>
      <c r="AK18" s="994">
        <v>1</v>
      </c>
      <c r="AL18" s="993">
        <v>2.1801136974489768</v>
      </c>
      <c r="AM18" s="992" t="s">
        <v>1987</v>
      </c>
    </row>
    <row r="19" spans="1:39" ht="12.75">
      <c r="A19" s="1004">
        <v>1121</v>
      </c>
      <c r="B19" s="990" t="s">
        <v>525</v>
      </c>
      <c r="C19" s="989" t="s">
        <v>525</v>
      </c>
      <c r="D19" s="1001" t="s">
        <v>526</v>
      </c>
      <c r="E19" s="1000" t="s">
        <v>402</v>
      </c>
      <c r="F19" s="509" t="s">
        <v>57</v>
      </c>
      <c r="G19" s="997" t="s">
        <v>521</v>
      </c>
      <c r="H19" s="1003" t="s">
        <v>402</v>
      </c>
      <c r="I19" s="999" t="s">
        <v>402</v>
      </c>
      <c r="J19" s="998">
        <v>0</v>
      </c>
      <c r="K19" s="997" t="s">
        <v>395</v>
      </c>
      <c r="L19" s="995">
        <v>0.10980438923575976</v>
      </c>
      <c r="M19" s="994">
        <v>1</v>
      </c>
      <c r="N19" s="993">
        <v>2.1801136974489768</v>
      </c>
      <c r="O19" s="996" t="s">
        <v>1987</v>
      </c>
      <c r="P19" s="995">
        <v>0</v>
      </c>
      <c r="Q19" s="994">
        <v>1</v>
      </c>
      <c r="R19" s="993">
        <v>2.1801136974489768</v>
      </c>
      <c r="S19" s="996" t="s">
        <v>1987</v>
      </c>
      <c r="T19" s="995">
        <v>0.26678114519544038</v>
      </c>
      <c r="U19" s="994">
        <v>1</v>
      </c>
      <c r="V19" s="993">
        <v>2.1801136974489768</v>
      </c>
      <c r="W19" s="996" t="s">
        <v>1987</v>
      </c>
      <c r="X19" s="995">
        <v>1.4998815788541937</v>
      </c>
      <c r="Y19" s="994">
        <v>1</v>
      </c>
      <c r="Z19" s="993">
        <v>2.1801136974489768</v>
      </c>
      <c r="AA19" s="996" t="s">
        <v>1987</v>
      </c>
      <c r="AB19" s="995">
        <v>0</v>
      </c>
      <c r="AC19" s="994">
        <v>1</v>
      </c>
      <c r="AD19" s="993">
        <v>2.1801136974489768</v>
      </c>
      <c r="AE19" s="992" t="s">
        <v>1987</v>
      </c>
      <c r="AF19" s="995">
        <v>0</v>
      </c>
      <c r="AG19" s="994">
        <v>1</v>
      </c>
      <c r="AH19" s="993">
        <v>2.1801136974489768</v>
      </c>
      <c r="AI19" s="992" t="s">
        <v>1987</v>
      </c>
      <c r="AJ19" s="995" t="s">
        <v>402</v>
      </c>
      <c r="AK19" s="994">
        <v>1</v>
      </c>
      <c r="AL19" s="993">
        <v>2.1801136974489768</v>
      </c>
      <c r="AM19" s="992" t="s">
        <v>1987</v>
      </c>
    </row>
    <row r="20" spans="1:39" ht="12.75">
      <c r="A20" s="1004">
        <v>1094</v>
      </c>
      <c r="B20" s="990" t="s">
        <v>525</v>
      </c>
      <c r="C20" s="989" t="s">
        <v>525</v>
      </c>
      <c r="D20" s="1001" t="s">
        <v>526</v>
      </c>
      <c r="E20" s="1000" t="s">
        <v>402</v>
      </c>
      <c r="F20" s="509" t="s">
        <v>1991</v>
      </c>
      <c r="G20" s="997" t="s">
        <v>521</v>
      </c>
      <c r="H20" s="1003" t="s">
        <v>402</v>
      </c>
      <c r="I20" s="999" t="s">
        <v>402</v>
      </c>
      <c r="J20" s="998">
        <v>0</v>
      </c>
      <c r="K20" s="997" t="s">
        <v>395</v>
      </c>
      <c r="L20" s="995">
        <v>1.6873274479228419</v>
      </c>
      <c r="M20" s="994">
        <v>1</v>
      </c>
      <c r="N20" s="993">
        <v>2.1801136974489768</v>
      </c>
      <c r="O20" s="996" t="s">
        <v>1990</v>
      </c>
      <c r="P20" s="995">
        <v>0</v>
      </c>
      <c r="Q20" s="994">
        <v>1</v>
      </c>
      <c r="R20" s="993">
        <v>2.1801136974489768</v>
      </c>
      <c r="S20" s="996" t="s">
        <v>1990</v>
      </c>
      <c r="T20" s="995">
        <v>0</v>
      </c>
      <c r="U20" s="994">
        <v>1</v>
      </c>
      <c r="V20" s="993">
        <v>2.1801136974489768</v>
      </c>
      <c r="W20" s="996" t="s">
        <v>1990</v>
      </c>
      <c r="X20" s="995">
        <v>0</v>
      </c>
      <c r="Y20" s="994">
        <v>1</v>
      </c>
      <c r="Z20" s="993">
        <v>2.1801136974489768</v>
      </c>
      <c r="AA20" s="996" t="s">
        <v>1990</v>
      </c>
      <c r="AB20" s="995">
        <v>0.20046882667182872</v>
      </c>
      <c r="AC20" s="994">
        <v>1</v>
      </c>
      <c r="AD20" s="993">
        <v>2.1801136974489768</v>
      </c>
      <c r="AE20" s="992" t="s">
        <v>1990</v>
      </c>
      <c r="AF20" s="995">
        <v>6.1499871671060298</v>
      </c>
      <c r="AG20" s="994">
        <v>1</v>
      </c>
      <c r="AH20" s="993">
        <v>2.1801136974489768</v>
      </c>
      <c r="AI20" s="992" t="s">
        <v>1990</v>
      </c>
      <c r="AJ20" s="995">
        <v>0</v>
      </c>
      <c r="AK20" s="994">
        <v>1</v>
      </c>
      <c r="AL20" s="993">
        <v>2.1801136974489768</v>
      </c>
      <c r="AM20" s="992" t="s">
        <v>1990</v>
      </c>
    </row>
    <row r="21" spans="1:39" ht="12.75">
      <c r="A21" s="1005">
        <v>1154</v>
      </c>
      <c r="B21" s="990" t="s">
        <v>525</v>
      </c>
      <c r="C21" s="989" t="s">
        <v>525</v>
      </c>
      <c r="D21" s="1001" t="s">
        <v>526</v>
      </c>
      <c r="E21" s="1000" t="s">
        <v>402</v>
      </c>
      <c r="F21" s="509" t="s">
        <v>58</v>
      </c>
      <c r="G21" s="997" t="s">
        <v>521</v>
      </c>
      <c r="H21" s="1003" t="s">
        <v>402</v>
      </c>
      <c r="I21" s="999" t="s">
        <v>402</v>
      </c>
      <c r="J21" s="998">
        <v>0</v>
      </c>
      <c r="K21" s="997" t="s">
        <v>395</v>
      </c>
      <c r="L21" s="995" t="s">
        <v>402</v>
      </c>
      <c r="M21" s="994">
        <v>1</v>
      </c>
      <c r="N21" s="993">
        <v>2.1801136974489768</v>
      </c>
      <c r="O21" s="996" t="s">
        <v>1989</v>
      </c>
      <c r="P21" s="995">
        <v>0</v>
      </c>
      <c r="Q21" s="994">
        <v>1</v>
      </c>
      <c r="R21" s="993">
        <v>2.1801136974489768</v>
      </c>
      <c r="S21" s="996" t="s">
        <v>1989</v>
      </c>
      <c r="T21" s="995">
        <v>0</v>
      </c>
      <c r="U21" s="994">
        <v>1</v>
      </c>
      <c r="V21" s="993">
        <v>2.1801136974489768</v>
      </c>
      <c r="W21" s="996" t="s">
        <v>1989</v>
      </c>
      <c r="X21" s="995">
        <v>0</v>
      </c>
      <c r="Y21" s="994">
        <v>1</v>
      </c>
      <c r="Z21" s="993">
        <v>2.1801136974489768</v>
      </c>
      <c r="AA21" s="996" t="s">
        <v>1989</v>
      </c>
      <c r="AB21" s="995" t="s">
        <v>402</v>
      </c>
      <c r="AC21" s="994">
        <v>1</v>
      </c>
      <c r="AD21" s="993">
        <v>2.1801136974489768</v>
      </c>
      <c r="AE21" s="992" t="s">
        <v>1989</v>
      </c>
      <c r="AF21" s="995">
        <v>1.0589656904803484</v>
      </c>
      <c r="AG21" s="994">
        <v>1</v>
      </c>
      <c r="AH21" s="993">
        <v>2.1801136974489768</v>
      </c>
      <c r="AI21" s="992" t="s">
        <v>1989</v>
      </c>
      <c r="AJ21" s="995">
        <v>0</v>
      </c>
      <c r="AK21" s="994">
        <v>1</v>
      </c>
      <c r="AL21" s="993">
        <v>2.1801136974489768</v>
      </c>
      <c r="AM21" s="992" t="s">
        <v>1989</v>
      </c>
    </row>
    <row r="22" spans="1:39" ht="12.75">
      <c r="A22" s="1005">
        <v>1180</v>
      </c>
      <c r="B22" s="990" t="s">
        <v>525</v>
      </c>
      <c r="C22" s="989" t="s">
        <v>525</v>
      </c>
      <c r="D22" s="1001" t="s">
        <v>526</v>
      </c>
      <c r="E22" s="1000" t="s">
        <v>402</v>
      </c>
      <c r="F22" s="509" t="s">
        <v>1988</v>
      </c>
      <c r="G22" s="997" t="s">
        <v>521</v>
      </c>
      <c r="H22" s="1003" t="s">
        <v>402</v>
      </c>
      <c r="I22" s="999" t="s">
        <v>402</v>
      </c>
      <c r="J22" s="998">
        <v>0</v>
      </c>
      <c r="K22" s="997" t="s">
        <v>396</v>
      </c>
      <c r="L22" s="995" t="s">
        <v>402</v>
      </c>
      <c r="M22" s="994">
        <v>1</v>
      </c>
      <c r="N22" s="993">
        <v>2.1801136974489768</v>
      </c>
      <c r="O22" s="996" t="s">
        <v>1987</v>
      </c>
      <c r="P22" s="995">
        <v>0</v>
      </c>
      <c r="Q22" s="994">
        <v>1</v>
      </c>
      <c r="R22" s="993">
        <v>2.1801136974489768</v>
      </c>
      <c r="S22" s="996" t="s">
        <v>1987</v>
      </c>
      <c r="T22" s="995">
        <v>0</v>
      </c>
      <c r="U22" s="994">
        <v>1</v>
      </c>
      <c r="V22" s="993">
        <v>2.1801136974489768</v>
      </c>
      <c r="W22" s="996" t="s">
        <v>1987</v>
      </c>
      <c r="X22" s="995">
        <v>0</v>
      </c>
      <c r="Y22" s="994">
        <v>1</v>
      </c>
      <c r="Z22" s="993">
        <v>2.1801136974489768</v>
      </c>
      <c r="AA22" s="996" t="s">
        <v>1987</v>
      </c>
      <c r="AB22" s="995" t="s">
        <v>402</v>
      </c>
      <c r="AC22" s="994">
        <v>1</v>
      </c>
      <c r="AD22" s="993">
        <v>2.1801136974489768</v>
      </c>
      <c r="AE22" s="992" t="s">
        <v>1987</v>
      </c>
      <c r="AF22" s="995">
        <v>0.15648822308157836</v>
      </c>
      <c r="AG22" s="994">
        <v>1</v>
      </c>
      <c r="AH22" s="993">
        <v>2.1801136974489768</v>
      </c>
      <c r="AI22" s="992" t="s">
        <v>1987</v>
      </c>
      <c r="AJ22" s="995">
        <v>0</v>
      </c>
      <c r="AK22" s="994">
        <v>1</v>
      </c>
      <c r="AL22" s="993">
        <v>2.1801136974489768</v>
      </c>
      <c r="AM22" s="992" t="s">
        <v>1987</v>
      </c>
    </row>
    <row r="23" spans="1:39" ht="12.75">
      <c r="A23" s="1005">
        <v>944</v>
      </c>
      <c r="B23" s="990" t="s">
        <v>525</v>
      </c>
      <c r="C23" s="989" t="s">
        <v>525</v>
      </c>
      <c r="D23" s="1001" t="s">
        <v>526</v>
      </c>
      <c r="E23" s="1000" t="s">
        <v>402</v>
      </c>
      <c r="F23" s="509" t="s">
        <v>1986</v>
      </c>
      <c r="G23" s="997" t="s">
        <v>521</v>
      </c>
      <c r="H23" s="1003" t="s">
        <v>402</v>
      </c>
      <c r="I23" s="999" t="s">
        <v>402</v>
      </c>
      <c r="J23" s="998">
        <v>0</v>
      </c>
      <c r="K23" s="997" t="s">
        <v>396</v>
      </c>
      <c r="L23" s="995" t="s">
        <v>402</v>
      </c>
      <c r="M23" s="994">
        <v>1</v>
      </c>
      <c r="N23" s="993">
        <v>2.1801136974489768</v>
      </c>
      <c r="O23" s="996" t="s">
        <v>1985</v>
      </c>
      <c r="P23" s="995">
        <v>0</v>
      </c>
      <c r="Q23" s="994">
        <v>1</v>
      </c>
      <c r="R23" s="993">
        <v>2.1801136974489768</v>
      </c>
      <c r="S23" s="996" t="s">
        <v>1985</v>
      </c>
      <c r="T23" s="995">
        <v>0</v>
      </c>
      <c r="U23" s="994">
        <v>1</v>
      </c>
      <c r="V23" s="993">
        <v>2.1801136974489768</v>
      </c>
      <c r="W23" s="996" t="s">
        <v>1985</v>
      </c>
      <c r="X23" s="995">
        <v>0</v>
      </c>
      <c r="Y23" s="994">
        <v>1</v>
      </c>
      <c r="Z23" s="993">
        <v>2.1801136974489768</v>
      </c>
      <c r="AA23" s="996" t="s">
        <v>1985</v>
      </c>
      <c r="AB23" s="995" t="s">
        <v>402</v>
      </c>
      <c r="AC23" s="994">
        <v>1</v>
      </c>
      <c r="AD23" s="993">
        <v>2.1801136974489768</v>
      </c>
      <c r="AE23" s="992" t="s">
        <v>1985</v>
      </c>
      <c r="AF23" s="995">
        <v>0.10917172066807714</v>
      </c>
      <c r="AG23" s="994">
        <v>1</v>
      </c>
      <c r="AH23" s="993">
        <v>2.1801136974489768</v>
      </c>
      <c r="AI23" s="992" t="s">
        <v>1985</v>
      </c>
      <c r="AJ23" s="995">
        <v>0</v>
      </c>
      <c r="AK23" s="994">
        <v>1</v>
      </c>
      <c r="AL23" s="993">
        <v>2.1801136974489768</v>
      </c>
      <c r="AM23" s="992" t="s">
        <v>1985</v>
      </c>
    </row>
    <row r="24" spans="1:39" ht="24">
      <c r="A24" s="1005">
        <v>2987</v>
      </c>
      <c r="B24" s="990" t="s">
        <v>152</v>
      </c>
      <c r="C24" s="989" t="s">
        <v>525</v>
      </c>
      <c r="D24" s="1001" t="s">
        <v>526</v>
      </c>
      <c r="E24" s="1000" t="s">
        <v>402</v>
      </c>
      <c r="F24" s="509" t="s">
        <v>59</v>
      </c>
      <c r="G24" s="997" t="s">
        <v>521</v>
      </c>
      <c r="H24" s="1003" t="s">
        <v>402</v>
      </c>
      <c r="I24" s="999" t="s">
        <v>402</v>
      </c>
      <c r="J24" s="998">
        <v>0</v>
      </c>
      <c r="K24" s="997" t="s">
        <v>397</v>
      </c>
      <c r="L24" s="995">
        <v>0.22430108603819435</v>
      </c>
      <c r="M24" s="994">
        <v>1</v>
      </c>
      <c r="N24" s="993">
        <v>2.1418997227527785</v>
      </c>
      <c r="O24" s="996" t="s">
        <v>60</v>
      </c>
      <c r="P24" s="995">
        <v>0.16358454249333731</v>
      </c>
      <c r="Q24" s="994">
        <v>1</v>
      </c>
      <c r="R24" s="993">
        <v>2.1418997227527785</v>
      </c>
      <c r="S24" s="996" t="s">
        <v>60</v>
      </c>
      <c r="T24" s="995">
        <v>0.25621926842229564</v>
      </c>
      <c r="U24" s="994">
        <v>1</v>
      </c>
      <c r="V24" s="993">
        <v>2.1418997227527785</v>
      </c>
      <c r="W24" s="996" t="s">
        <v>60</v>
      </c>
      <c r="X24" s="995">
        <v>0.22527192750974118</v>
      </c>
      <c r="Y24" s="994">
        <v>1</v>
      </c>
      <c r="Z24" s="993">
        <v>2.1418997227527785</v>
      </c>
      <c r="AA24" s="996" t="s">
        <v>60</v>
      </c>
      <c r="AB24" s="995">
        <v>0.20708320626801299</v>
      </c>
      <c r="AC24" s="994">
        <v>1</v>
      </c>
      <c r="AD24" s="993">
        <v>2.1418997227527785</v>
      </c>
      <c r="AE24" s="992" t="s">
        <v>60</v>
      </c>
      <c r="AF24" s="995">
        <v>0.21671762090471181</v>
      </c>
      <c r="AG24" s="994">
        <v>1</v>
      </c>
      <c r="AH24" s="993">
        <v>2.1418997227527785</v>
      </c>
      <c r="AI24" s="992" t="s">
        <v>60</v>
      </c>
      <c r="AJ24" s="995">
        <v>0.12650427592663344</v>
      </c>
      <c r="AK24" s="994">
        <v>1</v>
      </c>
      <c r="AL24" s="993">
        <v>2.1418997227527785</v>
      </c>
      <c r="AM24" s="992" t="s">
        <v>60</v>
      </c>
    </row>
    <row r="25" spans="1:39" ht="24">
      <c r="A25" s="1004">
        <v>1841</v>
      </c>
      <c r="B25" s="990" t="s">
        <v>525</v>
      </c>
      <c r="C25" s="989" t="s">
        <v>525</v>
      </c>
      <c r="D25" s="1001" t="s">
        <v>526</v>
      </c>
      <c r="E25" s="1000" t="s">
        <v>402</v>
      </c>
      <c r="F25" s="509" t="s">
        <v>62</v>
      </c>
      <c r="G25" s="997" t="s">
        <v>521</v>
      </c>
      <c r="H25" s="1003" t="s">
        <v>402</v>
      </c>
      <c r="I25" s="999" t="s">
        <v>402</v>
      </c>
      <c r="J25" s="998">
        <v>0</v>
      </c>
      <c r="K25" s="997" t="s">
        <v>397</v>
      </c>
      <c r="L25" s="995">
        <v>1.6142709276179832</v>
      </c>
      <c r="M25" s="994">
        <v>1</v>
      </c>
      <c r="N25" s="993">
        <v>2.1418997227527785</v>
      </c>
      <c r="O25" s="996" t="s">
        <v>1984</v>
      </c>
      <c r="P25" s="995">
        <v>0.65433816997334926</v>
      </c>
      <c r="Q25" s="994">
        <v>1</v>
      </c>
      <c r="R25" s="993">
        <v>2.1418997227527785</v>
      </c>
      <c r="S25" s="996" t="s">
        <v>1984</v>
      </c>
      <c r="T25" s="995">
        <v>1.0536427520527398</v>
      </c>
      <c r="U25" s="994">
        <v>1</v>
      </c>
      <c r="V25" s="993">
        <v>2.1418997227527785</v>
      </c>
      <c r="W25" s="996" t="s">
        <v>1984</v>
      </c>
      <c r="X25" s="995">
        <v>1.4953708242962198</v>
      </c>
      <c r="Y25" s="994">
        <v>1</v>
      </c>
      <c r="Z25" s="993">
        <v>2.1418997227527785</v>
      </c>
      <c r="AA25" s="996" t="s">
        <v>1984</v>
      </c>
      <c r="AB25" s="995">
        <v>0.85208608626836635</v>
      </c>
      <c r="AC25" s="994">
        <v>1</v>
      </c>
      <c r="AD25" s="993">
        <v>2.1418997227527785</v>
      </c>
      <c r="AE25" s="992" t="s">
        <v>1984</v>
      </c>
      <c r="AF25" s="995">
        <v>5.1390761132411518</v>
      </c>
      <c r="AG25" s="994">
        <v>1</v>
      </c>
      <c r="AH25" s="993">
        <v>2.1418997227527785</v>
      </c>
      <c r="AI25" s="992" t="s">
        <v>1984</v>
      </c>
      <c r="AJ25" s="1006">
        <v>0.52634758642211144</v>
      </c>
      <c r="AK25" s="994">
        <v>1</v>
      </c>
      <c r="AL25" s="993">
        <v>2.1418997227527785</v>
      </c>
      <c r="AM25" s="992" t="s">
        <v>1984</v>
      </c>
    </row>
    <row r="26" spans="1:39" ht="12.75">
      <c r="A26" s="1005">
        <v>1851</v>
      </c>
      <c r="B26" s="990" t="s">
        <v>525</v>
      </c>
      <c r="C26" s="989" t="s">
        <v>525</v>
      </c>
      <c r="D26" s="1001" t="s">
        <v>526</v>
      </c>
      <c r="E26" s="1000" t="s">
        <v>402</v>
      </c>
      <c r="F26" s="509" t="s">
        <v>63</v>
      </c>
      <c r="G26" s="997" t="s">
        <v>521</v>
      </c>
      <c r="H26" s="1003" t="s">
        <v>402</v>
      </c>
      <c r="I26" s="999" t="s">
        <v>402</v>
      </c>
      <c r="J26" s="998">
        <v>0</v>
      </c>
      <c r="K26" s="997" t="s">
        <v>397</v>
      </c>
      <c r="L26" s="995">
        <v>0.44368293543862669</v>
      </c>
      <c r="M26" s="994">
        <v>1</v>
      </c>
      <c r="N26" s="993">
        <v>2.1801136974489768</v>
      </c>
      <c r="O26" s="996" t="s">
        <v>1983</v>
      </c>
      <c r="P26" s="995">
        <v>0.32716908498667463</v>
      </c>
      <c r="Q26" s="994">
        <v>1</v>
      </c>
      <c r="R26" s="993">
        <v>2.1801136974489768</v>
      </c>
      <c r="S26" s="996" t="s">
        <v>1983</v>
      </c>
      <c r="T26" s="995">
        <v>0.47163977319680922</v>
      </c>
      <c r="U26" s="994">
        <v>1</v>
      </c>
      <c r="V26" s="993">
        <v>2.1801136974489768</v>
      </c>
      <c r="W26" s="996" t="s">
        <v>1983</v>
      </c>
      <c r="X26" s="995">
        <v>0.43437731068370394</v>
      </c>
      <c r="Y26" s="994">
        <v>1</v>
      </c>
      <c r="Z26" s="993">
        <v>2.1801136974489768</v>
      </c>
      <c r="AA26" s="996" t="s">
        <v>1983</v>
      </c>
      <c r="AB26" s="995">
        <v>0.3745200148433106</v>
      </c>
      <c r="AC26" s="994">
        <v>1</v>
      </c>
      <c r="AD26" s="993">
        <v>2.1801136974489768</v>
      </c>
      <c r="AE26" s="992" t="s">
        <v>1983</v>
      </c>
      <c r="AF26" s="995">
        <v>1.1438578002953341</v>
      </c>
      <c r="AG26" s="994">
        <v>1</v>
      </c>
      <c r="AH26" s="993">
        <v>2.1801136974489768</v>
      </c>
      <c r="AI26" s="992" t="s">
        <v>1983</v>
      </c>
      <c r="AJ26" s="995">
        <v>0.23684200751748846</v>
      </c>
      <c r="AK26" s="994">
        <v>1</v>
      </c>
      <c r="AL26" s="993">
        <v>2.1801136974489768</v>
      </c>
      <c r="AM26" s="992" t="s">
        <v>1983</v>
      </c>
    </row>
    <row r="27" spans="1:39" ht="22.5" customHeight="1">
      <c r="A27" s="1005">
        <v>1392</v>
      </c>
      <c r="B27" s="990" t="s">
        <v>153</v>
      </c>
      <c r="C27" s="989" t="s">
        <v>525</v>
      </c>
      <c r="D27" s="1001" t="s">
        <v>526</v>
      </c>
      <c r="E27" s="1000" t="s">
        <v>402</v>
      </c>
      <c r="F27" s="509" t="s">
        <v>1982</v>
      </c>
      <c r="G27" s="997" t="s">
        <v>393</v>
      </c>
      <c r="H27" s="1003" t="s">
        <v>402</v>
      </c>
      <c r="I27" s="999" t="s">
        <v>402</v>
      </c>
      <c r="J27" s="998">
        <v>0</v>
      </c>
      <c r="K27" s="997" t="s">
        <v>395</v>
      </c>
      <c r="L27" s="995">
        <v>4.0261609386445248E-2</v>
      </c>
      <c r="M27" s="994">
        <v>1</v>
      </c>
      <c r="N27" s="993">
        <v>2.1801136974489768</v>
      </c>
      <c r="O27" s="996" t="s">
        <v>1981</v>
      </c>
      <c r="P27" s="995">
        <v>0</v>
      </c>
      <c r="Q27" s="994">
        <v>1</v>
      </c>
      <c r="R27" s="993">
        <v>2.1801136974489768</v>
      </c>
      <c r="S27" s="996" t="s">
        <v>1981</v>
      </c>
      <c r="T27" s="995">
        <v>1.8253737904726383E-2</v>
      </c>
      <c r="U27" s="994">
        <v>1</v>
      </c>
      <c r="V27" s="993">
        <v>2.1801136974489768</v>
      </c>
      <c r="W27" s="996" t="s">
        <v>1981</v>
      </c>
      <c r="X27" s="995">
        <v>0.13331785693567266</v>
      </c>
      <c r="Y27" s="994">
        <v>1</v>
      </c>
      <c r="Z27" s="993">
        <v>2.1801136974489768</v>
      </c>
      <c r="AA27" s="996" t="s">
        <v>1981</v>
      </c>
      <c r="AB27" s="995">
        <v>0.11429262956506793</v>
      </c>
      <c r="AC27" s="994">
        <v>1</v>
      </c>
      <c r="AD27" s="993">
        <v>2.1801136974489768</v>
      </c>
      <c r="AE27" s="992" t="s">
        <v>1981</v>
      </c>
      <c r="AF27" s="995">
        <v>8.6363636363636365E-2</v>
      </c>
      <c r="AG27" s="994">
        <v>1</v>
      </c>
      <c r="AH27" s="993">
        <v>2.1801136974489768</v>
      </c>
      <c r="AI27" s="992" t="s">
        <v>1981</v>
      </c>
      <c r="AJ27" s="995">
        <v>0.13331785693567266</v>
      </c>
      <c r="AK27" s="994">
        <v>1</v>
      </c>
      <c r="AL27" s="993">
        <v>2.1801136974489768</v>
      </c>
      <c r="AM27" s="992" t="s">
        <v>1981</v>
      </c>
    </row>
    <row r="28" spans="1:39" ht="36">
      <c r="A28" s="1004">
        <v>3966</v>
      </c>
      <c r="B28" s="990" t="s">
        <v>525</v>
      </c>
      <c r="C28" s="989" t="s">
        <v>525</v>
      </c>
      <c r="D28" s="1001" t="s">
        <v>526</v>
      </c>
      <c r="E28" s="1000" t="s">
        <v>402</v>
      </c>
      <c r="F28" s="509" t="s">
        <v>1980</v>
      </c>
      <c r="G28" s="997" t="s">
        <v>393</v>
      </c>
      <c r="H28" s="1003" t="s">
        <v>402</v>
      </c>
      <c r="I28" s="999" t="s">
        <v>402</v>
      </c>
      <c r="J28" s="998">
        <v>0</v>
      </c>
      <c r="K28" s="997" t="s">
        <v>395</v>
      </c>
      <c r="L28" s="995">
        <v>7.3202926157173176E-4</v>
      </c>
      <c r="M28" s="994">
        <v>1</v>
      </c>
      <c r="N28" s="993">
        <v>2.1801136974489768</v>
      </c>
      <c r="O28" s="996" t="s">
        <v>1978</v>
      </c>
      <c r="P28" s="995">
        <v>0</v>
      </c>
      <c r="Q28" s="994">
        <v>1</v>
      </c>
      <c r="R28" s="993">
        <v>2.1801136974489768</v>
      </c>
      <c r="S28" s="996" t="s">
        <v>1978</v>
      </c>
      <c r="T28" s="995">
        <v>1.9221186013676879</v>
      </c>
      <c r="U28" s="994">
        <v>1</v>
      </c>
      <c r="V28" s="993">
        <v>2.1801136974489768</v>
      </c>
      <c r="W28" s="996" t="s">
        <v>1978</v>
      </c>
      <c r="X28" s="995">
        <v>1.4033458624807648E-3</v>
      </c>
      <c r="Y28" s="994">
        <v>1</v>
      </c>
      <c r="Z28" s="993">
        <v>2.1801136974489768</v>
      </c>
      <c r="AA28" s="996" t="s">
        <v>1978</v>
      </c>
      <c r="AB28" s="995">
        <v>1.2905487056893032</v>
      </c>
      <c r="AC28" s="994">
        <v>1</v>
      </c>
      <c r="AD28" s="993">
        <v>2.1801136974489768</v>
      </c>
      <c r="AE28" s="992" t="s">
        <v>1978</v>
      </c>
      <c r="AF28" s="995">
        <v>9.0909090909090909E-4</v>
      </c>
      <c r="AG28" s="994">
        <v>1</v>
      </c>
      <c r="AH28" s="993">
        <v>2.1801136974489768</v>
      </c>
      <c r="AI28" s="992" t="s">
        <v>1978</v>
      </c>
      <c r="AJ28" s="995">
        <v>1.4033458624807648E-3</v>
      </c>
      <c r="AK28" s="994">
        <v>1</v>
      </c>
      <c r="AL28" s="993">
        <v>2.1801136974489768</v>
      </c>
      <c r="AM28" s="992" t="s">
        <v>1978</v>
      </c>
    </row>
    <row r="29" spans="1:39" ht="24">
      <c r="A29" s="1004">
        <v>3949</v>
      </c>
      <c r="B29" s="990" t="s">
        <v>525</v>
      </c>
      <c r="C29" s="989" t="s">
        <v>525</v>
      </c>
      <c r="D29" s="1001">
        <v>5</v>
      </c>
      <c r="E29" s="1000" t="s">
        <v>402</v>
      </c>
      <c r="F29" s="509" t="s">
        <v>1979</v>
      </c>
      <c r="G29" s="997" t="s">
        <v>393</v>
      </c>
      <c r="H29" s="1003" t="s">
        <v>402</v>
      </c>
      <c r="I29" s="999" t="s">
        <v>402</v>
      </c>
      <c r="J29" s="998">
        <v>0</v>
      </c>
      <c r="K29" s="997" t="s">
        <v>395</v>
      </c>
      <c r="L29" s="995">
        <v>3.6601463078586591E-3</v>
      </c>
      <c r="M29" s="994">
        <v>1</v>
      </c>
      <c r="N29" s="993">
        <v>2.1801136974489768</v>
      </c>
      <c r="O29" s="996" t="s">
        <v>1978</v>
      </c>
      <c r="P29" s="995">
        <v>0</v>
      </c>
      <c r="Q29" s="994">
        <v>1</v>
      </c>
      <c r="R29" s="993">
        <v>2.1801136974489768</v>
      </c>
      <c r="S29" s="996" t="s">
        <v>1978</v>
      </c>
      <c r="T29" s="995">
        <v>8.297153593057445E-3</v>
      </c>
      <c r="U29" s="994">
        <v>1</v>
      </c>
      <c r="V29" s="993">
        <v>2.1801136974489768</v>
      </c>
      <c r="W29" s="996" t="s">
        <v>1978</v>
      </c>
      <c r="X29" s="995">
        <v>7.0167293124038252E-3</v>
      </c>
      <c r="Y29" s="994">
        <v>1</v>
      </c>
      <c r="Z29" s="993">
        <v>2.1801136974489768</v>
      </c>
      <c r="AA29" s="996" t="s">
        <v>1978</v>
      </c>
      <c r="AB29" s="995">
        <v>6.0154015560562072E-3</v>
      </c>
      <c r="AC29" s="994">
        <v>1</v>
      </c>
      <c r="AD29" s="993">
        <v>2.1801136974489768</v>
      </c>
      <c r="AE29" s="992" t="s">
        <v>1978</v>
      </c>
      <c r="AF29" s="995">
        <v>4.5454545454545461E-3</v>
      </c>
      <c r="AG29" s="994">
        <v>1</v>
      </c>
      <c r="AH29" s="993">
        <v>2.1801136974489768</v>
      </c>
      <c r="AI29" s="992" t="s">
        <v>1978</v>
      </c>
      <c r="AJ29" s="995">
        <v>7.0167293124038252E-3</v>
      </c>
      <c r="AK29" s="994">
        <v>1</v>
      </c>
      <c r="AL29" s="993">
        <v>2.1801136974489768</v>
      </c>
      <c r="AM29" s="992" t="s">
        <v>1978</v>
      </c>
    </row>
    <row r="30" spans="1:39" ht="21.75" customHeight="1">
      <c r="A30" s="1002">
        <v>1381</v>
      </c>
      <c r="B30" s="990" t="s">
        <v>525</v>
      </c>
      <c r="C30" s="989" t="s">
        <v>525</v>
      </c>
      <c r="D30" s="1001">
        <v>4</v>
      </c>
      <c r="E30" s="1000" t="s">
        <v>402</v>
      </c>
      <c r="F30" s="509" t="s">
        <v>1977</v>
      </c>
      <c r="G30" s="997" t="s">
        <v>402</v>
      </c>
      <c r="H30" s="999" t="s">
        <v>273</v>
      </c>
      <c r="I30" s="999" t="s">
        <v>1969</v>
      </c>
      <c r="J30" s="998" t="s">
        <v>402</v>
      </c>
      <c r="K30" s="997" t="s">
        <v>396</v>
      </c>
      <c r="L30" s="995" t="s">
        <v>402</v>
      </c>
      <c r="M30" s="994">
        <v>1</v>
      </c>
      <c r="N30" s="993">
        <v>2.1801136974489768</v>
      </c>
      <c r="O30" s="996" t="s">
        <v>1976</v>
      </c>
      <c r="P30" s="995">
        <v>0</v>
      </c>
      <c r="Q30" s="994">
        <v>1</v>
      </c>
      <c r="R30" s="993">
        <v>2.1801136974489768</v>
      </c>
      <c r="S30" s="996" t="s">
        <v>1976</v>
      </c>
      <c r="T30" s="995" t="s">
        <v>402</v>
      </c>
      <c r="U30" s="994">
        <v>1</v>
      </c>
      <c r="V30" s="993">
        <v>2.1801136974489768</v>
      </c>
      <c r="W30" s="996" t="s">
        <v>1976</v>
      </c>
      <c r="X30" s="995" t="s">
        <v>402</v>
      </c>
      <c r="Y30" s="994">
        <v>1</v>
      </c>
      <c r="Z30" s="993">
        <v>2.1801136974489768</v>
      </c>
      <c r="AA30" s="996" t="s">
        <v>1976</v>
      </c>
      <c r="AB30" s="995" t="s">
        <v>402</v>
      </c>
      <c r="AC30" s="994">
        <v>1</v>
      </c>
      <c r="AD30" s="993">
        <v>2.1801136974489768</v>
      </c>
      <c r="AE30" s="992" t="s">
        <v>1976</v>
      </c>
      <c r="AF30" s="995">
        <v>4.7186592439970063</v>
      </c>
      <c r="AG30" s="994">
        <v>1</v>
      </c>
      <c r="AH30" s="993">
        <v>2.1801136974489768</v>
      </c>
      <c r="AI30" s="992" t="s">
        <v>1976</v>
      </c>
      <c r="AJ30" s="995" t="s">
        <v>402</v>
      </c>
      <c r="AK30" s="994">
        <v>1</v>
      </c>
      <c r="AL30" s="993">
        <v>2.1801136974489768</v>
      </c>
      <c r="AM30" s="992" t="s">
        <v>1976</v>
      </c>
    </row>
    <row r="31" spans="1:39" ht="21.75" customHeight="1">
      <c r="A31" s="1002">
        <v>1422</v>
      </c>
      <c r="B31" s="990" t="s">
        <v>525</v>
      </c>
      <c r="C31" s="989" t="s">
        <v>525</v>
      </c>
      <c r="D31" s="1001">
        <v>4</v>
      </c>
      <c r="E31" s="1000" t="s">
        <v>402</v>
      </c>
      <c r="F31" s="509" t="s">
        <v>1975</v>
      </c>
      <c r="G31" s="997" t="s">
        <v>402</v>
      </c>
      <c r="H31" s="999" t="s">
        <v>273</v>
      </c>
      <c r="I31" s="999" t="s">
        <v>1969</v>
      </c>
      <c r="J31" s="998" t="s">
        <v>402</v>
      </c>
      <c r="K31" s="997" t="s">
        <v>396</v>
      </c>
      <c r="L31" s="995" t="s">
        <v>402</v>
      </c>
      <c r="M31" s="994">
        <v>1</v>
      </c>
      <c r="N31" s="993">
        <v>2.1470246222548233</v>
      </c>
      <c r="O31" s="996" t="s">
        <v>1974</v>
      </c>
      <c r="P31" s="995">
        <v>0</v>
      </c>
      <c r="Q31" s="994">
        <v>1</v>
      </c>
      <c r="R31" s="993">
        <v>2.1470246222548233</v>
      </c>
      <c r="S31" s="996" t="s">
        <v>1974</v>
      </c>
      <c r="T31" s="995" t="s">
        <v>402</v>
      </c>
      <c r="U31" s="994">
        <v>1</v>
      </c>
      <c r="V31" s="993">
        <v>2.1470246222548233</v>
      </c>
      <c r="W31" s="996" t="s">
        <v>1974</v>
      </c>
      <c r="X31" s="995" t="s">
        <v>402</v>
      </c>
      <c r="Y31" s="994">
        <v>1</v>
      </c>
      <c r="Z31" s="993">
        <v>2.1470246222548233</v>
      </c>
      <c r="AA31" s="996" t="s">
        <v>1974</v>
      </c>
      <c r="AB31" s="995" t="s">
        <v>402</v>
      </c>
      <c r="AC31" s="994">
        <v>1</v>
      </c>
      <c r="AD31" s="993">
        <v>2.1470246222548233</v>
      </c>
      <c r="AE31" s="992" t="s">
        <v>1974</v>
      </c>
      <c r="AF31" s="995">
        <v>1.5</v>
      </c>
      <c r="AG31" s="994">
        <v>1</v>
      </c>
      <c r="AH31" s="993">
        <v>2.1470246222548233</v>
      </c>
      <c r="AI31" s="992" t="s">
        <v>1974</v>
      </c>
      <c r="AJ31" s="995" t="s">
        <v>402</v>
      </c>
      <c r="AK31" s="994">
        <v>1</v>
      </c>
      <c r="AL31" s="993">
        <v>2.1470246222548233</v>
      </c>
      <c r="AM31" s="992" t="s">
        <v>1974</v>
      </c>
    </row>
    <row r="32" spans="1:39" ht="21.75" customHeight="1">
      <c r="A32" s="1002">
        <v>1423</v>
      </c>
      <c r="B32" s="990" t="s">
        <v>525</v>
      </c>
      <c r="C32" s="989" t="s">
        <v>525</v>
      </c>
      <c r="D32" s="1001">
        <v>4</v>
      </c>
      <c r="E32" s="1000" t="s">
        <v>402</v>
      </c>
      <c r="F32" s="509" t="s">
        <v>1973</v>
      </c>
      <c r="G32" s="997" t="s">
        <v>402</v>
      </c>
      <c r="H32" s="999" t="s">
        <v>273</v>
      </c>
      <c r="I32" s="999" t="s">
        <v>1969</v>
      </c>
      <c r="J32" s="998" t="s">
        <v>402</v>
      </c>
      <c r="K32" s="997" t="s">
        <v>396</v>
      </c>
      <c r="L32" s="995" t="s">
        <v>402</v>
      </c>
      <c r="M32" s="994">
        <v>1</v>
      </c>
      <c r="N32" s="993">
        <v>2.1597758485616088</v>
      </c>
      <c r="O32" s="996" t="s">
        <v>1972</v>
      </c>
      <c r="P32" s="995">
        <v>0</v>
      </c>
      <c r="Q32" s="994">
        <v>1</v>
      </c>
      <c r="R32" s="993">
        <v>2.1597758485616088</v>
      </c>
      <c r="S32" s="996" t="s">
        <v>1972</v>
      </c>
      <c r="T32" s="995" t="s">
        <v>402</v>
      </c>
      <c r="U32" s="994">
        <v>1</v>
      </c>
      <c r="V32" s="993">
        <v>2.1597758485616088</v>
      </c>
      <c r="W32" s="996" t="s">
        <v>1972</v>
      </c>
      <c r="X32" s="995" t="s">
        <v>402</v>
      </c>
      <c r="Y32" s="994">
        <v>1</v>
      </c>
      <c r="Z32" s="993">
        <v>2.1597758485616088</v>
      </c>
      <c r="AA32" s="996" t="s">
        <v>1972</v>
      </c>
      <c r="AB32" s="995" t="s">
        <v>402</v>
      </c>
      <c r="AC32" s="994">
        <v>1</v>
      </c>
      <c r="AD32" s="993">
        <v>2.1597758485616088</v>
      </c>
      <c r="AE32" s="992" t="s">
        <v>1972</v>
      </c>
      <c r="AF32" s="995">
        <v>3.2186592439970063</v>
      </c>
      <c r="AG32" s="994">
        <v>1</v>
      </c>
      <c r="AH32" s="993">
        <v>2.1597758485616088</v>
      </c>
      <c r="AI32" s="992" t="s">
        <v>1972</v>
      </c>
      <c r="AJ32" s="995" t="s">
        <v>402</v>
      </c>
      <c r="AK32" s="994">
        <v>1</v>
      </c>
      <c r="AL32" s="993">
        <v>2.1597758485616088</v>
      </c>
      <c r="AM32" s="992" t="s">
        <v>1972</v>
      </c>
    </row>
    <row r="33" spans="1:39">
      <c r="A33" s="1002">
        <v>1322</v>
      </c>
      <c r="B33" s="990" t="s">
        <v>525</v>
      </c>
      <c r="C33" s="989" t="s">
        <v>525</v>
      </c>
      <c r="D33" s="1001">
        <v>4</v>
      </c>
      <c r="E33" s="1000" t="s">
        <v>402</v>
      </c>
      <c r="F33" s="509" t="s">
        <v>1971</v>
      </c>
      <c r="G33" s="997" t="s">
        <v>402</v>
      </c>
      <c r="H33" s="999" t="s">
        <v>273</v>
      </c>
      <c r="I33" s="999" t="s">
        <v>1969</v>
      </c>
      <c r="J33" s="998" t="s">
        <v>402</v>
      </c>
      <c r="K33" s="997" t="s">
        <v>1968</v>
      </c>
      <c r="L33" s="995" t="s">
        <v>402</v>
      </c>
      <c r="M33" s="994">
        <v>1</v>
      </c>
      <c r="N33" s="993">
        <v>2.1597758485616088</v>
      </c>
      <c r="O33" s="996" t="s">
        <v>1967</v>
      </c>
      <c r="P33" s="995">
        <v>0</v>
      </c>
      <c r="Q33" s="994">
        <v>1</v>
      </c>
      <c r="R33" s="993">
        <v>2.1597758485616088</v>
      </c>
      <c r="S33" s="996" t="s">
        <v>1967</v>
      </c>
      <c r="T33" s="995" t="s">
        <v>402</v>
      </c>
      <c r="U33" s="994">
        <v>1</v>
      </c>
      <c r="V33" s="993">
        <v>2.1597758485616088</v>
      </c>
      <c r="W33" s="996" t="s">
        <v>1967</v>
      </c>
      <c r="X33" s="995" t="s">
        <v>402</v>
      </c>
      <c r="Y33" s="994">
        <v>1</v>
      </c>
      <c r="Z33" s="993">
        <v>2.1597758485616088</v>
      </c>
      <c r="AA33" s="996" t="s">
        <v>1967</v>
      </c>
      <c r="AB33" s="995" t="s">
        <v>402</v>
      </c>
      <c r="AC33" s="994">
        <v>1</v>
      </c>
      <c r="AD33" s="993">
        <v>2.1597758485616088</v>
      </c>
      <c r="AE33" s="992" t="s">
        <v>1967</v>
      </c>
      <c r="AF33" s="995">
        <v>45</v>
      </c>
      <c r="AG33" s="994">
        <v>1</v>
      </c>
      <c r="AH33" s="993">
        <v>2.1597758485616088</v>
      </c>
      <c r="AI33" s="992" t="s">
        <v>1967</v>
      </c>
      <c r="AJ33" s="995" t="s">
        <v>402</v>
      </c>
      <c r="AK33" s="994">
        <v>1</v>
      </c>
      <c r="AL33" s="993">
        <v>2.1597758485616088</v>
      </c>
      <c r="AM33" s="992" t="s">
        <v>1967</v>
      </c>
    </row>
    <row r="34" spans="1:39">
      <c r="A34" s="1002">
        <v>1323</v>
      </c>
      <c r="B34" s="990" t="s">
        <v>525</v>
      </c>
      <c r="C34" s="989" t="s">
        <v>525</v>
      </c>
      <c r="D34" s="1001">
        <v>4</v>
      </c>
      <c r="E34" s="1000" t="s">
        <v>402</v>
      </c>
      <c r="F34" s="509" t="s">
        <v>1970</v>
      </c>
      <c r="G34" s="997" t="s">
        <v>402</v>
      </c>
      <c r="H34" s="999" t="s">
        <v>273</v>
      </c>
      <c r="I34" s="999" t="s">
        <v>1969</v>
      </c>
      <c r="J34" s="998" t="s">
        <v>402</v>
      </c>
      <c r="K34" s="997" t="s">
        <v>1968</v>
      </c>
      <c r="L34" s="995" t="s">
        <v>402</v>
      </c>
      <c r="M34" s="994">
        <v>1</v>
      </c>
      <c r="N34" s="993">
        <v>2.1597758485616088</v>
      </c>
      <c r="O34" s="996" t="s">
        <v>1967</v>
      </c>
      <c r="P34" s="995">
        <v>0</v>
      </c>
      <c r="Q34" s="994">
        <v>1</v>
      </c>
      <c r="R34" s="993">
        <v>2.1597758485616088</v>
      </c>
      <c r="S34" s="996" t="s">
        <v>1967</v>
      </c>
      <c r="T34" s="995" t="s">
        <v>402</v>
      </c>
      <c r="U34" s="994">
        <v>1</v>
      </c>
      <c r="V34" s="993">
        <v>2.1597758485616088</v>
      </c>
      <c r="W34" s="996" t="s">
        <v>1967</v>
      </c>
      <c r="X34" s="995" t="s">
        <v>402</v>
      </c>
      <c r="Y34" s="994">
        <v>1</v>
      </c>
      <c r="Z34" s="993">
        <v>2.1597758485616088</v>
      </c>
      <c r="AA34" s="996" t="s">
        <v>1967</v>
      </c>
      <c r="AB34" s="995" t="s">
        <v>402</v>
      </c>
      <c r="AC34" s="994">
        <v>1</v>
      </c>
      <c r="AD34" s="993">
        <v>2.1597758485616088</v>
      </c>
      <c r="AE34" s="992" t="s">
        <v>1967</v>
      </c>
      <c r="AF34" s="995">
        <v>96.559777319910182</v>
      </c>
      <c r="AG34" s="994">
        <v>1</v>
      </c>
      <c r="AH34" s="993">
        <v>2.1597758485616088</v>
      </c>
      <c r="AI34" s="992" t="s">
        <v>1967</v>
      </c>
      <c r="AJ34" s="995" t="s">
        <v>402</v>
      </c>
      <c r="AK34" s="994">
        <v>1</v>
      </c>
      <c r="AL34" s="993">
        <v>2.1597758485616088</v>
      </c>
      <c r="AM34" s="992" t="s">
        <v>1967</v>
      </c>
    </row>
    <row r="35" spans="1:39" outlineLevel="1">
      <c r="A35" s="942">
        <v>1489</v>
      </c>
      <c r="B35" s="990" t="s">
        <v>523</v>
      </c>
      <c r="C35" s="989"/>
      <c r="D35" s="988" t="s">
        <v>402</v>
      </c>
      <c r="E35" s="987">
        <v>0</v>
      </c>
      <c r="F35" s="819" t="s">
        <v>52</v>
      </c>
      <c r="G35" s="984" t="s">
        <v>521</v>
      </c>
      <c r="H35" s="986" t="s">
        <v>402</v>
      </c>
      <c r="I35" s="986" t="s">
        <v>402</v>
      </c>
      <c r="J35" s="985">
        <v>1</v>
      </c>
      <c r="K35" s="984" t="s">
        <v>396</v>
      </c>
      <c r="L35" s="983">
        <v>1</v>
      </c>
      <c r="P35" s="983">
        <v>0</v>
      </c>
      <c r="T35" s="983">
        <v>0</v>
      </c>
      <c r="X35" s="983">
        <v>0</v>
      </c>
      <c r="AB35" s="983">
        <v>0</v>
      </c>
      <c r="AC35" s="994"/>
      <c r="AD35" s="993"/>
      <c r="AE35" s="992"/>
      <c r="AF35" s="983">
        <v>0</v>
      </c>
      <c r="AG35" s="994"/>
      <c r="AH35" s="993"/>
      <c r="AI35" s="992"/>
      <c r="AJ35" s="983">
        <v>0</v>
      </c>
      <c r="AK35" s="994"/>
      <c r="AL35" s="993"/>
      <c r="AM35" s="992"/>
    </row>
    <row r="36" spans="1:39" outlineLevel="1">
      <c r="A36" s="941">
        <v>1490</v>
      </c>
      <c r="B36" s="990"/>
      <c r="C36" s="989"/>
      <c r="D36" s="988" t="s">
        <v>402</v>
      </c>
      <c r="E36" s="987">
        <v>0</v>
      </c>
      <c r="F36" s="819" t="s">
        <v>53</v>
      </c>
      <c r="G36" s="984" t="s">
        <v>521</v>
      </c>
      <c r="H36" s="986" t="s">
        <v>402</v>
      </c>
      <c r="I36" s="986" t="s">
        <v>402</v>
      </c>
      <c r="J36" s="985">
        <v>1</v>
      </c>
      <c r="K36" s="984" t="s">
        <v>396</v>
      </c>
      <c r="L36" s="983" t="s">
        <v>402</v>
      </c>
      <c r="P36" s="983">
        <v>1</v>
      </c>
      <c r="T36" s="983">
        <v>0</v>
      </c>
      <c r="X36" s="983">
        <v>0</v>
      </c>
      <c r="AB36" s="983">
        <v>0</v>
      </c>
      <c r="AC36" s="982"/>
      <c r="AD36" s="981"/>
      <c r="AE36" s="980"/>
      <c r="AF36" s="983">
        <v>0</v>
      </c>
      <c r="AG36" s="982"/>
      <c r="AH36" s="981"/>
      <c r="AI36" s="980"/>
      <c r="AJ36" s="983">
        <v>0</v>
      </c>
      <c r="AK36" s="982"/>
      <c r="AL36" s="981"/>
      <c r="AM36" s="980"/>
    </row>
    <row r="37" spans="1:39" outlineLevel="1">
      <c r="A37" s="941">
        <v>1491</v>
      </c>
      <c r="B37" s="990"/>
      <c r="C37" s="989"/>
      <c r="D37" s="988" t="s">
        <v>402</v>
      </c>
      <c r="E37" s="987">
        <v>0</v>
      </c>
      <c r="F37" s="819" t="s">
        <v>663</v>
      </c>
      <c r="G37" s="984" t="s">
        <v>521</v>
      </c>
      <c r="H37" s="986" t="s">
        <v>402</v>
      </c>
      <c r="I37" s="986" t="s">
        <v>402</v>
      </c>
      <c r="J37" s="985">
        <v>1</v>
      </c>
      <c r="K37" s="984" t="s">
        <v>396</v>
      </c>
      <c r="L37" s="983" t="s">
        <v>402</v>
      </c>
      <c r="P37" s="983" t="s">
        <v>402</v>
      </c>
      <c r="T37" s="983">
        <v>1</v>
      </c>
      <c r="X37" s="983">
        <v>0</v>
      </c>
      <c r="AB37" s="983">
        <v>0</v>
      </c>
      <c r="AC37" s="982"/>
      <c r="AD37" s="981"/>
      <c r="AE37" s="980"/>
      <c r="AF37" s="983">
        <v>0</v>
      </c>
      <c r="AG37" s="982"/>
      <c r="AH37" s="981"/>
      <c r="AI37" s="980"/>
      <c r="AJ37" s="983">
        <v>0</v>
      </c>
      <c r="AK37" s="982"/>
      <c r="AL37" s="981"/>
      <c r="AM37" s="980"/>
    </row>
    <row r="38" spans="1:39" outlineLevel="1">
      <c r="A38" s="941">
        <v>1645</v>
      </c>
      <c r="B38" s="990"/>
      <c r="C38" s="989"/>
      <c r="D38" s="988" t="s">
        <v>402</v>
      </c>
      <c r="E38" s="987">
        <v>0</v>
      </c>
      <c r="F38" s="819" t="s">
        <v>664</v>
      </c>
      <c r="G38" s="984" t="s">
        <v>521</v>
      </c>
      <c r="H38" s="986" t="s">
        <v>402</v>
      </c>
      <c r="I38" s="986" t="s">
        <v>402</v>
      </c>
      <c r="J38" s="985">
        <v>1</v>
      </c>
      <c r="K38" s="984" t="s">
        <v>396</v>
      </c>
      <c r="L38" s="983" t="s">
        <v>402</v>
      </c>
      <c r="P38" s="983" t="s">
        <v>402</v>
      </c>
      <c r="T38" s="983" t="s">
        <v>402</v>
      </c>
      <c r="X38" s="983">
        <v>1</v>
      </c>
      <c r="AB38" s="983">
        <v>0</v>
      </c>
      <c r="AC38" s="982"/>
      <c r="AD38" s="981"/>
      <c r="AE38" s="980"/>
      <c r="AF38" s="983">
        <v>0</v>
      </c>
      <c r="AG38" s="982"/>
      <c r="AH38" s="981"/>
      <c r="AI38" s="980"/>
      <c r="AJ38" s="983">
        <v>0</v>
      </c>
      <c r="AK38" s="982"/>
      <c r="AL38" s="981"/>
      <c r="AM38" s="980"/>
    </row>
    <row r="39" spans="1:39" outlineLevel="1">
      <c r="A39" s="941">
        <v>1646</v>
      </c>
      <c r="B39" s="990"/>
      <c r="C39" s="989"/>
      <c r="D39" s="988" t="s">
        <v>402</v>
      </c>
      <c r="E39" s="987">
        <v>0</v>
      </c>
      <c r="F39" s="819" t="s">
        <v>665</v>
      </c>
      <c r="G39" s="984" t="s">
        <v>521</v>
      </c>
      <c r="H39" s="986" t="s">
        <v>402</v>
      </c>
      <c r="I39" s="986" t="s">
        <v>402</v>
      </c>
      <c r="J39" s="985">
        <v>1</v>
      </c>
      <c r="K39" s="984" t="s">
        <v>396</v>
      </c>
      <c r="L39" s="983" t="s">
        <v>402</v>
      </c>
      <c r="P39" s="983" t="s">
        <v>402</v>
      </c>
      <c r="T39" s="983" t="s">
        <v>402</v>
      </c>
      <c r="X39" s="983" t="s">
        <v>402</v>
      </c>
      <c r="AB39" s="983">
        <v>1</v>
      </c>
      <c r="AC39" s="982"/>
      <c r="AD39" s="981"/>
      <c r="AE39" s="980"/>
      <c r="AF39" s="983">
        <v>0</v>
      </c>
      <c r="AG39" s="982"/>
      <c r="AH39" s="981"/>
      <c r="AI39" s="980"/>
      <c r="AJ39" s="983">
        <v>0</v>
      </c>
      <c r="AK39" s="982"/>
      <c r="AL39" s="981"/>
      <c r="AM39" s="980"/>
    </row>
    <row r="40" spans="1:39" outlineLevel="1">
      <c r="A40" s="991" t="s">
        <v>148</v>
      </c>
      <c r="B40" s="990"/>
      <c r="C40" s="989"/>
      <c r="D40" s="988" t="s">
        <v>402</v>
      </c>
      <c r="E40" s="987">
        <v>0</v>
      </c>
      <c r="F40" s="819" t="s">
        <v>149</v>
      </c>
      <c r="G40" s="984" t="s">
        <v>521</v>
      </c>
      <c r="H40" s="986" t="s">
        <v>402</v>
      </c>
      <c r="I40" s="986" t="s">
        <v>402</v>
      </c>
      <c r="J40" s="985">
        <v>1</v>
      </c>
      <c r="K40" s="984" t="s">
        <v>396</v>
      </c>
      <c r="L40" s="983" t="s">
        <v>402</v>
      </c>
      <c r="P40" s="983" t="s">
        <v>402</v>
      </c>
      <c r="T40" s="983" t="s">
        <v>402</v>
      </c>
      <c r="X40" s="983" t="s">
        <v>402</v>
      </c>
      <c r="AB40" s="983">
        <v>0</v>
      </c>
      <c r="AC40" s="982"/>
      <c r="AD40" s="981"/>
      <c r="AE40" s="980"/>
      <c r="AF40" s="983">
        <v>1</v>
      </c>
      <c r="AG40" s="982"/>
      <c r="AH40" s="981"/>
      <c r="AI40" s="980"/>
      <c r="AJ40" s="983">
        <v>0</v>
      </c>
      <c r="AK40" s="982"/>
      <c r="AL40" s="981"/>
      <c r="AM40" s="980"/>
    </row>
    <row r="41" spans="1:39" ht="24" outlineLevel="1">
      <c r="A41" s="991" t="s">
        <v>432</v>
      </c>
      <c r="B41" s="990"/>
      <c r="C41" s="989"/>
      <c r="D41" s="988" t="s">
        <v>402</v>
      </c>
      <c r="E41" s="987">
        <v>0</v>
      </c>
      <c r="F41" s="819" t="s">
        <v>433</v>
      </c>
      <c r="G41" s="984" t="s">
        <v>393</v>
      </c>
      <c r="H41" s="986" t="s">
        <v>402</v>
      </c>
      <c r="I41" s="986" t="s">
        <v>402</v>
      </c>
      <c r="J41" s="985">
        <v>1</v>
      </c>
      <c r="K41" s="984" t="s">
        <v>396</v>
      </c>
      <c r="L41" s="983" t="s">
        <v>402</v>
      </c>
      <c r="P41" s="983" t="s">
        <v>402</v>
      </c>
      <c r="T41" s="983" t="s">
        <v>402</v>
      </c>
      <c r="X41" s="983" t="s">
        <v>402</v>
      </c>
      <c r="AB41" s="983">
        <v>0</v>
      </c>
      <c r="AC41" s="982"/>
      <c r="AD41" s="981"/>
      <c r="AE41" s="980"/>
      <c r="AF41" s="983">
        <v>0</v>
      </c>
      <c r="AG41" s="982"/>
      <c r="AH41" s="981"/>
      <c r="AI41" s="980"/>
      <c r="AJ41" s="983">
        <v>1</v>
      </c>
      <c r="AK41" s="982"/>
      <c r="AL41" s="981"/>
      <c r="AM41" s="980"/>
    </row>
    <row r="42" spans="1:39" outlineLevel="1" collapsed="1"/>
    <row r="43" spans="1:39">
      <c r="B43" s="949" t="s">
        <v>179</v>
      </c>
      <c r="C43" s="948"/>
      <c r="D43" s="947"/>
      <c r="E43" s="946"/>
      <c r="F43" s="532" t="s">
        <v>180</v>
      </c>
      <c r="G43" s="954"/>
      <c r="H43" s="956"/>
      <c r="I43" s="956"/>
      <c r="J43" s="955"/>
      <c r="K43" s="954" t="s">
        <v>395</v>
      </c>
      <c r="L43" s="953">
        <v>4.4770909637727119</v>
      </c>
      <c r="M43" s="979"/>
      <c r="N43" s="979"/>
      <c r="O43" s="979"/>
      <c r="P43" s="953">
        <v>3.2716908498667463</v>
      </c>
      <c r="Q43" s="979"/>
      <c r="R43" s="979"/>
      <c r="S43" s="979"/>
      <c r="T43" s="953">
        <v>4.7346514698728184</v>
      </c>
      <c r="U43" s="979"/>
      <c r="V43" s="979"/>
      <c r="W43" s="979"/>
      <c r="X43" s="953">
        <v>4.4770909637727119</v>
      </c>
      <c r="Y43" s="979"/>
      <c r="Z43" s="979"/>
      <c r="AA43" s="979"/>
      <c r="AB43" s="953">
        <v>3.8594927779981738</v>
      </c>
      <c r="AC43" s="337"/>
      <c r="AD43" s="337"/>
      <c r="AE43" s="338" t="s">
        <v>680</v>
      </c>
      <c r="AF43" s="953">
        <v>11.524941639316978</v>
      </c>
      <c r="AG43" s="337"/>
      <c r="AH43" s="337"/>
      <c r="AI43" s="338" t="s">
        <v>680</v>
      </c>
      <c r="AJ43" s="953">
        <v>2.5017379321105571</v>
      </c>
      <c r="AK43" s="337"/>
      <c r="AL43" s="337"/>
      <c r="AM43" s="338" t="s">
        <v>680</v>
      </c>
    </row>
    <row r="44" spans="1:39">
      <c r="B44" s="949"/>
      <c r="C44" s="948"/>
      <c r="D44" s="947"/>
      <c r="E44" s="946"/>
      <c r="F44" s="532" t="s">
        <v>181</v>
      </c>
      <c r="G44" s="954"/>
      <c r="H44" s="956"/>
      <c r="I44" s="956"/>
      <c r="J44" s="955"/>
      <c r="K44" s="954" t="s">
        <v>395</v>
      </c>
      <c r="L44" s="953">
        <v>4.4368293543862665</v>
      </c>
      <c r="M44" s="979"/>
      <c r="N44" s="979"/>
      <c r="O44" s="979"/>
      <c r="P44" s="953">
        <v>3.2716908498667463</v>
      </c>
      <c r="Q44" s="979"/>
      <c r="R44" s="979"/>
      <c r="S44" s="979"/>
      <c r="T44" s="953">
        <v>4.7163977319680921</v>
      </c>
      <c r="U44" s="979"/>
      <c r="V44" s="979"/>
      <c r="W44" s="979"/>
      <c r="X44" s="953">
        <v>4.3437731068370393</v>
      </c>
      <c r="Y44" s="979"/>
      <c r="Z44" s="979"/>
      <c r="AA44" s="979"/>
      <c r="AB44" s="953">
        <v>3.7452001484331059</v>
      </c>
      <c r="AC44" s="337"/>
      <c r="AD44" s="337"/>
      <c r="AE44" s="338" t="s">
        <v>680</v>
      </c>
      <c r="AF44" s="953">
        <v>11.43857800295334</v>
      </c>
      <c r="AG44" s="337"/>
      <c r="AH44" s="337"/>
      <c r="AI44" s="338" t="s">
        <v>680</v>
      </c>
      <c r="AJ44" s="953">
        <v>2.3684200751748845</v>
      </c>
      <c r="AK44" s="337"/>
      <c r="AL44" s="337"/>
      <c r="AM44" s="338" t="s">
        <v>680</v>
      </c>
    </row>
    <row r="45" spans="1:39">
      <c r="B45" s="949"/>
      <c r="C45" s="948"/>
      <c r="D45" s="947"/>
      <c r="E45" s="946"/>
      <c r="F45" s="532" t="s">
        <v>323</v>
      </c>
      <c r="G45" s="954"/>
      <c r="H45" s="956"/>
      <c r="I45" s="956"/>
      <c r="J45" s="955"/>
      <c r="K45" s="954" t="s">
        <v>396</v>
      </c>
      <c r="L45" s="953">
        <v>1</v>
      </c>
      <c r="M45" s="979"/>
      <c r="N45" s="979"/>
      <c r="O45" s="979"/>
      <c r="P45" s="953">
        <v>1</v>
      </c>
      <c r="Q45" s="979"/>
      <c r="R45" s="979"/>
      <c r="S45" s="979"/>
      <c r="T45" s="953">
        <v>1</v>
      </c>
      <c r="U45" s="979"/>
      <c r="V45" s="979"/>
      <c r="W45" s="979"/>
      <c r="X45" s="953">
        <v>1</v>
      </c>
      <c r="Y45" s="979"/>
      <c r="Z45" s="979"/>
      <c r="AA45" s="979"/>
      <c r="AB45" s="953">
        <v>1</v>
      </c>
      <c r="AC45" s="337"/>
      <c r="AD45" s="337"/>
      <c r="AE45" s="338"/>
      <c r="AF45" s="953">
        <v>1</v>
      </c>
      <c r="AG45" s="337"/>
      <c r="AH45" s="337"/>
      <c r="AI45" s="338"/>
      <c r="AJ45" s="953">
        <v>1</v>
      </c>
      <c r="AK45" s="337"/>
      <c r="AL45" s="337"/>
      <c r="AM45" s="338"/>
    </row>
    <row r="46" spans="1:39">
      <c r="B46" s="949"/>
      <c r="C46" s="948"/>
      <c r="D46" s="947"/>
      <c r="E46" s="946"/>
      <c r="F46" s="532" t="s">
        <v>182</v>
      </c>
      <c r="G46" s="954"/>
      <c r="H46" s="956"/>
      <c r="I46" s="956"/>
      <c r="J46" s="955"/>
      <c r="K46" s="954" t="s">
        <v>395</v>
      </c>
      <c r="L46" s="969"/>
      <c r="M46" s="978">
        <v>0</v>
      </c>
      <c r="N46" s="978">
        <v>0</v>
      </c>
      <c r="O46" s="978">
        <v>0</v>
      </c>
      <c r="P46" s="969">
        <v>1.5</v>
      </c>
      <c r="Q46" s="978">
        <v>0</v>
      </c>
      <c r="R46" s="978">
        <v>0</v>
      </c>
      <c r="S46" s="978">
        <v>0</v>
      </c>
      <c r="T46" s="969">
        <v>1.5</v>
      </c>
      <c r="U46" s="978">
        <v>0</v>
      </c>
      <c r="V46" s="978">
        <v>0</v>
      </c>
      <c r="W46" s="978">
        <v>0</v>
      </c>
      <c r="X46" s="969">
        <v>1</v>
      </c>
      <c r="Y46" s="978">
        <v>0</v>
      </c>
      <c r="Z46" s="978">
        <v>0</v>
      </c>
      <c r="AA46" s="978">
        <v>0</v>
      </c>
      <c r="AB46" s="969">
        <v>1</v>
      </c>
      <c r="AE46" s="33" t="s">
        <v>1965</v>
      </c>
      <c r="AF46" s="969" t="s">
        <v>402</v>
      </c>
      <c r="AI46" s="33" t="s">
        <v>1965</v>
      </c>
      <c r="AJ46" s="969" t="s">
        <v>402</v>
      </c>
      <c r="AM46" s="33" t="s">
        <v>1965</v>
      </c>
    </row>
    <row r="47" spans="1:39">
      <c r="B47" s="949"/>
      <c r="C47" s="948"/>
      <c r="D47" s="947"/>
      <c r="E47" s="946"/>
      <c r="F47" s="532" t="s">
        <v>183</v>
      </c>
      <c r="G47" s="954"/>
      <c r="H47" s="956"/>
      <c r="I47" s="956"/>
      <c r="J47" s="955"/>
      <c r="K47" s="954" t="s">
        <v>395</v>
      </c>
      <c r="L47" s="969"/>
      <c r="M47" s="978">
        <v>0</v>
      </c>
      <c r="N47" s="978">
        <v>0</v>
      </c>
      <c r="O47" s="978">
        <v>0</v>
      </c>
      <c r="P47" s="969">
        <v>12.5</v>
      </c>
      <c r="Q47" s="978">
        <v>0</v>
      </c>
      <c r="R47" s="978">
        <v>0</v>
      </c>
      <c r="S47" s="978">
        <v>0</v>
      </c>
      <c r="T47" s="969">
        <v>20</v>
      </c>
      <c r="U47" s="978">
        <v>0</v>
      </c>
      <c r="V47" s="978">
        <v>0</v>
      </c>
      <c r="W47" s="978">
        <v>0</v>
      </c>
      <c r="X47" s="969">
        <v>20</v>
      </c>
      <c r="Y47" s="978">
        <v>0</v>
      </c>
      <c r="Z47" s="978">
        <v>0</v>
      </c>
      <c r="AA47" s="978">
        <v>0</v>
      </c>
      <c r="AB47" s="969">
        <v>15</v>
      </c>
      <c r="AE47" s="33" t="s">
        <v>1965</v>
      </c>
      <c r="AF47" s="969" t="s">
        <v>402</v>
      </c>
      <c r="AI47" s="33" t="s">
        <v>1965</v>
      </c>
      <c r="AJ47" s="969" t="s">
        <v>402</v>
      </c>
      <c r="AM47" s="33" t="s">
        <v>1965</v>
      </c>
    </row>
    <row r="48" spans="1:39">
      <c r="B48" s="949"/>
      <c r="C48" s="948"/>
      <c r="D48" s="947"/>
      <c r="E48" s="946"/>
      <c r="F48" s="532" t="s">
        <v>215</v>
      </c>
      <c r="G48" s="954"/>
      <c r="H48" s="956"/>
      <c r="I48" s="956"/>
      <c r="J48" s="955"/>
      <c r="K48" s="975">
        <v>1</v>
      </c>
      <c r="L48" s="977"/>
      <c r="M48" s="971"/>
      <c r="N48" s="971"/>
      <c r="O48" s="971"/>
      <c r="P48" s="977">
        <v>10</v>
      </c>
      <c r="Q48" s="971"/>
      <c r="R48" s="971"/>
      <c r="S48" s="971"/>
      <c r="T48" s="977">
        <v>34</v>
      </c>
      <c r="U48" s="971"/>
      <c r="V48" s="971"/>
      <c r="W48" s="971"/>
      <c r="X48" s="977">
        <v>35</v>
      </c>
      <c r="Y48" s="971"/>
      <c r="Z48" s="971"/>
      <c r="AA48" s="971"/>
      <c r="AB48" s="977">
        <v>10</v>
      </c>
      <c r="AE48" s="33" t="s">
        <v>1965</v>
      </c>
      <c r="AF48" s="976" t="s">
        <v>402</v>
      </c>
      <c r="AI48" s="33" t="s">
        <v>1965</v>
      </c>
      <c r="AJ48" s="976" t="s">
        <v>402</v>
      </c>
      <c r="AM48" s="33" t="s">
        <v>1965</v>
      </c>
    </row>
    <row r="49" spans="2:39" ht="24">
      <c r="B49" s="949"/>
      <c r="C49" s="948"/>
      <c r="D49" s="947"/>
      <c r="E49" s="946"/>
      <c r="F49" s="532" t="s">
        <v>1966</v>
      </c>
      <c r="G49" s="960"/>
      <c r="H49" s="959"/>
      <c r="I49" s="959"/>
      <c r="J49" s="958"/>
      <c r="K49" s="975" t="s">
        <v>395</v>
      </c>
      <c r="L49" s="973">
        <v>4.4770909637727119</v>
      </c>
      <c r="M49" s="973">
        <v>0</v>
      </c>
      <c r="N49" s="973">
        <v>0</v>
      </c>
      <c r="O49" s="973">
        <v>0</v>
      </c>
      <c r="P49" s="974">
        <v>3.2716908498667463</v>
      </c>
      <c r="Q49" s="973" t="e">
        <v>#REF!</v>
      </c>
      <c r="R49" s="973" t="e">
        <v>#REF!</v>
      </c>
      <c r="S49" s="973" t="e">
        <v>#REF!</v>
      </c>
      <c r="T49" s="974">
        <v>4.7346514698728193</v>
      </c>
      <c r="U49" s="973" t="e">
        <v>#REF!</v>
      </c>
      <c r="V49" s="973" t="e">
        <v>#REF!</v>
      </c>
      <c r="W49" s="973" t="e">
        <v>#REF!</v>
      </c>
      <c r="X49" s="974">
        <v>4.4770909637727119</v>
      </c>
      <c r="Y49" s="973" t="e">
        <v>#REF!</v>
      </c>
      <c r="Z49" s="973" t="e">
        <v>#REF!</v>
      </c>
      <c r="AA49" s="973" t="e">
        <v>#REF!</v>
      </c>
      <c r="AB49" s="974">
        <v>3.7391847468770498</v>
      </c>
      <c r="AE49" s="33" t="s">
        <v>1965</v>
      </c>
      <c r="AF49" s="973" t="s">
        <v>402</v>
      </c>
      <c r="AI49" s="33" t="s">
        <v>1965</v>
      </c>
      <c r="AJ49" s="973" t="s">
        <v>402</v>
      </c>
      <c r="AM49" s="33" t="s">
        <v>1965</v>
      </c>
    </row>
    <row r="50" spans="2:39">
      <c r="B50" s="968"/>
      <c r="C50" s="967"/>
      <c r="D50" s="966"/>
      <c r="E50" s="965"/>
      <c r="F50" s="532" t="s">
        <v>216</v>
      </c>
      <c r="G50" s="954"/>
      <c r="H50" s="956"/>
      <c r="I50" s="956"/>
      <c r="J50" s="955"/>
      <c r="K50" s="954" t="s">
        <v>395</v>
      </c>
      <c r="L50" s="972"/>
      <c r="M50" s="971" t="e">
        <v>#DIV/0!</v>
      </c>
      <c r="N50" s="971" t="e">
        <v>#DIV/0!</v>
      </c>
      <c r="O50" s="971" t="e">
        <v>#DIV/0!</v>
      </c>
      <c r="P50" s="969">
        <v>1.2336691605136405</v>
      </c>
      <c r="Q50" s="970" t="e">
        <v>#DIV/0!</v>
      </c>
      <c r="R50" s="970" t="e">
        <v>#DIV/0!</v>
      </c>
      <c r="S50" s="970" t="e">
        <v>#DIV/0!</v>
      </c>
      <c r="T50" s="969">
        <v>3.1406189564674309</v>
      </c>
      <c r="U50" s="970" t="e">
        <v>#DIV/0!</v>
      </c>
      <c r="V50" s="970" t="e">
        <v>#DIV/0!</v>
      </c>
      <c r="W50" s="970" t="e">
        <v>#DIV/0!</v>
      </c>
      <c r="X50" s="969">
        <v>1.1738602401209279</v>
      </c>
      <c r="Y50" s="970" t="e">
        <v>#DIV/0!</v>
      </c>
      <c r="Z50" s="970" t="e">
        <v>#DIV/0!</v>
      </c>
      <c r="AA50" s="970" t="e">
        <v>#DIV/0!</v>
      </c>
      <c r="AB50" s="969">
        <v>2.0367958581586447</v>
      </c>
      <c r="AE50" s="33" t="s">
        <v>1965</v>
      </c>
      <c r="AF50" s="969" t="s">
        <v>402</v>
      </c>
      <c r="AI50" s="33" t="s">
        <v>1965</v>
      </c>
      <c r="AJ50" s="969" t="s">
        <v>402</v>
      </c>
      <c r="AM50" s="33" t="s">
        <v>1965</v>
      </c>
    </row>
    <row r="51" spans="2:39">
      <c r="B51" s="968"/>
      <c r="C51" s="967"/>
      <c r="D51" s="966"/>
      <c r="E51" s="965"/>
      <c r="F51" s="532" t="s">
        <v>217</v>
      </c>
      <c r="G51" s="954"/>
      <c r="H51" s="956"/>
      <c r="I51" s="956"/>
      <c r="J51" s="955"/>
      <c r="K51" s="954" t="s">
        <v>403</v>
      </c>
      <c r="L51" s="964">
        <v>0.80523218772890492</v>
      </c>
      <c r="M51" s="963"/>
      <c r="N51" s="963"/>
      <c r="O51" s="963"/>
      <c r="P51" s="964">
        <v>0.95969598262757894</v>
      </c>
      <c r="Q51" s="963"/>
      <c r="R51" s="963"/>
      <c r="S51" s="963"/>
      <c r="T51" s="964">
        <v>0.40324166462259187</v>
      </c>
      <c r="U51" s="963"/>
      <c r="V51" s="963"/>
      <c r="W51" s="963"/>
      <c r="X51" s="962">
        <v>1.5436804487288414</v>
      </c>
      <c r="Y51" s="963"/>
      <c r="Z51" s="963"/>
      <c r="AA51" s="963"/>
      <c r="AB51" s="962">
        <v>1.3233883423323656</v>
      </c>
      <c r="AE51" s="33" t="s">
        <v>682</v>
      </c>
      <c r="AF51" s="961" t="s">
        <v>402</v>
      </c>
      <c r="AI51" s="33" t="s">
        <v>682</v>
      </c>
      <c r="AJ51" s="961" t="s">
        <v>402</v>
      </c>
      <c r="AM51" s="33" t="s">
        <v>682</v>
      </c>
    </row>
    <row r="52" spans="2:39">
      <c r="B52" s="949"/>
      <c r="C52" s="948"/>
      <c r="D52" s="947"/>
      <c r="E52" s="946"/>
      <c r="F52" s="532" t="s">
        <v>1964</v>
      </c>
      <c r="G52" s="960"/>
      <c r="H52" s="959"/>
      <c r="I52" s="959"/>
      <c r="J52" s="958"/>
      <c r="K52" s="954" t="s">
        <v>395</v>
      </c>
      <c r="L52" s="953">
        <v>4.5114999999999998</v>
      </c>
      <c r="M52" s="952" t="e">
        <v>#DIV/0!</v>
      </c>
      <c r="N52" s="952" t="e">
        <v>#DIV/0!</v>
      </c>
      <c r="O52" s="952" t="e">
        <v>#DIV/0!</v>
      </c>
      <c r="P52" s="953">
        <v>3.9623181818181816</v>
      </c>
      <c r="Q52" s="952" t="e">
        <v>#DIV/0!</v>
      </c>
      <c r="R52" s="952" t="e">
        <v>#DIV/0!</v>
      </c>
      <c r="S52" s="952" t="e">
        <v>#DIV/0!</v>
      </c>
      <c r="T52" s="953">
        <v>7.0038387096774191</v>
      </c>
      <c r="U52" s="952" t="e">
        <v>#DIV/0!</v>
      </c>
      <c r="V52" s="952" t="e">
        <v>#DIV/0!</v>
      </c>
      <c r="W52" s="952" t="e">
        <v>#DIV/0!</v>
      </c>
      <c r="X52" s="953">
        <v>4.5114999999999998</v>
      </c>
      <c r="Y52" s="952" t="e">
        <v>#DIV/0!</v>
      </c>
      <c r="Z52" s="952" t="e">
        <v>#DIV/0!</v>
      </c>
      <c r="AA52" s="952" t="e">
        <v>#DIV/0!</v>
      </c>
      <c r="AB52" s="953">
        <v>3.9623181818181816</v>
      </c>
      <c r="AE52" s="33" t="s">
        <v>316</v>
      </c>
      <c r="AF52" s="957" t="s">
        <v>402</v>
      </c>
      <c r="AI52" s="33" t="s">
        <v>316</v>
      </c>
      <c r="AJ52" s="957" t="s">
        <v>402</v>
      </c>
      <c r="AM52" s="33" t="s">
        <v>316</v>
      </c>
    </row>
    <row r="53" spans="2:39">
      <c r="B53" s="949"/>
      <c r="C53" s="948"/>
      <c r="D53" s="947"/>
      <c r="E53" s="946"/>
      <c r="F53" s="532" t="s">
        <v>1963</v>
      </c>
      <c r="G53" s="954"/>
      <c r="H53" s="956"/>
      <c r="I53" s="956"/>
      <c r="J53" s="955"/>
      <c r="K53" s="954" t="s">
        <v>395</v>
      </c>
      <c r="L53" s="953">
        <v>4.8818181818181818</v>
      </c>
      <c r="M53" s="952" t="e">
        <v>#DIV/0!</v>
      </c>
      <c r="N53" s="952" t="e">
        <v>#DIV/0!</v>
      </c>
      <c r="O53" s="952" t="e">
        <v>#DIV/0!</v>
      </c>
      <c r="P53" s="951"/>
      <c r="Q53" s="952" t="e">
        <v>#DIV/0!</v>
      </c>
      <c r="R53" s="952" t="e">
        <v>#DIV/0!</v>
      </c>
      <c r="S53" s="952" t="e">
        <v>#DIV/0!</v>
      </c>
      <c r="T53" s="953">
        <v>6.1742112482853218</v>
      </c>
      <c r="U53" s="952" t="e">
        <v>#DIV/0!</v>
      </c>
      <c r="V53" s="952" t="e">
        <v>#DIV/0!</v>
      </c>
      <c r="W53" s="952" t="e">
        <v>#DIV/0!</v>
      </c>
      <c r="X53" s="953">
        <v>4.4302325581395356</v>
      </c>
      <c r="Y53" s="952" t="e">
        <v>#DIV/0!</v>
      </c>
      <c r="Z53" s="952" t="e">
        <v>#DIV/0!</v>
      </c>
      <c r="AA53" s="952" t="e">
        <v>#DIV/0!</v>
      </c>
      <c r="AB53" s="951"/>
      <c r="AE53" s="33" t="s">
        <v>679</v>
      </c>
      <c r="AF53" s="950" t="s">
        <v>402</v>
      </c>
      <c r="AI53" s="33" t="s">
        <v>679</v>
      </c>
      <c r="AJ53" s="950" t="s">
        <v>402</v>
      </c>
      <c r="AM53" s="33" t="s">
        <v>679</v>
      </c>
    </row>
    <row r="54" spans="2:39">
      <c r="B54" s="949"/>
      <c r="C54" s="948"/>
      <c r="D54" s="947"/>
      <c r="E54" s="946"/>
    </row>
    <row r="55" spans="2:39" s="945" customFormat="1">
      <c r="B55" s="949"/>
      <c r="C55" s="948"/>
      <c r="D55" s="947"/>
      <c r="E55" s="946"/>
    </row>
  </sheetData>
  <dataValidations count="2">
    <dataValidation allowBlank="1" showInputMessage="1" showErrorMessage="1" prompt="Do not enter anything into these fields. _x000a__x000a_Entering the Index-Number in column A will update these fields accordingly (maybe you need to press &quot;F9&quot; to have Excel recalculate the fields). Be sure to have the names-list open._x000a_" sqref="F30:K34"/>
    <dataValidation allowBlank="1" showInputMessage="1" showErrorMessage="1" promptTitle="Index-Number" prompt="Indicates the reference number in the ecoinvent names list. Insert the index number from the names-list in this field and the rest is completed accordingly._x000a__x000a_If Input-/Outputgroup =4 then see sheet &quot;NamesElementary&quot;_x000a_If I/O-Group=5 then see sheet &quot;Names&quot;" sqref="A31:A34"/>
  </dataValidations>
  <printOptions horizontalCentered="1" verticalCentered="1"/>
  <pageMargins left="0.78740157480314965" right="0.78740157480314965" top="0.98425196850393704" bottom="0.98425196850393704" header="0.51181102362204722" footer="0.51181102362204722"/>
  <pageSetup paperSize="9" scale="59" orientation="landscape" r:id="rId1"/>
  <headerFooter alignWithMargins="0"/>
  <legacy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workbookViewId="0"/>
  </sheetViews>
  <sheetFormatPr defaultRowHeight="12"/>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8"/>
  <sheetViews>
    <sheetView zoomScale="80" zoomScaleNormal="80" workbookViewId="0">
      <selection activeCell="L67" sqref="L67"/>
    </sheetView>
  </sheetViews>
  <sheetFormatPr defaultColWidth="11.42578125" defaultRowHeight="12" outlineLevelRow="1"/>
  <cols>
    <col min="1" max="1" width="2.7109375" style="1025" customWidth="1"/>
    <col min="2" max="2" width="29.140625" style="1032" customWidth="1"/>
    <col min="3" max="6" width="12.85546875" style="1032" customWidth="1"/>
    <col min="7" max="16384" width="11.42578125" style="1032"/>
  </cols>
  <sheetData>
    <row r="1" spans="1:15" s="1025" customFormat="1" ht="12.75" thickBot="1"/>
    <row r="2" spans="1:15" s="1029" customFormat="1" ht="12.75" thickBot="1">
      <c r="A2" s="1026"/>
      <c r="B2" s="1027" t="s">
        <v>2005</v>
      </c>
      <c r="C2" s="1028" t="s">
        <v>2006</v>
      </c>
      <c r="D2" s="1026"/>
      <c r="E2" s="1026"/>
      <c r="F2" s="1026"/>
      <c r="G2" s="1026"/>
      <c r="H2" s="1026"/>
      <c r="I2" s="1026"/>
      <c r="J2" s="1026"/>
      <c r="K2" s="1026"/>
      <c r="L2" s="1026"/>
      <c r="M2" s="1026"/>
      <c r="N2" s="1026"/>
      <c r="O2" s="1026"/>
    </row>
    <row r="3" spans="1:15" ht="12.75" thickBot="1">
      <c r="B3" s="1030"/>
      <c r="C3" s="1031" t="s">
        <v>403</v>
      </c>
      <c r="D3" s="1025"/>
      <c r="E3" s="1025"/>
      <c r="F3" s="1025"/>
      <c r="G3" s="1025"/>
      <c r="H3" s="1025"/>
      <c r="I3" s="1025"/>
      <c r="J3" s="1025"/>
      <c r="K3" s="1025"/>
      <c r="L3" s="1025"/>
      <c r="M3" s="1025"/>
      <c r="N3" s="1025"/>
      <c r="O3" s="1025"/>
    </row>
    <row r="4" spans="1:15" ht="12.75" thickBot="1">
      <c r="B4" s="1033" t="s">
        <v>2007</v>
      </c>
      <c r="C4" s="1034">
        <v>65.384381235207258</v>
      </c>
      <c r="D4" s="1025"/>
      <c r="E4" s="1025"/>
      <c r="F4" s="1025"/>
      <c r="G4" s="1025"/>
      <c r="H4" s="1025"/>
      <c r="I4" s="1025"/>
      <c r="J4" s="1025"/>
      <c r="K4" s="1025"/>
      <c r="L4" s="1025"/>
      <c r="M4" s="1025"/>
      <c r="N4" s="1025"/>
      <c r="O4" s="1025"/>
    </row>
    <row r="5" spans="1:15">
      <c r="B5" s="1035" t="s">
        <v>1718</v>
      </c>
      <c r="C5" s="1036">
        <v>24.26118789324514</v>
      </c>
      <c r="D5" s="1025"/>
      <c r="E5" s="1025"/>
      <c r="F5" s="1025"/>
      <c r="G5" s="1025"/>
      <c r="H5" s="1025"/>
      <c r="I5" s="1025"/>
      <c r="J5" s="1025"/>
      <c r="K5" s="1025"/>
      <c r="L5" s="1025"/>
      <c r="M5" s="1025"/>
      <c r="N5" s="1025"/>
      <c r="O5" s="1025"/>
    </row>
    <row r="6" spans="1:15">
      <c r="B6" s="1037" t="s">
        <v>2008</v>
      </c>
      <c r="C6" s="1038">
        <v>0</v>
      </c>
      <c r="D6" s="1025"/>
      <c r="E6" s="1025"/>
      <c r="F6" s="1025"/>
      <c r="G6" s="1025"/>
      <c r="H6" s="1025"/>
      <c r="I6" s="1025"/>
      <c r="J6" s="1025"/>
      <c r="K6" s="1025"/>
      <c r="L6" s="1025"/>
      <c r="M6" s="1025"/>
      <c r="N6" s="1025"/>
      <c r="O6" s="1025"/>
    </row>
    <row r="7" spans="1:15">
      <c r="B7" s="1037" t="s">
        <v>2009</v>
      </c>
      <c r="C7" s="1038">
        <v>0</v>
      </c>
      <c r="D7" s="1025"/>
      <c r="E7" s="1025"/>
      <c r="F7" s="1025"/>
      <c r="G7" s="1025"/>
      <c r="H7" s="1025"/>
      <c r="I7" s="1025"/>
      <c r="J7" s="1025"/>
      <c r="K7" s="1025"/>
      <c r="L7" s="1025"/>
      <c r="M7" s="1025"/>
      <c r="N7" s="1025"/>
      <c r="O7" s="1025"/>
    </row>
    <row r="8" spans="1:15">
      <c r="B8" s="1037" t="s">
        <v>2010</v>
      </c>
      <c r="C8" s="1038">
        <f>SUM(C9:C10)</f>
        <v>2.9593233173962865</v>
      </c>
      <c r="D8" s="1025"/>
      <c r="E8" s="1025"/>
      <c r="F8" s="1025"/>
      <c r="G8" s="1025"/>
      <c r="H8" s="1025"/>
      <c r="I8" s="1025"/>
      <c r="J8" s="1025"/>
      <c r="K8" s="1025"/>
      <c r="L8" s="1025"/>
      <c r="M8" s="1025"/>
      <c r="N8" s="1025"/>
      <c r="O8" s="1025"/>
    </row>
    <row r="9" spans="1:15">
      <c r="B9" s="1039" t="s">
        <v>2011</v>
      </c>
      <c r="C9" s="1040">
        <v>0.75591060764312334</v>
      </c>
      <c r="D9" s="1025"/>
      <c r="E9" s="1025"/>
      <c r="F9" s="1025"/>
      <c r="G9" s="1025"/>
      <c r="H9" s="1025"/>
      <c r="I9" s="1025"/>
      <c r="J9" s="1025"/>
      <c r="K9" s="1025"/>
      <c r="L9" s="1025"/>
      <c r="M9" s="1025"/>
      <c r="N9" s="1025"/>
      <c r="O9" s="1025"/>
    </row>
    <row r="10" spans="1:15">
      <c r="B10" s="1039" t="s">
        <v>2012</v>
      </c>
      <c r="C10" s="1040">
        <v>2.2034127097531631</v>
      </c>
      <c r="D10" s="1025"/>
      <c r="E10" s="1025"/>
      <c r="F10" s="1025"/>
      <c r="G10" s="1025"/>
      <c r="H10" s="1025"/>
      <c r="I10" s="1025"/>
      <c r="J10" s="1025"/>
      <c r="K10" s="1025"/>
      <c r="L10" s="1025"/>
      <c r="M10" s="1025"/>
      <c r="N10" s="1025"/>
      <c r="O10" s="1025"/>
    </row>
    <row r="11" spans="1:15">
      <c r="B11" s="1037" t="s">
        <v>2013</v>
      </c>
      <c r="C11" s="1038">
        <f>SUM(C12:C14)</f>
        <v>12.108648154787771</v>
      </c>
      <c r="D11" s="1025"/>
      <c r="E11" s="1025"/>
      <c r="F11" s="1025"/>
      <c r="G11" s="1025"/>
      <c r="H11" s="1025"/>
      <c r="I11" s="1025"/>
      <c r="J11" s="1025"/>
      <c r="K11" s="1025"/>
      <c r="L11" s="1025"/>
      <c r="M11" s="1025"/>
      <c r="N11" s="1025"/>
      <c r="O11" s="1025"/>
    </row>
    <row r="12" spans="1:15">
      <c r="B12" s="1039" t="s">
        <v>2014</v>
      </c>
      <c r="C12" s="1040">
        <v>10.029456908250459</v>
      </c>
      <c r="D12" s="1025"/>
      <c r="E12" s="1025"/>
      <c r="F12" s="1025"/>
      <c r="G12" s="1025"/>
      <c r="H12" s="1025"/>
      <c r="I12" s="1025"/>
      <c r="J12" s="1025"/>
      <c r="K12" s="1025"/>
      <c r="L12" s="1025"/>
      <c r="M12" s="1025"/>
      <c r="N12" s="1025"/>
      <c r="O12" s="1025"/>
    </row>
    <row r="13" spans="1:15">
      <c r="B13" s="1039" t="s">
        <v>2015</v>
      </c>
      <c r="C13" s="1040">
        <v>0.29435885987222782</v>
      </c>
      <c r="D13" s="1025"/>
      <c r="E13" s="1025"/>
      <c r="F13" s="1025"/>
      <c r="G13" s="1025"/>
      <c r="H13" s="1025"/>
      <c r="I13" s="1025"/>
      <c r="J13" s="1025"/>
      <c r="K13" s="1025"/>
      <c r="L13" s="1025"/>
      <c r="M13" s="1025"/>
      <c r="N13" s="1025"/>
      <c r="O13" s="1025"/>
    </row>
    <row r="14" spans="1:15">
      <c r="B14" s="1039" t="s">
        <v>2016</v>
      </c>
      <c r="C14" s="1040">
        <v>1.7848323866650837</v>
      </c>
      <c r="D14" s="1025"/>
      <c r="E14" s="1025"/>
      <c r="F14" s="1025"/>
      <c r="G14" s="1025"/>
      <c r="H14" s="1025"/>
      <c r="I14" s="1025"/>
      <c r="J14" s="1025"/>
      <c r="K14" s="1025"/>
      <c r="L14" s="1025"/>
      <c r="M14" s="1025"/>
      <c r="N14" s="1025"/>
      <c r="O14" s="1025"/>
    </row>
    <row r="15" spans="1:15">
      <c r="B15" s="1037" t="s">
        <v>2017</v>
      </c>
      <c r="C15" s="1038">
        <v>26.055221869778066</v>
      </c>
      <c r="D15" s="1025"/>
      <c r="E15" s="1025"/>
      <c r="F15" s="1025"/>
      <c r="G15" s="1025"/>
      <c r="H15" s="1025"/>
      <c r="I15" s="1025"/>
      <c r="J15" s="1025"/>
      <c r="K15" s="1025"/>
      <c r="L15" s="1025"/>
      <c r="M15" s="1025"/>
      <c r="N15" s="1025"/>
      <c r="O15" s="1025"/>
    </row>
    <row r="16" spans="1:15" ht="12.75" thickBot="1">
      <c r="B16" s="1041" t="s">
        <v>2018</v>
      </c>
      <c r="C16" s="1042">
        <v>0</v>
      </c>
      <c r="D16" s="1025"/>
      <c r="E16" s="1025"/>
      <c r="F16" s="1025"/>
      <c r="G16" s="1025"/>
      <c r="H16" s="1025"/>
      <c r="I16" s="1025"/>
      <c r="J16" s="1025"/>
      <c r="K16" s="1025"/>
      <c r="L16" s="1025"/>
      <c r="M16" s="1025"/>
      <c r="N16" s="1025"/>
      <c r="O16" s="1025"/>
    </row>
    <row r="17" spans="2:15" ht="12.75" thickBot="1">
      <c r="B17" s="1033" t="s">
        <v>2019</v>
      </c>
      <c r="C17" s="1034">
        <v>8.0743885317655817</v>
      </c>
      <c r="D17" s="1025"/>
      <c r="E17" s="1025"/>
      <c r="F17" s="1025"/>
      <c r="G17" s="1025"/>
      <c r="H17" s="1025"/>
      <c r="I17" s="1025"/>
      <c r="J17" s="1025"/>
      <c r="K17" s="1025"/>
      <c r="L17" s="1025"/>
      <c r="M17" s="1025"/>
      <c r="N17" s="1025"/>
      <c r="O17" s="1025"/>
    </row>
    <row r="18" spans="2:15">
      <c r="B18" s="1035" t="s">
        <v>2020</v>
      </c>
      <c r="C18" s="1036">
        <v>1.4780798541887896</v>
      </c>
      <c r="D18" s="1025"/>
      <c r="E18" s="1025"/>
      <c r="F18" s="1025"/>
      <c r="G18" s="1025"/>
      <c r="H18" s="1025"/>
      <c r="I18" s="1025"/>
      <c r="J18" s="1025"/>
      <c r="K18" s="1025"/>
      <c r="L18" s="1025"/>
      <c r="M18" s="1025"/>
      <c r="N18" s="1025"/>
      <c r="O18" s="1025"/>
    </row>
    <row r="19" spans="2:15">
      <c r="B19" s="1037" t="s">
        <v>2021</v>
      </c>
      <c r="C19" s="1038">
        <v>5.9123194167551585</v>
      </c>
      <c r="D19" s="1025"/>
      <c r="E19" s="1025"/>
      <c r="F19" s="1025"/>
      <c r="G19" s="1025"/>
      <c r="H19" s="1025"/>
      <c r="I19" s="1025"/>
      <c r="J19" s="1025"/>
      <c r="K19" s="1025"/>
      <c r="L19" s="1025"/>
      <c r="M19" s="1025"/>
      <c r="N19" s="1025"/>
      <c r="O19" s="1025"/>
    </row>
    <row r="20" spans="2:15" ht="12.75" thickBot="1">
      <c r="B20" s="1041" t="s">
        <v>2022</v>
      </c>
      <c r="C20" s="1042">
        <v>0.68398926082163314</v>
      </c>
      <c r="D20" s="1025"/>
      <c r="E20" s="1025"/>
      <c r="F20" s="1025"/>
      <c r="G20" s="1025"/>
      <c r="H20" s="1025"/>
      <c r="I20" s="1025"/>
      <c r="J20" s="1025"/>
      <c r="K20" s="1025"/>
      <c r="L20" s="1025"/>
      <c r="M20" s="1025"/>
      <c r="N20" s="1025"/>
      <c r="O20" s="1025"/>
    </row>
    <row r="21" spans="2:15" ht="12.75" thickBot="1">
      <c r="B21" s="1033" t="s">
        <v>2023</v>
      </c>
      <c r="C21" s="1034">
        <v>23.758470922708451</v>
      </c>
      <c r="D21" s="1025"/>
      <c r="E21" s="1025"/>
      <c r="F21" s="1025"/>
      <c r="G21" s="1025"/>
      <c r="H21" s="1025"/>
      <c r="I21" s="1025"/>
      <c r="J21" s="1025"/>
      <c r="K21" s="1025"/>
      <c r="L21" s="1025"/>
      <c r="M21" s="1025"/>
      <c r="N21" s="1025"/>
      <c r="O21" s="1025"/>
    </row>
    <row r="22" spans="2:15">
      <c r="B22" s="1035" t="s">
        <v>2024</v>
      </c>
      <c r="C22" s="1036">
        <v>10.362057068268909</v>
      </c>
      <c r="D22" s="1025"/>
      <c r="E22" s="1025"/>
      <c r="F22" s="1025"/>
      <c r="G22" s="1025"/>
      <c r="H22" s="1025"/>
      <c r="I22" s="1025"/>
      <c r="J22" s="1025"/>
      <c r="K22" s="1025"/>
      <c r="L22" s="1025"/>
      <c r="M22" s="1025"/>
      <c r="N22" s="1025"/>
      <c r="O22" s="1025"/>
    </row>
    <row r="23" spans="2:15" ht="12.75" thickBot="1">
      <c r="B23" s="1041" t="s">
        <v>2025</v>
      </c>
      <c r="C23" s="1042">
        <v>13.396413854439542</v>
      </c>
      <c r="D23" s="1025"/>
      <c r="E23" s="1025"/>
      <c r="F23" s="1025"/>
      <c r="G23" s="1025"/>
      <c r="H23" s="1025"/>
      <c r="I23" s="1025"/>
      <c r="J23" s="1025"/>
      <c r="K23" s="1025"/>
      <c r="L23" s="1025"/>
      <c r="M23" s="1025"/>
      <c r="N23" s="1025"/>
      <c r="O23" s="1025"/>
    </row>
    <row r="24" spans="2:15" ht="12.75" thickBot="1">
      <c r="B24" s="1033" t="s">
        <v>2026</v>
      </c>
      <c r="C24" s="1034">
        <v>2.1102151068782096</v>
      </c>
      <c r="D24" s="1025"/>
      <c r="E24" s="1025"/>
      <c r="F24" s="1025"/>
      <c r="G24" s="1025"/>
      <c r="H24" s="1025"/>
      <c r="I24" s="1025"/>
      <c r="J24" s="1025"/>
      <c r="K24" s="1025"/>
      <c r="L24" s="1025"/>
      <c r="M24" s="1025"/>
      <c r="N24" s="1025"/>
      <c r="O24" s="1025"/>
    </row>
    <row r="25" spans="2:15">
      <c r="B25" s="1035" t="s">
        <v>2027</v>
      </c>
      <c r="C25" s="1036">
        <v>0.258687342236121</v>
      </c>
      <c r="D25" s="1025"/>
      <c r="E25" s="1025"/>
      <c r="F25" s="1025"/>
      <c r="G25" s="1025"/>
      <c r="H25" s="1025"/>
      <c r="I25" s="1025"/>
      <c r="J25" s="1025"/>
      <c r="K25" s="1025"/>
      <c r="L25" s="1025"/>
      <c r="M25" s="1025"/>
      <c r="N25" s="1025"/>
      <c r="O25" s="1025"/>
    </row>
    <row r="26" spans="2:15">
      <c r="B26" s="1037" t="s">
        <v>2028</v>
      </c>
      <c r="C26" s="1043">
        <f>SUM(C27:C28)</f>
        <v>0.20718526485703501</v>
      </c>
      <c r="D26" s="1025"/>
      <c r="E26" s="1025"/>
      <c r="F26" s="1025"/>
      <c r="G26" s="1025"/>
      <c r="H26" s="1025"/>
      <c r="I26" s="1025"/>
      <c r="J26" s="1025"/>
      <c r="K26" s="1025"/>
      <c r="L26" s="1025"/>
      <c r="M26" s="1025"/>
      <c r="N26" s="1025"/>
      <c r="O26" s="1025"/>
    </row>
    <row r="27" spans="2:15">
      <c r="B27" s="1039" t="s">
        <v>2029</v>
      </c>
      <c r="C27" s="1040">
        <v>0.20718526485703501</v>
      </c>
      <c r="D27" s="1025"/>
      <c r="E27" s="1025"/>
      <c r="F27" s="1025"/>
      <c r="G27" s="1025"/>
      <c r="H27" s="1025"/>
      <c r="I27" s="1025"/>
      <c r="J27" s="1025"/>
      <c r="K27" s="1025"/>
      <c r="L27" s="1025"/>
      <c r="M27" s="1025"/>
      <c r="N27" s="1025"/>
      <c r="O27" s="1025"/>
    </row>
    <row r="28" spans="2:15">
      <c r="B28" s="1039" t="s">
        <v>2030</v>
      </c>
      <c r="C28" s="1040">
        <v>0</v>
      </c>
      <c r="D28" s="1025"/>
      <c r="E28" s="1025"/>
      <c r="F28" s="1025"/>
      <c r="G28" s="1025"/>
      <c r="H28" s="1025"/>
      <c r="I28" s="1025"/>
      <c r="J28" s="1025"/>
      <c r="K28" s="1025"/>
      <c r="L28" s="1025"/>
      <c r="M28" s="1025"/>
      <c r="N28" s="1025"/>
      <c r="O28" s="1025"/>
    </row>
    <row r="29" spans="2:15">
      <c r="B29" s="1037" t="s">
        <v>2031</v>
      </c>
      <c r="C29" s="1038">
        <v>0</v>
      </c>
      <c r="D29" s="1025"/>
      <c r="E29" s="1025"/>
      <c r="F29" s="1025"/>
      <c r="G29" s="1025"/>
      <c r="H29" s="1025"/>
      <c r="I29" s="1025"/>
      <c r="J29" s="1025"/>
      <c r="K29" s="1025"/>
      <c r="L29" s="1025"/>
      <c r="M29" s="1025"/>
      <c r="N29" s="1025"/>
      <c r="O29" s="1025"/>
    </row>
    <row r="30" spans="2:15">
      <c r="B30" s="1037" t="s">
        <v>2032</v>
      </c>
      <c r="C30" s="1038">
        <v>0.25683476361333629</v>
      </c>
      <c r="D30" s="1025"/>
      <c r="E30" s="1025"/>
      <c r="F30" s="1025"/>
      <c r="G30" s="1025"/>
      <c r="H30" s="1025"/>
      <c r="I30" s="1025"/>
      <c r="J30" s="1025"/>
      <c r="K30" s="1025"/>
      <c r="L30" s="1025"/>
      <c r="M30" s="1025"/>
      <c r="N30" s="1025"/>
      <c r="O30" s="1025"/>
    </row>
    <row r="31" spans="2:15">
      <c r="B31" s="1037" t="s">
        <v>2033</v>
      </c>
      <c r="C31" s="1038">
        <v>1.3875077361717174</v>
      </c>
      <c r="D31" s="1025"/>
      <c r="E31" s="1025"/>
      <c r="F31" s="1025"/>
      <c r="G31" s="1025"/>
      <c r="H31" s="1025"/>
      <c r="I31" s="1025"/>
      <c r="J31" s="1025"/>
      <c r="K31" s="1025"/>
      <c r="L31" s="1025"/>
      <c r="M31" s="1025"/>
      <c r="N31" s="1025"/>
      <c r="O31" s="1025"/>
    </row>
    <row r="32" spans="2:15" ht="12.75" thickBot="1">
      <c r="B32" s="1041" t="s">
        <v>2034</v>
      </c>
      <c r="C32" s="1042">
        <v>0</v>
      </c>
      <c r="D32" s="1025"/>
      <c r="E32" s="1025"/>
      <c r="F32" s="1025"/>
      <c r="G32" s="1025"/>
      <c r="H32" s="1025"/>
      <c r="I32" s="1025"/>
      <c r="J32" s="1025"/>
      <c r="K32" s="1025"/>
      <c r="L32" s="1025"/>
      <c r="M32" s="1025"/>
      <c r="N32" s="1025"/>
      <c r="O32" s="1025"/>
    </row>
    <row r="33" spans="1:15" ht="12.75" thickBot="1">
      <c r="B33" s="1033" t="s">
        <v>794</v>
      </c>
      <c r="C33" s="1034">
        <v>0.67254420344048549</v>
      </c>
      <c r="D33" s="1025"/>
      <c r="E33" s="1025"/>
      <c r="F33" s="1025"/>
      <c r="G33" s="1025"/>
      <c r="H33" s="1025"/>
      <c r="I33" s="1025"/>
      <c r="J33" s="1025"/>
      <c r="K33" s="1025"/>
      <c r="L33" s="1025"/>
      <c r="M33" s="1025"/>
      <c r="N33" s="1025"/>
      <c r="O33" s="1025"/>
    </row>
    <row r="34" spans="1:15">
      <c r="B34" s="1035" t="s">
        <v>2035</v>
      </c>
      <c r="C34" s="1036">
        <v>0.62911269926427682</v>
      </c>
      <c r="D34" s="1025"/>
      <c r="E34" s="1025"/>
      <c r="F34" s="1025"/>
      <c r="G34" s="1025"/>
      <c r="H34" s="1025"/>
      <c r="I34" s="1025"/>
      <c r="J34" s="1025"/>
      <c r="K34" s="1025"/>
      <c r="L34" s="1025"/>
      <c r="M34" s="1025"/>
      <c r="N34" s="1025"/>
      <c r="O34" s="1025"/>
    </row>
    <row r="35" spans="1:15">
      <c r="B35" s="1037" t="s">
        <v>2036</v>
      </c>
      <c r="C35" s="1038">
        <v>4.3431504176208675E-2</v>
      </c>
      <c r="D35" s="1025"/>
      <c r="E35" s="1025"/>
      <c r="F35" s="1025"/>
      <c r="G35" s="1025"/>
      <c r="H35" s="1025"/>
      <c r="I35" s="1025"/>
      <c r="J35" s="1025"/>
      <c r="K35" s="1025"/>
      <c r="L35" s="1025"/>
      <c r="M35" s="1025"/>
      <c r="N35" s="1025"/>
      <c r="O35" s="1025"/>
    </row>
    <row r="36" spans="1:15" ht="12.75" thickBot="1">
      <c r="B36" s="1041" t="s">
        <v>2037</v>
      </c>
      <c r="C36" s="1042">
        <v>0</v>
      </c>
      <c r="D36" s="1025"/>
      <c r="E36" s="1025"/>
      <c r="F36" s="1025"/>
      <c r="G36" s="1025"/>
      <c r="H36" s="1025"/>
      <c r="I36" s="1025"/>
      <c r="J36" s="1025"/>
      <c r="K36" s="1025"/>
      <c r="L36" s="1025"/>
      <c r="M36" s="1025"/>
      <c r="N36" s="1025"/>
      <c r="O36" s="1025"/>
    </row>
    <row r="37" spans="1:15" ht="12.75" thickBot="1">
      <c r="B37" s="1033" t="s">
        <v>2038</v>
      </c>
      <c r="C37" s="1034">
        <v>0</v>
      </c>
      <c r="D37" s="1025"/>
      <c r="E37" s="1025"/>
      <c r="F37" s="1025"/>
      <c r="G37" s="1025"/>
      <c r="H37" s="1025"/>
      <c r="I37" s="1025"/>
      <c r="J37" s="1025"/>
      <c r="K37" s="1025"/>
      <c r="L37" s="1025"/>
      <c r="M37" s="1025"/>
      <c r="N37" s="1025"/>
      <c r="O37" s="1025"/>
    </row>
    <row r="38" spans="1:15" ht="12.75" thickBot="1">
      <c r="B38" s="1033" t="s">
        <v>2039</v>
      </c>
      <c r="C38" s="1034">
        <v>99.999999999999986</v>
      </c>
      <c r="D38" s="1025"/>
      <c r="E38" s="1044"/>
      <c r="F38" s="1044"/>
      <c r="G38" s="1044"/>
      <c r="H38" s="1025"/>
      <c r="I38" s="1025"/>
      <c r="J38" s="1025"/>
      <c r="K38" s="1025"/>
      <c r="L38" s="1025"/>
      <c r="M38" s="1025"/>
      <c r="N38" s="1025"/>
      <c r="O38" s="1025"/>
    </row>
    <row r="39" spans="1:15" ht="12.75" thickBot="1">
      <c r="B39" s="1033" t="s">
        <v>2040</v>
      </c>
      <c r="C39" s="1034">
        <v>0</v>
      </c>
      <c r="D39" s="1025"/>
      <c r="E39" s="1044"/>
      <c r="F39" s="1044"/>
      <c r="G39" s="1044"/>
      <c r="H39" s="1025"/>
      <c r="I39" s="1025"/>
      <c r="J39" s="1025"/>
      <c r="K39" s="1025"/>
      <c r="L39" s="1025"/>
      <c r="M39" s="1025"/>
      <c r="N39" s="1025"/>
      <c r="O39" s="1025"/>
    </row>
    <row r="40" spans="1:15" ht="12.75" hidden="1" outlineLevel="1" thickBot="1">
      <c r="B40" s="1035" t="s">
        <v>2041</v>
      </c>
      <c r="C40" s="1036">
        <v>0</v>
      </c>
      <c r="D40" s="1025"/>
      <c r="E40" s="1044"/>
      <c r="F40" s="1044"/>
      <c r="G40" s="1044"/>
      <c r="H40" s="1025"/>
      <c r="I40" s="1025"/>
      <c r="J40" s="1025"/>
      <c r="K40" s="1025"/>
      <c r="L40" s="1025"/>
      <c r="M40" s="1025"/>
      <c r="N40" s="1025"/>
      <c r="O40" s="1025"/>
    </row>
    <row r="41" spans="1:15" ht="12.75" hidden="1" outlineLevel="1" thickBot="1">
      <c r="A41" s="1044"/>
      <c r="B41" s="1035" t="s">
        <v>2042</v>
      </c>
      <c r="C41" s="1036">
        <v>0</v>
      </c>
      <c r="D41" s="1044"/>
      <c r="E41" s="1044"/>
      <c r="F41" s="1044"/>
      <c r="G41" s="1044"/>
      <c r="H41" s="1025"/>
      <c r="I41" s="1025"/>
      <c r="J41" s="1025"/>
      <c r="K41" s="1025"/>
      <c r="L41" s="1025"/>
      <c r="M41" s="1025"/>
      <c r="N41" s="1025"/>
      <c r="O41" s="1025"/>
    </row>
    <row r="42" spans="1:15" ht="12.75" hidden="1" outlineLevel="1" thickBot="1">
      <c r="A42" s="1044"/>
      <c r="B42" s="1035" t="s">
        <v>2043</v>
      </c>
      <c r="C42" s="1036">
        <v>0</v>
      </c>
      <c r="D42" s="1044"/>
      <c r="E42" s="1044"/>
      <c r="F42" s="1044"/>
      <c r="G42" s="1044"/>
      <c r="H42" s="1025"/>
      <c r="I42" s="1025"/>
      <c r="J42" s="1025"/>
      <c r="K42" s="1025"/>
      <c r="L42" s="1025"/>
      <c r="M42" s="1025"/>
      <c r="N42" s="1025"/>
      <c r="O42" s="1025"/>
    </row>
    <row r="43" spans="1:15" ht="12.75" hidden="1" outlineLevel="1" thickBot="1">
      <c r="B43" s="1035" t="s">
        <v>2044</v>
      </c>
      <c r="C43" s="1036">
        <v>0</v>
      </c>
      <c r="D43" s="1025"/>
      <c r="E43" s="1044"/>
      <c r="F43" s="1044"/>
      <c r="G43" s="1044"/>
      <c r="H43" s="1025"/>
      <c r="I43" s="1025"/>
      <c r="J43" s="1025"/>
      <c r="K43" s="1025"/>
      <c r="L43" s="1025"/>
      <c r="M43" s="1025"/>
      <c r="N43" s="1025"/>
      <c r="O43" s="1025"/>
    </row>
    <row r="44" spans="1:15" ht="12.75" hidden="1" outlineLevel="1" thickBot="1">
      <c r="B44" s="1035" t="s">
        <v>2045</v>
      </c>
      <c r="C44" s="1036">
        <v>0</v>
      </c>
      <c r="E44" s="1044"/>
      <c r="F44" s="1044"/>
      <c r="G44" s="1044"/>
      <c r="H44" s="1025"/>
      <c r="I44" s="1025"/>
      <c r="J44" s="1025"/>
      <c r="K44" s="1025"/>
      <c r="L44" s="1025"/>
      <c r="M44" s="1025"/>
      <c r="N44" s="1025"/>
      <c r="O44" s="1025"/>
    </row>
    <row r="45" spans="1:15" ht="12.75" hidden="1" outlineLevel="1" thickBot="1">
      <c r="B45" s="1035" t="s">
        <v>2046</v>
      </c>
      <c r="C45" s="1036">
        <v>0</v>
      </c>
      <c r="E45" s="1044"/>
      <c r="F45" s="1044"/>
      <c r="G45" s="1044"/>
      <c r="H45" s="1025"/>
      <c r="I45" s="1025"/>
      <c r="J45" s="1025"/>
      <c r="K45" s="1025"/>
      <c r="L45" s="1025"/>
      <c r="M45" s="1025"/>
      <c r="N45" s="1025"/>
      <c r="O45" s="1025"/>
    </row>
    <row r="46" spans="1:15" ht="12.75" hidden="1" outlineLevel="1" thickBot="1">
      <c r="B46" s="1035" t="s">
        <v>2047</v>
      </c>
      <c r="C46" s="1036">
        <v>0</v>
      </c>
      <c r="E46" s="1044"/>
      <c r="F46" s="1044"/>
      <c r="G46" s="1044"/>
      <c r="H46" s="1025"/>
      <c r="I46" s="1025"/>
      <c r="J46" s="1025"/>
      <c r="K46" s="1025"/>
      <c r="L46" s="1025"/>
      <c r="M46" s="1025"/>
      <c r="N46" s="1025"/>
      <c r="O46" s="1025"/>
    </row>
    <row r="47" spans="1:15" ht="12.75" hidden="1" outlineLevel="1" thickBot="1">
      <c r="B47" s="1035" t="s">
        <v>2048</v>
      </c>
      <c r="C47" s="1036">
        <v>0</v>
      </c>
      <c r="E47" s="1044"/>
      <c r="F47" s="1044"/>
      <c r="G47" s="1044"/>
      <c r="H47" s="1025"/>
      <c r="I47" s="1025"/>
      <c r="J47" s="1025"/>
      <c r="K47" s="1025"/>
      <c r="L47" s="1025"/>
      <c r="M47" s="1025"/>
      <c r="N47" s="1025"/>
      <c r="O47" s="1025"/>
    </row>
    <row r="48" spans="1:15" ht="12.75" hidden="1" outlineLevel="1" thickBot="1">
      <c r="B48" s="1035" t="s">
        <v>2049</v>
      </c>
      <c r="C48" s="1036">
        <v>0</v>
      </c>
      <c r="E48" s="1044"/>
      <c r="F48" s="1044"/>
      <c r="G48" s="1044"/>
      <c r="H48" s="1025"/>
      <c r="I48" s="1025"/>
      <c r="J48" s="1025"/>
      <c r="K48" s="1025"/>
      <c r="L48" s="1025"/>
      <c r="M48" s="1025"/>
      <c r="N48" s="1025"/>
      <c r="O48" s="1025"/>
    </row>
    <row r="49" spans="2:15" ht="12.75" hidden="1" outlineLevel="1" thickBot="1">
      <c r="B49" s="1035" t="s">
        <v>2050</v>
      </c>
      <c r="C49" s="1036">
        <v>0</v>
      </c>
      <c r="E49" s="1044"/>
      <c r="F49" s="1044"/>
      <c r="G49" s="1044"/>
      <c r="H49" s="1025"/>
      <c r="I49" s="1025"/>
      <c r="J49" s="1025"/>
      <c r="K49" s="1025"/>
      <c r="L49" s="1025"/>
      <c r="M49" s="1025"/>
      <c r="N49" s="1025"/>
      <c r="O49" s="1025"/>
    </row>
    <row r="50" spans="2:15" ht="12.75" collapsed="1" thickBot="1">
      <c r="B50" s="1033" t="s">
        <v>390</v>
      </c>
      <c r="C50" s="1034">
        <f>SUM(C38:C39)</f>
        <v>99.999999999999986</v>
      </c>
      <c r="E50" s="1044"/>
      <c r="F50" s="1044"/>
      <c r="G50" s="1044"/>
      <c r="H50" s="1025"/>
      <c r="I50" s="1025"/>
      <c r="J50" s="1025"/>
      <c r="K50" s="1025"/>
      <c r="L50" s="1025"/>
      <c r="M50" s="1025"/>
      <c r="N50" s="1025"/>
      <c r="O50" s="1025"/>
    </row>
    <row r="51" spans="2:15">
      <c r="B51" s="1044"/>
      <c r="C51" s="1044"/>
      <c r="D51" s="1044"/>
      <c r="E51" s="1044"/>
      <c r="F51" s="1044"/>
      <c r="G51" s="1025"/>
      <c r="H51" s="1025"/>
      <c r="I51" s="1025"/>
      <c r="J51" s="1025"/>
      <c r="K51" s="1025"/>
      <c r="L51" s="1025"/>
      <c r="M51" s="1025"/>
      <c r="N51" s="1025"/>
      <c r="O51" s="1025"/>
    </row>
    <row r="52" spans="2:15">
      <c r="B52" s="1044"/>
      <c r="C52" s="1045"/>
      <c r="D52" s="1046" t="s">
        <v>2051</v>
      </c>
      <c r="E52" s="1047"/>
      <c r="F52" s="1048"/>
      <c r="G52" s="1025"/>
      <c r="H52" s="1025"/>
      <c r="I52" s="1025"/>
      <c r="J52" s="1025"/>
      <c r="K52" s="1025"/>
      <c r="L52" s="1025"/>
      <c r="M52" s="1025"/>
      <c r="N52" s="1025"/>
      <c r="O52" s="1025"/>
    </row>
    <row r="53" spans="2:15">
      <c r="B53" s="1025"/>
      <c r="C53" s="1025"/>
      <c r="D53" s="1025"/>
      <c r="E53" s="1025"/>
      <c r="F53" s="1025"/>
      <c r="G53" s="1025"/>
      <c r="H53" s="1025"/>
      <c r="I53" s="1025"/>
      <c r="J53" s="1025"/>
      <c r="K53" s="1025"/>
      <c r="L53" s="1025"/>
      <c r="M53" s="1025"/>
      <c r="N53" s="1025"/>
      <c r="O53" s="1025"/>
    </row>
    <row r="54" spans="2:15">
      <c r="B54" s="1025" t="s">
        <v>2052</v>
      </c>
      <c r="C54" s="1025"/>
      <c r="D54" s="1025"/>
      <c r="E54" s="1025"/>
      <c r="F54" s="1025"/>
      <c r="G54" s="1025"/>
      <c r="H54" s="1025"/>
      <c r="I54" s="1025"/>
      <c r="J54" s="1025"/>
      <c r="K54" s="1025"/>
      <c r="L54" s="1025"/>
      <c r="M54" s="1025"/>
      <c r="N54" s="1025"/>
      <c r="O54" s="1025"/>
    </row>
    <row r="55" spans="2:15">
      <c r="B55" s="1025"/>
      <c r="C55" s="1025"/>
      <c r="D55" s="1025"/>
      <c r="E55" s="1025"/>
      <c r="F55" s="1025"/>
      <c r="G55" s="1025"/>
      <c r="H55" s="1025"/>
      <c r="I55" s="1025"/>
      <c r="J55" s="1025"/>
      <c r="K55" s="1025"/>
      <c r="L55" s="1025"/>
      <c r="M55" s="1025"/>
      <c r="N55" s="1025"/>
      <c r="O55" s="1025"/>
    </row>
    <row r="56" spans="2:15">
      <c r="B56" s="1025" t="s">
        <v>2053</v>
      </c>
      <c r="C56" s="1025" t="s">
        <v>2054</v>
      </c>
      <c r="D56" s="1025"/>
      <c r="E56" s="1025"/>
      <c r="F56" s="1025"/>
      <c r="G56" s="1025"/>
      <c r="H56" s="1025"/>
      <c r="I56" s="1025"/>
      <c r="J56" s="1025"/>
      <c r="K56" s="1025"/>
      <c r="L56" s="1025"/>
      <c r="M56" s="1025"/>
      <c r="N56" s="1025"/>
      <c r="O56" s="1025"/>
    </row>
    <row r="57" spans="2:15">
      <c r="B57" s="1025"/>
      <c r="C57" s="1025"/>
      <c r="D57" s="1025"/>
      <c r="E57" s="1025"/>
      <c r="F57" s="1025"/>
      <c r="G57" s="1025"/>
      <c r="H57" s="1025"/>
      <c r="I57" s="1025"/>
      <c r="J57" s="1025"/>
      <c r="K57" s="1025"/>
      <c r="L57" s="1025"/>
      <c r="M57" s="1025"/>
      <c r="N57" s="1025"/>
      <c r="O57" s="1025"/>
    </row>
    <row r="58" spans="2:15">
      <c r="B58" s="1025"/>
      <c r="C58" s="1025"/>
      <c r="D58" s="1025"/>
      <c r="E58" s="1025"/>
      <c r="F58" s="1025"/>
      <c r="G58" s="1025"/>
      <c r="H58" s="1025"/>
      <c r="I58" s="1025"/>
      <c r="J58" s="1025"/>
      <c r="K58" s="1025"/>
      <c r="L58" s="1025"/>
      <c r="M58" s="1025"/>
      <c r="N58" s="1025"/>
      <c r="O58" s="1025"/>
    </row>
    <row r="59" spans="2:15">
      <c r="B59" s="1025"/>
      <c r="C59" s="1025"/>
      <c r="D59" s="1025"/>
      <c r="E59" s="1025"/>
      <c r="F59" s="1025"/>
      <c r="G59" s="1025"/>
      <c r="H59" s="1025"/>
      <c r="I59" s="1025"/>
      <c r="J59" s="1025"/>
      <c r="K59" s="1025"/>
      <c r="L59" s="1025"/>
      <c r="M59" s="1025"/>
      <c r="N59" s="1025"/>
      <c r="O59" s="1025"/>
    </row>
    <row r="60" spans="2:15">
      <c r="B60" s="1025"/>
      <c r="C60" s="1025"/>
      <c r="D60" s="1025"/>
      <c r="E60" s="1025"/>
      <c r="F60" s="1025"/>
      <c r="G60" s="1025"/>
      <c r="H60" s="1025"/>
      <c r="I60" s="1025"/>
      <c r="J60" s="1025"/>
      <c r="K60" s="1025"/>
      <c r="L60" s="1025"/>
      <c r="M60" s="1025"/>
      <c r="N60" s="1025"/>
      <c r="O60" s="1025"/>
    </row>
    <row r="61" spans="2:15">
      <c r="B61" s="1025"/>
      <c r="C61" s="1025"/>
      <c r="D61" s="1025"/>
      <c r="E61" s="1025"/>
      <c r="F61" s="1025"/>
      <c r="G61" s="1025"/>
      <c r="H61" s="1025"/>
      <c r="I61" s="1025"/>
      <c r="J61" s="1025"/>
      <c r="K61" s="1025"/>
      <c r="L61" s="1025"/>
      <c r="M61" s="1025"/>
      <c r="N61" s="1025"/>
      <c r="O61" s="1025"/>
    </row>
    <row r="62" spans="2:15">
      <c r="B62" s="1025"/>
      <c r="C62" s="1025"/>
      <c r="D62" s="1025"/>
      <c r="E62" s="1025"/>
      <c r="F62" s="1025"/>
      <c r="G62" s="1025"/>
      <c r="H62" s="1025"/>
      <c r="I62" s="1025"/>
      <c r="J62" s="1025"/>
      <c r="K62" s="1025"/>
      <c r="L62" s="1025"/>
      <c r="M62" s="1025"/>
      <c r="N62" s="1025"/>
      <c r="O62" s="1025"/>
    </row>
    <row r="63" spans="2:15">
      <c r="B63" s="1025"/>
      <c r="C63" s="1025"/>
      <c r="D63" s="1025"/>
      <c r="E63" s="1025"/>
      <c r="F63" s="1025"/>
      <c r="G63" s="1025"/>
      <c r="H63" s="1025"/>
      <c r="I63" s="1025"/>
      <c r="J63" s="1025"/>
      <c r="K63" s="1025"/>
      <c r="L63" s="1025"/>
      <c r="M63" s="1025"/>
      <c r="N63" s="1025"/>
      <c r="O63" s="1025"/>
    </row>
    <row r="64" spans="2:15">
      <c r="B64" s="1025"/>
      <c r="C64" s="1025"/>
      <c r="D64" s="1025"/>
      <c r="E64" s="1025"/>
      <c r="F64" s="1025"/>
      <c r="G64" s="1025"/>
      <c r="H64" s="1025"/>
      <c r="I64" s="1025"/>
      <c r="J64" s="1025"/>
      <c r="K64" s="1025"/>
      <c r="L64" s="1025"/>
      <c r="M64" s="1025"/>
      <c r="N64" s="1025"/>
      <c r="O64" s="1025"/>
    </row>
    <row r="65" spans="2:15">
      <c r="B65" s="1025"/>
      <c r="C65" s="1025"/>
      <c r="D65" s="1025"/>
      <c r="E65" s="1025"/>
      <c r="F65" s="1025"/>
      <c r="G65" s="1025"/>
      <c r="H65" s="1025"/>
      <c r="I65" s="1025"/>
      <c r="J65" s="1025"/>
      <c r="K65" s="1025"/>
      <c r="L65" s="1025"/>
      <c r="M65" s="1025"/>
      <c r="N65" s="1025"/>
      <c r="O65" s="1025"/>
    </row>
    <row r="66" spans="2:15">
      <c r="B66" s="1025"/>
      <c r="C66" s="1025"/>
      <c r="D66" s="1025"/>
      <c r="E66" s="1025"/>
      <c r="F66" s="1025"/>
      <c r="G66" s="1025"/>
      <c r="H66" s="1025"/>
      <c r="I66" s="1025"/>
      <c r="J66" s="1025"/>
      <c r="K66" s="1025"/>
      <c r="L66" s="1025"/>
      <c r="M66" s="1025"/>
      <c r="N66" s="1025"/>
      <c r="O66" s="1025"/>
    </row>
    <row r="67" spans="2:15">
      <c r="B67" s="1025"/>
      <c r="C67" s="1025"/>
      <c r="D67" s="1025"/>
      <c r="E67" s="1025"/>
      <c r="F67" s="1025"/>
      <c r="G67" s="1025"/>
      <c r="H67" s="1025"/>
      <c r="I67" s="1025"/>
      <c r="J67" s="1025"/>
      <c r="K67" s="1025"/>
      <c r="L67" s="1025"/>
      <c r="M67" s="1025"/>
      <c r="N67" s="1025"/>
      <c r="O67" s="1025"/>
    </row>
    <row r="68" spans="2:15">
      <c r="B68" s="1025"/>
      <c r="C68" s="1025"/>
      <c r="D68" s="1025"/>
      <c r="E68" s="1025"/>
      <c r="F68" s="1025"/>
      <c r="G68" s="1025"/>
    </row>
  </sheetData>
  <conditionalFormatting sqref="C9:C10 C12:C14">
    <cfRule type="cellIs" dxfId="9" priority="1" operator="equal">
      <formula>0</formula>
    </cfRule>
  </conditionalFormatting>
  <pageMargins left="0.78740157499999996" right="0.78740157499999996" top="0.984251969" bottom="0.984251969" header="0.4921259845" footer="0.4921259845"/>
  <pageSetup paperSize="9" fitToHeight="0" orientation="portrait" r:id="rId1"/>
  <headerFooter alignWithMargins="0">
    <oddHeader>&amp;L&amp;A&amp;CESU-services Ltd.&amp;R&amp;D</oddHeader>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AA30"/>
  <sheetViews>
    <sheetView zoomScale="80" zoomScaleNormal="80" workbookViewId="0">
      <pane xSplit="16" ySplit="6" topLeftCell="Q7" activePane="bottomRight" state="frozen"/>
      <selection activeCell="J46" sqref="J46"/>
      <selection pane="topRight" activeCell="J46" sqref="J46"/>
      <selection pane="bottomLeft" activeCell="J46" sqref="J46"/>
      <selection pane="bottomRight" activeCell="J46" sqref="J46"/>
    </sheetView>
  </sheetViews>
  <sheetFormatPr defaultColWidth="11.42578125" defaultRowHeight="12" outlineLevelRow="1" outlineLevelCol="1"/>
  <cols>
    <col min="1" max="1" width="7.85546875" style="7" customWidth="1"/>
    <col min="2" max="2" width="11.42578125" style="158" customWidth="1"/>
    <col min="3" max="3" width="3.7109375" style="159" hidden="1" customWidth="1" outlineLevel="1"/>
    <col min="4" max="4" width="3.140625" style="7" hidden="1" customWidth="1" outlineLevel="1"/>
    <col min="5" max="5" width="2.7109375" style="7" hidden="1" customWidth="1" outlineLevel="1"/>
    <col min="6" max="6" width="45.42578125" style="8" bestFit="1" customWidth="1" collapsed="1"/>
    <col min="7" max="7" width="6" style="7" customWidth="1"/>
    <col min="8" max="8" width="5.7109375" style="7" hidden="1" customWidth="1" outlineLevel="1"/>
    <col min="9" max="9" width="19.42578125" style="7" hidden="1" customWidth="1" outlineLevel="1"/>
    <col min="10" max="10" width="4.140625" style="7" bestFit="1" customWidth="1" collapsed="1"/>
    <col min="11" max="11" width="5.140625" style="7" customWidth="1"/>
    <col min="12" max="12" width="14.5703125" style="7" customWidth="1"/>
    <col min="13" max="13" width="2.42578125" style="140" hidden="1" customWidth="1" outlineLevel="1"/>
    <col min="14" max="14" width="5.28515625" style="140" hidden="1" customWidth="1" outlineLevel="1"/>
    <col min="15" max="15" width="18.85546875" style="140" hidden="1" customWidth="1" outlineLevel="1"/>
    <col min="16" max="16" width="14.5703125" style="7" customWidth="1" collapsed="1"/>
    <col min="17" max="17" width="2.42578125" style="140" hidden="1" customWidth="1" outlineLevel="1"/>
    <col min="18" max="18" width="5.28515625" style="140" hidden="1" customWidth="1" outlineLevel="1"/>
    <col min="19" max="19" width="18.85546875" style="140" hidden="1" customWidth="1" outlineLevel="1"/>
    <col min="20" max="20" width="14.5703125" style="7" customWidth="1" collapsed="1"/>
    <col min="21" max="21" width="2.42578125" style="140" hidden="1" customWidth="1" outlineLevel="1"/>
    <col min="22" max="22" width="5.28515625" style="140" hidden="1" customWidth="1" outlineLevel="1"/>
    <col min="23" max="23" width="18.85546875" style="140" hidden="1" customWidth="1" outlineLevel="1"/>
    <col min="24" max="24" width="14.5703125" style="7" customWidth="1" collapsed="1"/>
    <col min="25" max="25" width="2.42578125" style="140" customWidth="1" outlineLevel="1"/>
    <col min="26" max="26" width="5.28515625" style="140" customWidth="1" outlineLevel="1"/>
    <col min="27" max="27" width="35.140625" style="140" customWidth="1" outlineLevel="1"/>
    <col min="28" max="16384" width="11.42578125" style="7"/>
  </cols>
  <sheetData>
    <row r="1" spans="1:27">
      <c r="A1" s="36"/>
      <c r="B1" s="34"/>
      <c r="C1" s="35"/>
      <c r="D1" s="36"/>
      <c r="E1" s="36"/>
      <c r="F1" s="37" t="s">
        <v>510</v>
      </c>
      <c r="G1" s="36"/>
      <c r="H1" s="36"/>
      <c r="I1" s="36"/>
      <c r="J1" s="36"/>
      <c r="K1" s="36"/>
      <c r="L1" s="146" t="s">
        <v>755</v>
      </c>
      <c r="M1" s="22"/>
      <c r="N1" s="22"/>
      <c r="O1" s="22"/>
      <c r="P1" s="146">
        <v>32124</v>
      </c>
      <c r="Q1" s="22"/>
      <c r="R1" s="22"/>
      <c r="S1" s="22"/>
      <c r="T1" s="615" t="s">
        <v>874</v>
      </c>
      <c r="U1" s="22"/>
      <c r="V1" s="22"/>
      <c r="W1" s="22"/>
      <c r="X1" s="615" t="s">
        <v>875</v>
      </c>
      <c r="Y1" s="22"/>
      <c r="Z1" s="22"/>
      <c r="AA1" s="22"/>
    </row>
    <row r="2" spans="1:27">
      <c r="A2" s="36"/>
      <c r="B2" s="147"/>
      <c r="C2" s="35" t="s">
        <v>511</v>
      </c>
      <c r="D2" s="147">
        <v>3503</v>
      </c>
      <c r="E2" s="147">
        <v>3504</v>
      </c>
      <c r="F2" s="147">
        <v>3702</v>
      </c>
      <c r="G2" s="147">
        <v>3703</v>
      </c>
      <c r="H2" s="147">
        <v>3506</v>
      </c>
      <c r="I2" s="147">
        <v>3507</v>
      </c>
      <c r="J2" s="147">
        <v>3508</v>
      </c>
      <c r="K2" s="147">
        <v>3706</v>
      </c>
      <c r="L2" s="147">
        <v>3707</v>
      </c>
      <c r="M2" s="23">
        <v>3708</v>
      </c>
      <c r="N2" s="23">
        <v>3709</v>
      </c>
      <c r="O2" s="134">
        <v>3792</v>
      </c>
      <c r="P2" s="147">
        <v>3707</v>
      </c>
      <c r="Q2" s="23">
        <v>3708</v>
      </c>
      <c r="R2" s="23">
        <v>3709</v>
      </c>
      <c r="S2" s="134">
        <v>3792</v>
      </c>
      <c r="T2" s="147">
        <v>3707</v>
      </c>
      <c r="U2" s="23">
        <v>3708</v>
      </c>
      <c r="V2" s="23">
        <v>3709</v>
      </c>
      <c r="W2" s="134">
        <v>3792</v>
      </c>
      <c r="X2" s="147">
        <v>3707</v>
      </c>
      <c r="Y2" s="23">
        <v>3708</v>
      </c>
      <c r="Z2" s="23">
        <v>3709</v>
      </c>
      <c r="AA2" s="24">
        <v>3792</v>
      </c>
    </row>
    <row r="3" spans="1:27" ht="95.25">
      <c r="A3" s="36" t="s">
        <v>398</v>
      </c>
      <c r="B3" s="166"/>
      <c r="C3" s="35">
        <v>401</v>
      </c>
      <c r="D3" s="167" t="s">
        <v>514</v>
      </c>
      <c r="E3" s="167" t="s">
        <v>515</v>
      </c>
      <c r="F3" s="132" t="s">
        <v>516</v>
      </c>
      <c r="G3" s="41" t="s">
        <v>517</v>
      </c>
      <c r="H3" s="41" t="s">
        <v>518</v>
      </c>
      <c r="I3" s="41" t="s">
        <v>519</v>
      </c>
      <c r="J3" s="41" t="s">
        <v>520</v>
      </c>
      <c r="K3" s="41" t="s">
        <v>394</v>
      </c>
      <c r="L3" s="178" t="s">
        <v>863</v>
      </c>
      <c r="M3" s="25" t="s">
        <v>265</v>
      </c>
      <c r="N3" s="25" t="s">
        <v>266</v>
      </c>
      <c r="O3" s="136" t="s">
        <v>548</v>
      </c>
      <c r="P3" s="178" t="s">
        <v>863</v>
      </c>
      <c r="Q3" s="25" t="s">
        <v>265</v>
      </c>
      <c r="R3" s="25" t="s">
        <v>266</v>
      </c>
      <c r="S3" s="136" t="s">
        <v>548</v>
      </c>
      <c r="T3" s="178" t="s">
        <v>863</v>
      </c>
      <c r="U3" s="25" t="s">
        <v>265</v>
      </c>
      <c r="V3" s="25" t="s">
        <v>266</v>
      </c>
      <c r="W3" s="136" t="s">
        <v>548</v>
      </c>
      <c r="X3" s="178" t="s">
        <v>863</v>
      </c>
      <c r="Y3" s="25" t="s">
        <v>265</v>
      </c>
      <c r="Z3" s="25" t="s">
        <v>266</v>
      </c>
      <c r="AA3" s="128" t="s">
        <v>548</v>
      </c>
    </row>
    <row r="4" spans="1:27" ht="12" customHeight="1">
      <c r="A4" s="36"/>
      <c r="B4" s="166"/>
      <c r="C4" s="35">
        <v>662</v>
      </c>
      <c r="D4" s="9"/>
      <c r="E4" s="9"/>
      <c r="F4" s="132" t="s">
        <v>517</v>
      </c>
      <c r="G4" s="132"/>
      <c r="H4" s="132"/>
      <c r="I4" s="132"/>
      <c r="J4" s="132"/>
      <c r="K4" s="132"/>
      <c r="L4" s="178" t="s">
        <v>1105</v>
      </c>
      <c r="M4" s="129"/>
      <c r="N4" s="129"/>
      <c r="O4" s="138"/>
      <c r="P4" s="178" t="s">
        <v>51</v>
      </c>
      <c r="Q4" s="129"/>
      <c r="R4" s="129"/>
      <c r="S4" s="138"/>
      <c r="T4" s="178" t="s">
        <v>465</v>
      </c>
      <c r="U4" s="129"/>
      <c r="V4" s="129"/>
      <c r="W4" s="138"/>
      <c r="X4" s="178" t="s">
        <v>956</v>
      </c>
      <c r="Y4" s="129"/>
      <c r="Z4" s="129"/>
      <c r="AA4" s="130"/>
    </row>
    <row r="5" spans="1:27">
      <c r="A5" s="36"/>
      <c r="B5" s="166"/>
      <c r="C5" s="35">
        <v>493</v>
      </c>
      <c r="D5" s="9"/>
      <c r="E5" s="9"/>
      <c r="F5" s="132" t="s">
        <v>520</v>
      </c>
      <c r="G5" s="132"/>
      <c r="H5" s="132"/>
      <c r="I5" s="132"/>
      <c r="J5" s="132"/>
      <c r="K5" s="132"/>
      <c r="L5" s="178">
        <v>0</v>
      </c>
      <c r="M5" s="129"/>
      <c r="N5" s="129"/>
      <c r="O5" s="138"/>
      <c r="P5" s="178">
        <v>0</v>
      </c>
      <c r="Q5" s="129"/>
      <c r="R5" s="129"/>
      <c r="S5" s="138"/>
      <c r="T5" s="178">
        <v>0</v>
      </c>
      <c r="U5" s="129"/>
      <c r="V5" s="129"/>
      <c r="W5" s="138"/>
      <c r="X5" s="178">
        <v>0</v>
      </c>
      <c r="Y5" s="129"/>
      <c r="Z5" s="129"/>
      <c r="AA5" s="130"/>
    </row>
    <row r="6" spans="1:27">
      <c r="A6" s="36"/>
      <c r="B6" s="166"/>
      <c r="C6" s="35">
        <v>403</v>
      </c>
      <c r="D6" s="9"/>
      <c r="E6" s="9"/>
      <c r="F6" s="132" t="s">
        <v>394</v>
      </c>
      <c r="G6" s="352"/>
      <c r="H6" s="132"/>
      <c r="I6" s="132"/>
      <c r="J6" s="132"/>
      <c r="K6" s="132"/>
      <c r="L6" s="178" t="s">
        <v>395</v>
      </c>
      <c r="M6" s="129"/>
      <c r="N6" s="129"/>
      <c r="O6" s="138"/>
      <c r="P6" s="178" t="s">
        <v>395</v>
      </c>
      <c r="Q6" s="129"/>
      <c r="R6" s="129"/>
      <c r="S6" s="138"/>
      <c r="T6" s="178" t="s">
        <v>395</v>
      </c>
      <c r="U6" s="129"/>
      <c r="V6" s="129"/>
      <c r="W6" s="138"/>
      <c r="X6" s="178" t="s">
        <v>395</v>
      </c>
      <c r="Y6" s="129"/>
      <c r="Z6" s="129"/>
      <c r="AA6" s="130"/>
    </row>
    <row r="7" spans="1:27">
      <c r="A7" s="471" t="s">
        <v>755</v>
      </c>
      <c r="B7" s="168" t="s">
        <v>523</v>
      </c>
      <c r="C7" s="169"/>
      <c r="D7" s="11" t="s">
        <v>402</v>
      </c>
      <c r="E7" s="170">
        <v>0</v>
      </c>
      <c r="F7" s="145" t="s">
        <v>863</v>
      </c>
      <c r="G7" s="16" t="s">
        <v>1105</v>
      </c>
      <c r="H7" s="14" t="s">
        <v>402</v>
      </c>
      <c r="I7" s="14" t="s">
        <v>402</v>
      </c>
      <c r="J7" s="15">
        <v>0</v>
      </c>
      <c r="K7" s="16" t="s">
        <v>395</v>
      </c>
      <c r="L7" s="606">
        <v>1</v>
      </c>
      <c r="M7" s="29"/>
      <c r="N7" s="1"/>
      <c r="O7" s="139"/>
      <c r="P7" s="606">
        <v>0</v>
      </c>
      <c r="Q7" s="29"/>
      <c r="R7" s="1"/>
      <c r="S7" s="139"/>
      <c r="T7" s="606">
        <v>0</v>
      </c>
      <c r="U7" s="29"/>
      <c r="V7" s="1"/>
      <c r="W7" s="139"/>
      <c r="X7" s="606">
        <v>0</v>
      </c>
      <c r="Y7" s="29"/>
      <c r="Z7" s="1"/>
      <c r="AA7" s="139"/>
    </row>
    <row r="8" spans="1:27">
      <c r="A8" s="260">
        <v>32124</v>
      </c>
      <c r="B8" s="168"/>
      <c r="C8" s="169"/>
      <c r="D8" s="11" t="s">
        <v>402</v>
      </c>
      <c r="E8" s="170">
        <v>0</v>
      </c>
      <c r="F8" s="145" t="s">
        <v>863</v>
      </c>
      <c r="G8" s="16" t="s">
        <v>51</v>
      </c>
      <c r="H8" s="14" t="s">
        <v>402</v>
      </c>
      <c r="I8" s="14" t="s">
        <v>402</v>
      </c>
      <c r="J8" s="15">
        <v>0</v>
      </c>
      <c r="K8" s="16" t="s">
        <v>395</v>
      </c>
      <c r="L8" s="606">
        <v>0</v>
      </c>
      <c r="M8" s="29"/>
      <c r="N8" s="1"/>
      <c r="O8" s="139"/>
      <c r="P8" s="606">
        <v>1</v>
      </c>
      <c r="Q8" s="29"/>
      <c r="R8" s="1"/>
      <c r="S8" s="139"/>
      <c r="T8" s="606">
        <v>0</v>
      </c>
      <c r="U8" s="29"/>
      <c r="V8" s="1"/>
      <c r="W8" s="139"/>
      <c r="X8" s="606">
        <v>0</v>
      </c>
      <c r="Y8" s="29"/>
      <c r="Z8" s="1"/>
      <c r="AA8" s="139"/>
    </row>
    <row r="9" spans="1:27">
      <c r="A9" s="471" t="s">
        <v>874</v>
      </c>
      <c r="B9" s="168"/>
      <c r="C9" s="169"/>
      <c r="D9" s="11" t="s">
        <v>402</v>
      </c>
      <c r="E9" s="170">
        <v>0</v>
      </c>
      <c r="F9" s="145" t="s">
        <v>863</v>
      </c>
      <c r="G9" s="16" t="s">
        <v>465</v>
      </c>
      <c r="H9" s="14" t="s">
        <v>402</v>
      </c>
      <c r="I9" s="14" t="s">
        <v>402</v>
      </c>
      <c r="J9" s="15">
        <v>0</v>
      </c>
      <c r="K9" s="16" t="s">
        <v>395</v>
      </c>
      <c r="L9" s="606">
        <v>0</v>
      </c>
      <c r="M9" s="29"/>
      <c r="N9" s="1"/>
      <c r="O9" s="139"/>
      <c r="P9" s="606">
        <v>0</v>
      </c>
      <c r="Q9" s="29"/>
      <c r="R9" s="1"/>
      <c r="S9" s="139"/>
      <c r="T9" s="606">
        <v>1</v>
      </c>
      <c r="U9" s="29"/>
      <c r="V9" s="1"/>
      <c r="W9" s="139"/>
      <c r="X9" s="606">
        <v>0</v>
      </c>
      <c r="Y9" s="29"/>
      <c r="Z9" s="1"/>
      <c r="AA9" s="139"/>
    </row>
    <row r="10" spans="1:27">
      <c r="A10" s="471" t="s">
        <v>875</v>
      </c>
      <c r="B10" s="168"/>
      <c r="C10" s="169"/>
      <c r="D10" s="11" t="s">
        <v>402</v>
      </c>
      <c r="E10" s="170">
        <v>0</v>
      </c>
      <c r="F10" s="145" t="s">
        <v>863</v>
      </c>
      <c r="G10" s="16" t="s">
        <v>956</v>
      </c>
      <c r="H10" s="14" t="s">
        <v>402</v>
      </c>
      <c r="I10" s="14" t="s">
        <v>402</v>
      </c>
      <c r="J10" s="15">
        <v>0</v>
      </c>
      <c r="K10" s="16" t="s">
        <v>395</v>
      </c>
      <c r="L10" s="606">
        <v>0</v>
      </c>
      <c r="M10" s="29"/>
      <c r="N10" s="1"/>
      <c r="O10" s="139"/>
      <c r="P10" s="606">
        <v>0</v>
      </c>
      <c r="Q10" s="29"/>
      <c r="R10" s="1"/>
      <c r="S10" s="139"/>
      <c r="T10" s="606">
        <v>0</v>
      </c>
      <c r="U10" s="29"/>
      <c r="V10" s="1"/>
      <c r="W10" s="139"/>
      <c r="X10" s="606">
        <v>1</v>
      </c>
      <c r="Y10" s="29"/>
      <c r="Z10" s="1"/>
      <c r="AA10" s="139"/>
    </row>
    <row r="11" spans="1:27" ht="24">
      <c r="A11" s="636" t="s">
        <v>752</v>
      </c>
      <c r="B11" s="168" t="s">
        <v>524</v>
      </c>
      <c r="C11" s="169" t="s">
        <v>525</v>
      </c>
      <c r="D11" s="50" t="s">
        <v>526</v>
      </c>
      <c r="E11" s="10" t="s">
        <v>402</v>
      </c>
      <c r="F11" s="144" t="s">
        <v>1160</v>
      </c>
      <c r="G11" s="125" t="s">
        <v>1105</v>
      </c>
      <c r="H11" s="164" t="s">
        <v>402</v>
      </c>
      <c r="I11" s="123" t="s">
        <v>402</v>
      </c>
      <c r="J11" s="124">
        <v>0</v>
      </c>
      <c r="K11" s="125" t="s">
        <v>395</v>
      </c>
      <c r="L11" s="271">
        <v>7.3878687476155738E-2</v>
      </c>
      <c r="M11" s="29">
        <v>1</v>
      </c>
      <c r="N11" s="1">
        <v>1.1130148943987077</v>
      </c>
      <c r="O11" s="139" t="s">
        <v>1205</v>
      </c>
      <c r="P11" s="271">
        <v>0</v>
      </c>
      <c r="Q11" s="29">
        <v>1</v>
      </c>
      <c r="R11" s="1">
        <v>1.1130148943987077</v>
      </c>
      <c r="S11" s="139" t="s">
        <v>1205</v>
      </c>
      <c r="T11" s="271">
        <v>0</v>
      </c>
      <c r="U11" s="29">
        <v>1</v>
      </c>
      <c r="V11" s="1">
        <v>1.1130148943987077</v>
      </c>
      <c r="W11" s="139" t="s">
        <v>1205</v>
      </c>
      <c r="X11" s="271">
        <v>0</v>
      </c>
      <c r="Y11" s="29">
        <v>1</v>
      </c>
      <c r="Z11" s="1">
        <v>1.1130148943987077</v>
      </c>
      <c r="AA11" s="31" t="s">
        <v>1205</v>
      </c>
    </row>
    <row r="12" spans="1:27" ht="12.75">
      <c r="A12" s="636" t="s">
        <v>753</v>
      </c>
      <c r="B12" s="168" t="s">
        <v>525</v>
      </c>
      <c r="C12" s="169" t="s">
        <v>525</v>
      </c>
      <c r="D12" s="50" t="s">
        <v>526</v>
      </c>
      <c r="E12" s="10" t="s">
        <v>402</v>
      </c>
      <c r="F12" s="144" t="s">
        <v>1161</v>
      </c>
      <c r="G12" s="125" t="s">
        <v>1105</v>
      </c>
      <c r="H12" s="164" t="s">
        <v>402</v>
      </c>
      <c r="I12" s="123" t="s">
        <v>402</v>
      </c>
      <c r="J12" s="124">
        <v>0</v>
      </c>
      <c r="K12" s="125" t="s">
        <v>395</v>
      </c>
      <c r="L12" s="271">
        <v>2.6544935436266886E-2</v>
      </c>
      <c r="M12" s="29">
        <v>1</v>
      </c>
      <c r="N12" s="1">
        <v>1.1130148943987077</v>
      </c>
      <c r="O12" s="139" t="s">
        <v>1205</v>
      </c>
      <c r="P12" s="271">
        <v>0</v>
      </c>
      <c r="Q12" s="29">
        <v>1</v>
      </c>
      <c r="R12" s="1">
        <v>1.1130148943987077</v>
      </c>
      <c r="S12" s="139" t="s">
        <v>1205</v>
      </c>
      <c r="T12" s="271">
        <v>0</v>
      </c>
      <c r="U12" s="29">
        <v>1</v>
      </c>
      <c r="V12" s="1">
        <v>1.1130148943987077</v>
      </c>
      <c r="W12" s="139" t="s">
        <v>1205</v>
      </c>
      <c r="X12" s="271">
        <v>0</v>
      </c>
      <c r="Y12" s="29">
        <v>1</v>
      </c>
      <c r="Z12" s="1">
        <v>1.1130148943987077</v>
      </c>
      <c r="AA12" s="31" t="s">
        <v>1205</v>
      </c>
    </row>
    <row r="13" spans="1:27" ht="16.5" customHeight="1">
      <c r="A13" s="636" t="s">
        <v>754</v>
      </c>
      <c r="B13" s="168" t="s">
        <v>525</v>
      </c>
      <c r="C13" s="169" t="s">
        <v>525</v>
      </c>
      <c r="D13" s="50" t="s">
        <v>526</v>
      </c>
      <c r="E13" s="10" t="s">
        <v>402</v>
      </c>
      <c r="F13" s="144" t="s">
        <v>1189</v>
      </c>
      <c r="G13" s="125" t="s">
        <v>1105</v>
      </c>
      <c r="H13" s="164" t="s">
        <v>402</v>
      </c>
      <c r="I13" s="123" t="s">
        <v>402</v>
      </c>
      <c r="J13" s="124">
        <v>0</v>
      </c>
      <c r="K13" s="125" t="s">
        <v>395</v>
      </c>
      <c r="L13" s="271">
        <v>0.40720072981435446</v>
      </c>
      <c r="M13" s="29">
        <v>1</v>
      </c>
      <c r="N13" s="1">
        <v>1.1130148943987077</v>
      </c>
      <c r="O13" s="139" t="s">
        <v>1205</v>
      </c>
      <c r="P13" s="271">
        <v>0</v>
      </c>
      <c r="Q13" s="29">
        <v>1</v>
      </c>
      <c r="R13" s="1">
        <v>1.1130148943987077</v>
      </c>
      <c r="S13" s="139" t="s">
        <v>1205</v>
      </c>
      <c r="T13" s="271">
        <v>0</v>
      </c>
      <c r="U13" s="29">
        <v>1</v>
      </c>
      <c r="V13" s="1">
        <v>1.1130148943987077</v>
      </c>
      <c r="W13" s="139" t="s">
        <v>1205</v>
      </c>
      <c r="X13" s="271">
        <v>0</v>
      </c>
      <c r="Y13" s="29">
        <v>1</v>
      </c>
      <c r="Z13" s="1">
        <v>1.1130148943987077</v>
      </c>
      <c r="AA13" s="31" t="s">
        <v>1205</v>
      </c>
    </row>
    <row r="14" spans="1:27" ht="13.5" hidden="1" customHeight="1" outlineLevel="1">
      <c r="A14" s="636" t="s">
        <v>1073</v>
      </c>
      <c r="B14" s="168" t="s">
        <v>525</v>
      </c>
      <c r="C14" s="169" t="s">
        <v>525</v>
      </c>
      <c r="D14" s="50" t="s">
        <v>526</v>
      </c>
      <c r="E14" s="10" t="s">
        <v>402</v>
      </c>
      <c r="F14" s="144" t="s">
        <v>1204</v>
      </c>
      <c r="G14" s="125" t="s">
        <v>1105</v>
      </c>
      <c r="H14" s="164" t="s">
        <v>402</v>
      </c>
      <c r="I14" s="123" t="s">
        <v>402</v>
      </c>
      <c r="J14" s="124">
        <v>0</v>
      </c>
      <c r="K14" s="125" t="s">
        <v>395</v>
      </c>
      <c r="L14" s="271">
        <v>0</v>
      </c>
      <c r="M14" s="29">
        <v>1</v>
      </c>
      <c r="N14" s="1">
        <v>1.1130148943987077</v>
      </c>
      <c r="O14" s="139" t="s">
        <v>1205</v>
      </c>
      <c r="P14" s="271">
        <v>0</v>
      </c>
      <c r="Q14" s="29">
        <v>1</v>
      </c>
      <c r="R14" s="1">
        <v>1.1130148943987077</v>
      </c>
      <c r="S14" s="139" t="s">
        <v>1205</v>
      </c>
      <c r="T14" s="271">
        <v>0</v>
      </c>
      <c r="U14" s="29">
        <v>1</v>
      </c>
      <c r="V14" s="1">
        <v>1.1130148943987077</v>
      </c>
      <c r="W14" s="139" t="s">
        <v>1205</v>
      </c>
      <c r="X14" s="271">
        <v>0</v>
      </c>
      <c r="Y14" s="29">
        <v>1</v>
      </c>
      <c r="Z14" s="1">
        <v>1.1130148943987077</v>
      </c>
      <c r="AA14" s="31" t="s">
        <v>1205</v>
      </c>
    </row>
    <row r="15" spans="1:27" ht="12.75" collapsed="1">
      <c r="A15" s="635">
        <v>50</v>
      </c>
      <c r="B15" s="168" t="s">
        <v>525</v>
      </c>
      <c r="C15" s="169" t="s">
        <v>525</v>
      </c>
      <c r="D15" s="50" t="s">
        <v>526</v>
      </c>
      <c r="E15" s="10" t="s">
        <v>402</v>
      </c>
      <c r="F15" s="144" t="s">
        <v>1160</v>
      </c>
      <c r="G15" s="125" t="s">
        <v>268</v>
      </c>
      <c r="H15" s="164" t="s">
        <v>402</v>
      </c>
      <c r="I15" s="123" t="s">
        <v>402</v>
      </c>
      <c r="J15" s="124">
        <v>0</v>
      </c>
      <c r="K15" s="125" t="s">
        <v>395</v>
      </c>
      <c r="L15" s="271">
        <v>1.6327458983475159E-2</v>
      </c>
      <c r="M15" s="29">
        <v>1</v>
      </c>
      <c r="N15" s="1">
        <v>1.1130148943987077</v>
      </c>
      <c r="O15" s="139" t="s">
        <v>1205</v>
      </c>
      <c r="P15" s="271">
        <v>0.14553810722300017</v>
      </c>
      <c r="Q15" s="29">
        <v>1</v>
      </c>
      <c r="R15" s="1">
        <v>1.1130148943987077</v>
      </c>
      <c r="S15" s="139" t="s">
        <v>1205</v>
      </c>
      <c r="T15" s="271">
        <v>0</v>
      </c>
      <c r="U15" s="29">
        <v>1</v>
      </c>
      <c r="V15" s="1">
        <v>1.1130148943987077</v>
      </c>
      <c r="W15" s="139" t="s">
        <v>1205</v>
      </c>
      <c r="X15" s="271">
        <v>0</v>
      </c>
      <c r="Y15" s="29">
        <v>1</v>
      </c>
      <c r="Z15" s="1">
        <v>1.1130148943987077</v>
      </c>
      <c r="AA15" s="31" t="s">
        <v>1205</v>
      </c>
    </row>
    <row r="16" spans="1:27" ht="12.75">
      <c r="A16" s="635">
        <v>4832</v>
      </c>
      <c r="B16" s="168" t="s">
        <v>525</v>
      </c>
      <c r="C16" s="169" t="s">
        <v>525</v>
      </c>
      <c r="D16" s="50" t="s">
        <v>526</v>
      </c>
      <c r="E16" s="10" t="s">
        <v>402</v>
      </c>
      <c r="F16" s="144" t="s">
        <v>1161</v>
      </c>
      <c r="G16" s="125" t="s">
        <v>268</v>
      </c>
      <c r="H16" s="164" t="s">
        <v>402</v>
      </c>
      <c r="I16" s="123" t="s">
        <v>402</v>
      </c>
      <c r="J16" s="124">
        <v>0</v>
      </c>
      <c r="K16" s="125" t="s">
        <v>395</v>
      </c>
      <c r="L16" s="271">
        <v>5.8665274027036125E-3</v>
      </c>
      <c r="M16" s="29">
        <v>1</v>
      </c>
      <c r="N16" s="1">
        <v>1.1130148943987077</v>
      </c>
      <c r="O16" s="139" t="s">
        <v>1205</v>
      </c>
      <c r="P16" s="271">
        <v>5.2292478273898713E-2</v>
      </c>
      <c r="Q16" s="29">
        <v>1</v>
      </c>
      <c r="R16" s="1">
        <v>1.1130148943987077</v>
      </c>
      <c r="S16" s="139" t="s">
        <v>1205</v>
      </c>
      <c r="T16" s="271">
        <v>0</v>
      </c>
      <c r="U16" s="29">
        <v>1</v>
      </c>
      <c r="V16" s="1">
        <v>1.1130148943987077</v>
      </c>
      <c r="W16" s="139" t="s">
        <v>1205</v>
      </c>
      <c r="X16" s="271">
        <v>0</v>
      </c>
      <c r="Y16" s="29">
        <v>1</v>
      </c>
      <c r="Z16" s="1">
        <v>1.1130148943987077</v>
      </c>
      <c r="AA16" s="31" t="s">
        <v>1205</v>
      </c>
    </row>
    <row r="17" spans="1:27" ht="12" customHeight="1">
      <c r="A17" s="635">
        <v>1709</v>
      </c>
      <c r="B17" s="168" t="s">
        <v>525</v>
      </c>
      <c r="C17" s="169" t="s">
        <v>525</v>
      </c>
      <c r="D17" s="50" t="s">
        <v>526</v>
      </c>
      <c r="E17" s="10" t="s">
        <v>402</v>
      </c>
      <c r="F17" s="144" t="s">
        <v>1189</v>
      </c>
      <c r="G17" s="125" t="s">
        <v>521</v>
      </c>
      <c r="H17" s="164" t="s">
        <v>402</v>
      </c>
      <c r="I17" s="123" t="s">
        <v>402</v>
      </c>
      <c r="J17" s="124">
        <v>0</v>
      </c>
      <c r="K17" s="125" t="s">
        <v>395</v>
      </c>
      <c r="L17" s="271">
        <v>8.9992844231712082E-2</v>
      </c>
      <c r="M17" s="29">
        <v>1</v>
      </c>
      <c r="N17" s="1">
        <v>1.1130148943987077</v>
      </c>
      <c r="O17" s="139" t="s">
        <v>1205</v>
      </c>
      <c r="P17" s="271">
        <v>0.80216941450310109</v>
      </c>
      <c r="Q17" s="29">
        <v>1</v>
      </c>
      <c r="R17" s="1">
        <v>1.1130148943987077</v>
      </c>
      <c r="S17" s="139" t="s">
        <v>1205</v>
      </c>
      <c r="T17" s="271">
        <v>0</v>
      </c>
      <c r="U17" s="29">
        <v>1</v>
      </c>
      <c r="V17" s="1">
        <v>1.1130148943987077</v>
      </c>
      <c r="W17" s="139" t="s">
        <v>1205</v>
      </c>
      <c r="X17" s="271">
        <v>0</v>
      </c>
      <c r="Y17" s="29">
        <v>1</v>
      </c>
      <c r="Z17" s="1">
        <v>1.1130148943987077</v>
      </c>
      <c r="AA17" s="31" t="s">
        <v>1205</v>
      </c>
    </row>
    <row r="18" spans="1:27" ht="14.25" hidden="1" customHeight="1" outlineLevel="1">
      <c r="A18" s="635" t="s">
        <v>1072</v>
      </c>
      <c r="B18" s="168" t="s">
        <v>525</v>
      </c>
      <c r="C18" s="169" t="s">
        <v>525</v>
      </c>
      <c r="D18" s="50" t="s">
        <v>526</v>
      </c>
      <c r="E18" s="10" t="s">
        <v>402</v>
      </c>
      <c r="F18" s="144" t="s">
        <v>1204</v>
      </c>
      <c r="G18" s="125" t="s">
        <v>521</v>
      </c>
      <c r="H18" s="164" t="s">
        <v>402</v>
      </c>
      <c r="I18" s="123" t="s">
        <v>402</v>
      </c>
      <c r="J18" s="124">
        <v>0</v>
      </c>
      <c r="K18" s="125" t="s">
        <v>395</v>
      </c>
      <c r="L18" s="271">
        <v>0</v>
      </c>
      <c r="M18" s="29">
        <v>1</v>
      </c>
      <c r="N18" s="1">
        <v>1.1130148943987077</v>
      </c>
      <c r="O18" s="139" t="s">
        <v>1205</v>
      </c>
      <c r="P18" s="271">
        <v>0</v>
      </c>
      <c r="Q18" s="29">
        <v>1</v>
      </c>
      <c r="R18" s="1">
        <v>1.1130148943987077</v>
      </c>
      <c r="S18" s="139" t="s">
        <v>1205</v>
      </c>
      <c r="T18" s="271">
        <v>0</v>
      </c>
      <c r="U18" s="29">
        <v>1</v>
      </c>
      <c r="V18" s="1">
        <v>1.1130148943987077</v>
      </c>
      <c r="W18" s="139" t="s">
        <v>1205</v>
      </c>
      <c r="X18" s="271">
        <v>0</v>
      </c>
      <c r="Y18" s="29">
        <v>1</v>
      </c>
      <c r="Z18" s="1">
        <v>1.1130148943987077</v>
      </c>
      <c r="AA18" s="31" t="s">
        <v>1205</v>
      </c>
    </row>
    <row r="19" spans="1:27" ht="12.75" collapsed="1">
      <c r="A19" s="634" t="s">
        <v>870</v>
      </c>
      <c r="B19" s="168" t="s">
        <v>525</v>
      </c>
      <c r="C19" s="169" t="s">
        <v>525</v>
      </c>
      <c r="D19" s="50" t="s">
        <v>526</v>
      </c>
      <c r="E19" s="10" t="s">
        <v>402</v>
      </c>
      <c r="F19" s="144" t="s">
        <v>1160</v>
      </c>
      <c r="G19" s="125" t="s">
        <v>465</v>
      </c>
      <c r="H19" s="164" t="s">
        <v>402</v>
      </c>
      <c r="I19" s="123" t="s">
        <v>402</v>
      </c>
      <c r="J19" s="124">
        <v>0</v>
      </c>
      <c r="K19" s="125" t="s">
        <v>395</v>
      </c>
      <c r="L19" s="271">
        <v>3.3577925436824141E-2</v>
      </c>
      <c r="M19" s="29">
        <v>1</v>
      </c>
      <c r="N19" s="1">
        <v>1.1130148943987077</v>
      </c>
      <c r="O19" s="139" t="s">
        <v>1205</v>
      </c>
      <c r="P19" s="271">
        <v>0</v>
      </c>
      <c r="Q19" s="29">
        <v>1</v>
      </c>
      <c r="R19" s="1">
        <v>1.1130148943987077</v>
      </c>
      <c r="S19" s="139" t="s">
        <v>1205</v>
      </c>
      <c r="T19" s="271">
        <v>0.14553810722300017</v>
      </c>
      <c r="U19" s="29">
        <v>1</v>
      </c>
      <c r="V19" s="1">
        <v>1.1130148943987077</v>
      </c>
      <c r="W19" s="139" t="s">
        <v>1205</v>
      </c>
      <c r="X19" s="271">
        <v>0</v>
      </c>
      <c r="Y19" s="29">
        <v>1</v>
      </c>
      <c r="Z19" s="1">
        <v>1.1130148943987077</v>
      </c>
      <c r="AA19" s="31" t="s">
        <v>1205</v>
      </c>
    </row>
    <row r="20" spans="1:27" ht="12.75">
      <c r="A20" s="634" t="s">
        <v>871</v>
      </c>
      <c r="B20" s="168" t="s">
        <v>525</v>
      </c>
      <c r="C20" s="169" t="s">
        <v>525</v>
      </c>
      <c r="D20" s="50" t="s">
        <v>526</v>
      </c>
      <c r="E20" s="10" t="s">
        <v>402</v>
      </c>
      <c r="F20" s="144" t="s">
        <v>1161</v>
      </c>
      <c r="G20" s="125" t="s">
        <v>465</v>
      </c>
      <c r="H20" s="164" t="s">
        <v>402</v>
      </c>
      <c r="I20" s="123" t="s">
        <v>402</v>
      </c>
      <c r="J20" s="124">
        <v>0</v>
      </c>
      <c r="K20" s="125" t="s">
        <v>395</v>
      </c>
      <c r="L20" s="271">
        <v>1.2064695425077147E-2</v>
      </c>
      <c r="M20" s="29">
        <v>1</v>
      </c>
      <c r="N20" s="1">
        <v>1.1130148943987077</v>
      </c>
      <c r="O20" s="139" t="s">
        <v>1205</v>
      </c>
      <c r="P20" s="271">
        <v>0</v>
      </c>
      <c r="Q20" s="29">
        <v>1</v>
      </c>
      <c r="R20" s="1">
        <v>1.1130148943987077</v>
      </c>
      <c r="S20" s="139" t="s">
        <v>1205</v>
      </c>
      <c r="T20" s="271">
        <v>5.2292478273898713E-2</v>
      </c>
      <c r="U20" s="29">
        <v>1</v>
      </c>
      <c r="V20" s="1">
        <v>1.1130148943987077</v>
      </c>
      <c r="W20" s="139" t="s">
        <v>1205</v>
      </c>
      <c r="X20" s="271">
        <v>0</v>
      </c>
      <c r="Y20" s="29">
        <v>1</v>
      </c>
      <c r="Z20" s="1">
        <v>1.1130148943987077</v>
      </c>
      <c r="AA20" s="31" t="s">
        <v>1205</v>
      </c>
    </row>
    <row r="21" spans="1:27" ht="12.75" customHeight="1">
      <c r="A21" s="634" t="s">
        <v>868</v>
      </c>
      <c r="B21" s="168" t="s">
        <v>525</v>
      </c>
      <c r="C21" s="169" t="s">
        <v>525</v>
      </c>
      <c r="D21" s="50" t="s">
        <v>526</v>
      </c>
      <c r="E21" s="10" t="s">
        <v>402</v>
      </c>
      <c r="F21" s="144" t="s">
        <v>1189</v>
      </c>
      <c r="G21" s="125" t="s">
        <v>465</v>
      </c>
      <c r="H21" s="164" t="s">
        <v>402</v>
      </c>
      <c r="I21" s="123" t="s">
        <v>402</v>
      </c>
      <c r="J21" s="124">
        <v>0</v>
      </c>
      <c r="K21" s="125" t="s">
        <v>395</v>
      </c>
      <c r="L21" s="271">
        <v>0.18507307331278317</v>
      </c>
      <c r="M21" s="29">
        <v>1</v>
      </c>
      <c r="N21" s="1">
        <v>1.1130148943987077</v>
      </c>
      <c r="O21" s="139" t="s">
        <v>1205</v>
      </c>
      <c r="P21" s="271">
        <v>0</v>
      </c>
      <c r="Q21" s="29">
        <v>1</v>
      </c>
      <c r="R21" s="1">
        <v>1.1130148943987077</v>
      </c>
      <c r="S21" s="139" t="s">
        <v>1205</v>
      </c>
      <c r="T21" s="271">
        <v>0.80216941450310109</v>
      </c>
      <c r="U21" s="29">
        <v>1</v>
      </c>
      <c r="V21" s="1">
        <v>1.1130148943987077</v>
      </c>
      <c r="W21" s="139" t="s">
        <v>1205</v>
      </c>
      <c r="X21" s="271">
        <v>0</v>
      </c>
      <c r="Y21" s="29">
        <v>1</v>
      </c>
      <c r="Z21" s="1">
        <v>1.1130148943987077</v>
      </c>
      <c r="AA21" s="31" t="s">
        <v>1205</v>
      </c>
    </row>
    <row r="22" spans="1:27" ht="17.25" hidden="1" customHeight="1" outlineLevel="1">
      <c r="A22" s="634" t="s">
        <v>1074</v>
      </c>
      <c r="B22" s="168" t="s">
        <v>525</v>
      </c>
      <c r="C22" s="169" t="s">
        <v>525</v>
      </c>
      <c r="D22" s="50" t="s">
        <v>526</v>
      </c>
      <c r="E22" s="10" t="s">
        <v>402</v>
      </c>
      <c r="F22" s="144" t="s">
        <v>1204</v>
      </c>
      <c r="G22" s="125" t="s">
        <v>465</v>
      </c>
      <c r="H22" s="164" t="s">
        <v>402</v>
      </c>
      <c r="I22" s="123" t="s">
        <v>402</v>
      </c>
      <c r="J22" s="124">
        <v>0</v>
      </c>
      <c r="K22" s="125" t="s">
        <v>395</v>
      </c>
      <c r="L22" s="271">
        <v>0</v>
      </c>
      <c r="M22" s="29">
        <v>1</v>
      </c>
      <c r="N22" s="1">
        <v>1.1130148943987077</v>
      </c>
      <c r="O22" s="139" t="s">
        <v>1205</v>
      </c>
      <c r="P22" s="271">
        <v>0</v>
      </c>
      <c r="Q22" s="29">
        <v>1</v>
      </c>
      <c r="R22" s="1">
        <v>1.1130148943987077</v>
      </c>
      <c r="S22" s="139" t="s">
        <v>1205</v>
      </c>
      <c r="T22" s="271">
        <v>0</v>
      </c>
      <c r="U22" s="29">
        <v>1</v>
      </c>
      <c r="V22" s="1">
        <v>1.1130148943987077</v>
      </c>
      <c r="W22" s="139" t="s">
        <v>1205</v>
      </c>
      <c r="X22" s="271">
        <v>0</v>
      </c>
      <c r="Y22" s="29">
        <v>1</v>
      </c>
      <c r="Z22" s="1">
        <v>1.1130148943987077</v>
      </c>
      <c r="AA22" s="31" t="s">
        <v>1205</v>
      </c>
    </row>
    <row r="23" spans="1:27" ht="12.75" collapsed="1">
      <c r="A23" s="623" t="s">
        <v>872</v>
      </c>
      <c r="B23" s="168" t="s">
        <v>525</v>
      </c>
      <c r="C23" s="169" t="s">
        <v>525</v>
      </c>
      <c r="D23" s="50" t="s">
        <v>526</v>
      </c>
      <c r="E23" s="10" t="s">
        <v>402</v>
      </c>
      <c r="F23" s="144" t="s">
        <v>1160</v>
      </c>
      <c r="G23" s="125" t="s">
        <v>956</v>
      </c>
      <c r="H23" s="164" t="s">
        <v>402</v>
      </c>
      <c r="I23" s="123" t="s">
        <v>402</v>
      </c>
      <c r="J23" s="124">
        <v>0</v>
      </c>
      <c r="K23" s="125" t="s">
        <v>395</v>
      </c>
      <c r="L23" s="271">
        <v>2.1754035326545136E-2</v>
      </c>
      <c r="M23" s="29">
        <v>1</v>
      </c>
      <c r="N23" s="1">
        <v>1.1130148943987077</v>
      </c>
      <c r="O23" s="139" t="s">
        <v>1205</v>
      </c>
      <c r="P23" s="271">
        <v>0</v>
      </c>
      <c r="Q23" s="29">
        <v>1</v>
      </c>
      <c r="R23" s="1">
        <v>1.1130148943987077</v>
      </c>
      <c r="S23" s="139" t="s">
        <v>1205</v>
      </c>
      <c r="T23" s="271">
        <v>0</v>
      </c>
      <c r="U23" s="29">
        <v>1</v>
      </c>
      <c r="V23" s="1">
        <v>1.1130148943987077</v>
      </c>
      <c r="W23" s="139" t="s">
        <v>1205</v>
      </c>
      <c r="X23" s="271">
        <v>0.14553810722300017</v>
      </c>
      <c r="Y23" s="29">
        <v>1</v>
      </c>
      <c r="Z23" s="1">
        <v>1.1130148943987077</v>
      </c>
      <c r="AA23" s="31" t="s">
        <v>1205</v>
      </c>
    </row>
    <row r="24" spans="1:27" ht="12.75">
      <c r="A24" s="623" t="s">
        <v>873</v>
      </c>
      <c r="B24" s="168" t="s">
        <v>525</v>
      </c>
      <c r="C24" s="169" t="s">
        <v>525</v>
      </c>
      <c r="D24" s="50" t="s">
        <v>526</v>
      </c>
      <c r="E24" s="10" t="s">
        <v>402</v>
      </c>
      <c r="F24" s="144" t="s">
        <v>1161</v>
      </c>
      <c r="G24" s="125" t="s">
        <v>956</v>
      </c>
      <c r="H24" s="164" t="s">
        <v>402</v>
      </c>
      <c r="I24" s="123" t="s">
        <v>402</v>
      </c>
      <c r="J24" s="124">
        <v>0</v>
      </c>
      <c r="K24" s="125" t="s">
        <v>395</v>
      </c>
      <c r="L24" s="271">
        <v>7.8163200098510677E-3</v>
      </c>
      <c r="M24" s="29">
        <v>1</v>
      </c>
      <c r="N24" s="1">
        <v>1.1130148943987077</v>
      </c>
      <c r="O24" s="139" t="s">
        <v>1205</v>
      </c>
      <c r="P24" s="271">
        <v>0</v>
      </c>
      <c r="Q24" s="29">
        <v>1</v>
      </c>
      <c r="R24" s="1">
        <v>1.1130148943987077</v>
      </c>
      <c r="S24" s="139" t="s">
        <v>1205</v>
      </c>
      <c r="T24" s="271">
        <v>0</v>
      </c>
      <c r="U24" s="29">
        <v>1</v>
      </c>
      <c r="V24" s="1">
        <v>1.1130148943987077</v>
      </c>
      <c r="W24" s="139" t="s">
        <v>1205</v>
      </c>
      <c r="X24" s="271">
        <v>5.2292478273898713E-2</v>
      </c>
      <c r="Y24" s="29">
        <v>1</v>
      </c>
      <c r="Z24" s="1">
        <v>1.1130148943987077</v>
      </c>
      <c r="AA24" s="31" t="s">
        <v>1205</v>
      </c>
    </row>
    <row r="25" spans="1:27" ht="16.5" customHeight="1">
      <c r="A25" s="623" t="s">
        <v>869</v>
      </c>
      <c r="B25" s="168" t="s">
        <v>525</v>
      </c>
      <c r="C25" s="169" t="s">
        <v>525</v>
      </c>
      <c r="D25" s="50" t="s">
        <v>526</v>
      </c>
      <c r="E25" s="10" t="s">
        <v>402</v>
      </c>
      <c r="F25" s="144" t="s">
        <v>1189</v>
      </c>
      <c r="G25" s="125" t="s">
        <v>956</v>
      </c>
      <c r="H25" s="164" t="s">
        <v>402</v>
      </c>
      <c r="I25" s="123" t="s">
        <v>402</v>
      </c>
      <c r="J25" s="124">
        <v>0</v>
      </c>
      <c r="K25" s="125" t="s">
        <v>395</v>
      </c>
      <c r="L25" s="271">
        <v>0.11990276714425144</v>
      </c>
      <c r="M25" s="29">
        <v>1</v>
      </c>
      <c r="N25" s="1">
        <v>1.1130148943987077</v>
      </c>
      <c r="O25" s="139" t="s">
        <v>1205</v>
      </c>
      <c r="P25" s="271">
        <v>0</v>
      </c>
      <c r="Q25" s="29">
        <v>1</v>
      </c>
      <c r="R25" s="1">
        <v>1.1130148943987077</v>
      </c>
      <c r="S25" s="139" t="s">
        <v>1205</v>
      </c>
      <c r="T25" s="271">
        <v>0</v>
      </c>
      <c r="U25" s="29">
        <v>1</v>
      </c>
      <c r="V25" s="1">
        <v>1.1130148943987077</v>
      </c>
      <c r="W25" s="139" t="s">
        <v>1205</v>
      </c>
      <c r="X25" s="271">
        <v>0.80216941450310109</v>
      </c>
      <c r="Y25" s="29">
        <v>1</v>
      </c>
      <c r="Z25" s="1">
        <v>1.1130148943987077</v>
      </c>
      <c r="AA25" s="31" t="s">
        <v>1205</v>
      </c>
    </row>
    <row r="26" spans="1:27" ht="12.75" hidden="1" customHeight="1" outlineLevel="1">
      <c r="A26" s="623" t="s">
        <v>1075</v>
      </c>
      <c r="B26" s="168" t="s">
        <v>525</v>
      </c>
      <c r="C26" s="169" t="s">
        <v>525</v>
      </c>
      <c r="D26" s="50" t="s">
        <v>526</v>
      </c>
      <c r="E26" s="10" t="s">
        <v>402</v>
      </c>
      <c r="F26" s="144" t="s">
        <v>1204</v>
      </c>
      <c r="G26" s="125" t="s">
        <v>956</v>
      </c>
      <c r="H26" s="164" t="s">
        <v>402</v>
      </c>
      <c r="I26" s="123" t="s">
        <v>402</v>
      </c>
      <c r="J26" s="124">
        <v>0</v>
      </c>
      <c r="K26" s="125" t="s">
        <v>395</v>
      </c>
      <c r="L26" s="271">
        <v>0</v>
      </c>
      <c r="M26" s="29">
        <v>1</v>
      </c>
      <c r="N26" s="1">
        <v>1.1130148943987077</v>
      </c>
      <c r="O26" s="139" t="s">
        <v>1205</v>
      </c>
      <c r="P26" s="271">
        <v>0</v>
      </c>
      <c r="Q26" s="29">
        <v>1</v>
      </c>
      <c r="R26" s="1">
        <v>1.1130148943987077</v>
      </c>
      <c r="S26" s="139" t="s">
        <v>1205</v>
      </c>
      <c r="T26" s="271">
        <v>0</v>
      </c>
      <c r="U26" s="29">
        <v>1</v>
      </c>
      <c r="V26" s="1">
        <v>1.1130148943987077</v>
      </c>
      <c r="W26" s="139" t="s">
        <v>1205</v>
      </c>
      <c r="X26" s="271">
        <v>0</v>
      </c>
      <c r="Y26" s="29">
        <v>1</v>
      </c>
      <c r="Z26" s="1">
        <v>1.1130148943987077</v>
      </c>
      <c r="AA26" s="31" t="s">
        <v>1205</v>
      </c>
    </row>
    <row r="27" spans="1:27" ht="36" collapsed="1">
      <c r="A27" s="2">
        <v>1824</v>
      </c>
      <c r="B27" s="168" t="s">
        <v>525</v>
      </c>
      <c r="C27" s="169" t="s">
        <v>525</v>
      </c>
      <c r="D27" s="50" t="s">
        <v>526</v>
      </c>
      <c r="E27" s="10" t="s">
        <v>402</v>
      </c>
      <c r="F27" s="144" t="s">
        <v>85</v>
      </c>
      <c r="G27" s="125" t="s">
        <v>86</v>
      </c>
      <c r="H27" s="164" t="s">
        <v>402</v>
      </c>
      <c r="I27" s="123" t="s">
        <v>402</v>
      </c>
      <c r="J27" s="124">
        <v>0</v>
      </c>
      <c r="K27" s="125" t="s">
        <v>397</v>
      </c>
      <c r="L27" s="415">
        <v>7.7168131958683901</v>
      </c>
      <c r="M27" s="29">
        <v>1</v>
      </c>
      <c r="N27" s="29">
        <v>2.0949941301068096</v>
      </c>
      <c r="O27" s="139" t="s">
        <v>1206</v>
      </c>
      <c r="P27" s="415">
        <v>0</v>
      </c>
      <c r="Q27" s="29">
        <v>1</v>
      </c>
      <c r="R27" s="29">
        <v>2.0949941301068096</v>
      </c>
      <c r="S27" s="139" t="s">
        <v>1206</v>
      </c>
      <c r="T27" s="415">
        <v>0</v>
      </c>
      <c r="U27" s="29">
        <v>1</v>
      </c>
      <c r="V27" s="29">
        <v>2.0949941301068096</v>
      </c>
      <c r="W27" s="139" t="s">
        <v>1206</v>
      </c>
      <c r="X27" s="415">
        <v>0</v>
      </c>
      <c r="Y27" s="29">
        <v>1</v>
      </c>
      <c r="Z27" s="1">
        <v>2.0949941301068096</v>
      </c>
      <c r="AA27" s="31" t="s">
        <v>1206</v>
      </c>
    </row>
    <row r="28" spans="1:27" ht="24">
      <c r="A28" s="157">
        <v>1841</v>
      </c>
      <c r="B28" s="168" t="s">
        <v>525</v>
      </c>
      <c r="C28" s="169" t="s">
        <v>525</v>
      </c>
      <c r="D28" s="50" t="s">
        <v>526</v>
      </c>
      <c r="E28" s="10" t="s">
        <v>402</v>
      </c>
      <c r="F28" s="144" t="s">
        <v>62</v>
      </c>
      <c r="G28" s="125" t="s">
        <v>521</v>
      </c>
      <c r="H28" s="164" t="s">
        <v>402</v>
      </c>
      <c r="I28" s="123" t="s">
        <v>402</v>
      </c>
      <c r="J28" s="124">
        <v>0</v>
      </c>
      <c r="K28" s="125" t="s">
        <v>397</v>
      </c>
      <c r="L28" s="415">
        <v>0.2</v>
      </c>
      <c r="M28" s="29">
        <v>1</v>
      </c>
      <c r="N28" s="29">
        <v>2.0949941301068096</v>
      </c>
      <c r="O28" s="139" t="s">
        <v>1207</v>
      </c>
      <c r="P28" s="415">
        <v>0.2</v>
      </c>
      <c r="Q28" s="29">
        <v>1</v>
      </c>
      <c r="R28" s="29">
        <v>2.0949941301068096</v>
      </c>
      <c r="S28" s="139" t="s">
        <v>1207</v>
      </c>
      <c r="T28" s="415">
        <v>0.2</v>
      </c>
      <c r="U28" s="29">
        <v>1</v>
      </c>
      <c r="V28" s="29">
        <v>2.0949941301068096</v>
      </c>
      <c r="W28" s="139" t="s">
        <v>1207</v>
      </c>
      <c r="X28" s="415">
        <v>0.2</v>
      </c>
      <c r="Y28" s="29">
        <v>1</v>
      </c>
      <c r="Z28" s="1">
        <v>2.0949941301068096</v>
      </c>
      <c r="AA28" s="31" t="s">
        <v>1207</v>
      </c>
    </row>
    <row r="29" spans="1:27" ht="12" customHeight="1">
      <c r="A29" s="416">
        <v>2987</v>
      </c>
      <c r="B29" s="168" t="s">
        <v>525</v>
      </c>
      <c r="C29" s="169" t="s">
        <v>525</v>
      </c>
      <c r="D29" s="50" t="s">
        <v>526</v>
      </c>
      <c r="E29" s="10" t="s">
        <v>402</v>
      </c>
      <c r="F29" s="144" t="s">
        <v>59</v>
      </c>
      <c r="G29" s="125" t="s">
        <v>521</v>
      </c>
      <c r="H29" s="164" t="s">
        <v>402</v>
      </c>
      <c r="I29" s="123" t="s">
        <v>402</v>
      </c>
      <c r="J29" s="124">
        <v>0</v>
      </c>
      <c r="K29" s="125" t="s">
        <v>397</v>
      </c>
      <c r="L29" s="415">
        <v>0.05</v>
      </c>
      <c r="M29" s="29">
        <v>1</v>
      </c>
      <c r="N29" s="29">
        <v>2.0949941301068096</v>
      </c>
      <c r="O29" s="139" t="s">
        <v>1208</v>
      </c>
      <c r="P29" s="415">
        <v>0.05</v>
      </c>
      <c r="Q29" s="29">
        <v>1</v>
      </c>
      <c r="R29" s="29">
        <v>2.0949941301068096</v>
      </c>
      <c r="S29" s="139" t="s">
        <v>1208</v>
      </c>
      <c r="T29" s="415">
        <v>0.05</v>
      </c>
      <c r="U29" s="29">
        <v>1</v>
      </c>
      <c r="V29" s="29">
        <v>2.0949941301068096</v>
      </c>
      <c r="W29" s="139" t="s">
        <v>1208</v>
      </c>
      <c r="X29" s="415">
        <v>0.05</v>
      </c>
      <c r="Y29" s="29">
        <v>1</v>
      </c>
      <c r="Z29" s="1">
        <v>2.0949941301068096</v>
      </c>
      <c r="AA29" s="31" t="s">
        <v>1208</v>
      </c>
    </row>
    <row r="30" spans="1:27">
      <c r="L30" s="179"/>
      <c r="P30" s="179"/>
      <c r="T30" s="179"/>
      <c r="X30" s="179"/>
    </row>
  </sheetData>
  <phoneticPr fontId="0" type="noConversion"/>
  <dataValidations xWindow="769" yWindow="473" count="1">
    <dataValidation allowBlank="1" showInputMessage="1" showErrorMessage="1" prompt="always 1" sqref="L7:L10 P7:P10 T7:T10 X7:X10"/>
  </dataValidations>
  <pageMargins left="0.78740157499999996" right="0.78740157499999996" top="0.984251969" bottom="0.984251969" header="0.4921259845" footer="0.4921259845"/>
  <pageSetup paperSize="9"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0"/>
  <sheetViews>
    <sheetView zoomScale="80" zoomScaleNormal="80" workbookViewId="0">
      <selection activeCell="L67" sqref="L67"/>
    </sheetView>
  </sheetViews>
  <sheetFormatPr defaultColWidth="11.42578125" defaultRowHeight="12" outlineLevelRow="1"/>
  <cols>
    <col min="1" max="1" width="2.7109375" style="1025" customWidth="1"/>
    <col min="2" max="2" width="29.140625" style="1032" customWidth="1"/>
    <col min="3" max="6" width="12.85546875" style="1032" customWidth="1"/>
    <col min="7" max="7" width="11.42578125" style="1032"/>
    <col min="8" max="14" width="11.42578125" style="1025"/>
    <col min="15" max="16384" width="11.42578125" style="1032"/>
  </cols>
  <sheetData>
    <row r="1" spans="1:14" s="1025" customFormat="1" ht="12.75" thickBot="1"/>
    <row r="2" spans="1:14" s="1029" customFormat="1" ht="12.75" thickBot="1">
      <c r="A2" s="1026"/>
      <c r="B2" s="1027" t="s">
        <v>2055</v>
      </c>
      <c r="C2" s="1028" t="s">
        <v>2006</v>
      </c>
      <c r="D2" s="1026"/>
      <c r="E2" s="1026"/>
      <c r="F2" s="1026"/>
      <c r="G2" s="1026"/>
      <c r="H2" s="1026"/>
      <c r="I2" s="1026"/>
      <c r="J2" s="1026"/>
      <c r="K2" s="1026"/>
      <c r="L2" s="1026"/>
      <c r="M2" s="1026"/>
      <c r="N2" s="1026"/>
    </row>
    <row r="3" spans="1:14" ht="12.75" thickBot="1">
      <c r="B3" s="1030"/>
      <c r="C3" s="1031" t="s">
        <v>403</v>
      </c>
      <c r="D3" s="1025"/>
      <c r="E3" s="1025"/>
      <c r="F3" s="1025"/>
      <c r="G3" s="1025"/>
    </row>
    <row r="4" spans="1:14" ht="12.75" thickBot="1">
      <c r="B4" s="1033" t="s">
        <v>2007</v>
      </c>
      <c r="C4" s="1034">
        <v>92.275470197728339</v>
      </c>
      <c r="D4" s="1025"/>
      <c r="E4" s="1025"/>
      <c r="F4" s="1025"/>
      <c r="G4" s="1025"/>
    </row>
    <row r="5" spans="1:14">
      <c r="B5" s="1035" t="s">
        <v>1718</v>
      </c>
      <c r="C5" s="1036">
        <v>26.85912671091419</v>
      </c>
      <c r="D5" s="1025"/>
      <c r="E5" s="1025"/>
      <c r="F5" s="1025"/>
      <c r="G5" s="1025"/>
    </row>
    <row r="6" spans="1:14">
      <c r="B6" s="1037" t="s">
        <v>2008</v>
      </c>
      <c r="C6" s="1038">
        <v>0</v>
      </c>
      <c r="D6" s="1025"/>
      <c r="E6" s="1025"/>
      <c r="F6" s="1025"/>
      <c r="G6" s="1025"/>
    </row>
    <row r="7" spans="1:14">
      <c r="B7" s="1037" t="s">
        <v>2009</v>
      </c>
      <c r="C7" s="1038">
        <v>0</v>
      </c>
      <c r="D7" s="1025"/>
      <c r="E7" s="1025"/>
      <c r="F7" s="1025"/>
      <c r="G7" s="1025"/>
    </row>
    <row r="8" spans="1:14">
      <c r="B8" s="1037" t="s">
        <v>2010</v>
      </c>
      <c r="C8" s="1038">
        <v>0</v>
      </c>
      <c r="D8" s="1025"/>
      <c r="E8" s="1025"/>
      <c r="F8" s="1025"/>
      <c r="G8" s="1025"/>
    </row>
    <row r="9" spans="1:14">
      <c r="B9" s="1039" t="s">
        <v>2011</v>
      </c>
      <c r="C9" s="1040">
        <v>0</v>
      </c>
      <c r="D9" s="1025"/>
      <c r="E9" s="1025"/>
      <c r="F9" s="1025"/>
      <c r="G9" s="1025"/>
    </row>
    <row r="10" spans="1:14">
      <c r="B10" s="1039" t="s">
        <v>2012</v>
      </c>
      <c r="C10" s="1040">
        <v>0</v>
      </c>
      <c r="D10" s="1025"/>
      <c r="E10" s="1025"/>
      <c r="F10" s="1025"/>
      <c r="G10" s="1025"/>
    </row>
    <row r="11" spans="1:14">
      <c r="B11" s="1037" t="s">
        <v>2013</v>
      </c>
      <c r="C11" s="1038">
        <v>1.8930774642486412</v>
      </c>
      <c r="D11" s="1025"/>
      <c r="E11" s="1025"/>
      <c r="F11" s="1025"/>
      <c r="G11" s="1025"/>
    </row>
    <row r="12" spans="1:14">
      <c r="B12" s="1039" t="s">
        <v>2014</v>
      </c>
      <c r="C12" s="1040">
        <v>0</v>
      </c>
      <c r="D12" s="1025"/>
      <c r="E12" s="1025"/>
      <c r="F12" s="1025"/>
      <c r="G12" s="1025"/>
    </row>
    <row r="13" spans="1:14">
      <c r="B13" s="1039" t="s">
        <v>2015</v>
      </c>
      <c r="C13" s="1040">
        <v>0</v>
      </c>
      <c r="D13" s="1025"/>
      <c r="E13" s="1025"/>
      <c r="F13" s="1025"/>
      <c r="G13" s="1025"/>
    </row>
    <row r="14" spans="1:14">
      <c r="B14" s="1039" t="s">
        <v>2016</v>
      </c>
      <c r="C14" s="1040">
        <v>0</v>
      </c>
      <c r="D14" s="1025"/>
      <c r="E14" s="1025"/>
      <c r="F14" s="1025"/>
      <c r="G14" s="1025"/>
    </row>
    <row r="15" spans="1:14">
      <c r="B15" s="1037" t="s">
        <v>2017</v>
      </c>
      <c r="C15" s="1038">
        <v>63.523266022565515</v>
      </c>
      <c r="D15" s="1025"/>
      <c r="E15" s="1025"/>
      <c r="F15" s="1025"/>
      <c r="G15" s="1025"/>
    </row>
    <row r="16" spans="1:14" ht="12.75" thickBot="1">
      <c r="B16" s="1041" t="s">
        <v>2018</v>
      </c>
      <c r="C16" s="1042">
        <v>0</v>
      </c>
      <c r="D16" s="1025"/>
      <c r="E16" s="1025"/>
      <c r="F16" s="1025"/>
      <c r="G16" s="1025"/>
    </row>
    <row r="17" spans="2:7" ht="12.75" thickBot="1">
      <c r="B17" s="1033" t="s">
        <v>2019</v>
      </c>
      <c r="C17" s="1034">
        <v>7.7235466318038695</v>
      </c>
      <c r="D17" s="1025"/>
      <c r="E17" s="1025"/>
      <c r="F17" s="1025"/>
      <c r="G17" s="1025"/>
    </row>
    <row r="18" spans="2:7">
      <c r="B18" s="1035" t="s">
        <v>2020</v>
      </c>
      <c r="C18" s="1036">
        <v>7.7235466318038695</v>
      </c>
      <c r="D18" s="1025"/>
      <c r="E18" s="1025"/>
      <c r="F18" s="1025"/>
      <c r="G18" s="1025"/>
    </row>
    <row r="19" spans="2:7">
      <c r="B19" s="1037" t="s">
        <v>2021</v>
      </c>
      <c r="C19" s="1038">
        <v>0</v>
      </c>
      <c r="D19" s="1025"/>
      <c r="E19" s="1025"/>
      <c r="F19" s="1025"/>
      <c r="G19" s="1025"/>
    </row>
    <row r="20" spans="2:7" ht="12.75" thickBot="1">
      <c r="B20" s="1041" t="s">
        <v>2022</v>
      </c>
      <c r="C20" s="1042">
        <v>0</v>
      </c>
      <c r="D20" s="1025"/>
      <c r="E20" s="1025"/>
      <c r="F20" s="1025"/>
      <c r="G20" s="1025"/>
    </row>
    <row r="21" spans="2:7" ht="12.75" thickBot="1">
      <c r="B21" s="1033" t="s">
        <v>2023</v>
      </c>
      <c r="C21" s="1034">
        <v>0</v>
      </c>
      <c r="D21" s="1025"/>
      <c r="E21" s="1025"/>
      <c r="F21" s="1025"/>
      <c r="G21" s="1025"/>
    </row>
    <row r="22" spans="2:7">
      <c r="B22" s="1035" t="s">
        <v>2024</v>
      </c>
      <c r="C22" s="1036">
        <v>0</v>
      </c>
      <c r="D22" s="1025"/>
      <c r="E22" s="1025"/>
      <c r="F22" s="1025"/>
      <c r="G22" s="1025"/>
    </row>
    <row r="23" spans="2:7" ht="12.75" thickBot="1">
      <c r="B23" s="1041" t="s">
        <v>2025</v>
      </c>
      <c r="C23" s="1042">
        <v>0</v>
      </c>
      <c r="D23" s="1025"/>
      <c r="E23" s="1025"/>
      <c r="F23" s="1025"/>
      <c r="G23" s="1025"/>
    </row>
    <row r="24" spans="2:7" ht="12.75" thickBot="1">
      <c r="B24" s="1033" t="s">
        <v>2026</v>
      </c>
      <c r="C24" s="1034">
        <v>9.8317046776866908E-4</v>
      </c>
      <c r="D24" s="1025"/>
      <c r="E24" s="1025"/>
      <c r="F24" s="1025"/>
      <c r="G24" s="1025"/>
    </row>
    <row r="25" spans="2:7">
      <c r="B25" s="1035" t="s">
        <v>2027</v>
      </c>
      <c r="C25" s="1036">
        <v>0</v>
      </c>
      <c r="D25" s="1025"/>
      <c r="E25" s="1025"/>
      <c r="F25" s="1025"/>
      <c r="G25" s="1025"/>
    </row>
    <row r="26" spans="2:7">
      <c r="B26" s="1037" t="s">
        <v>2028</v>
      </c>
      <c r="C26" s="1038">
        <v>0</v>
      </c>
      <c r="D26" s="1025"/>
      <c r="E26" s="1025"/>
      <c r="F26" s="1025"/>
      <c r="G26" s="1025"/>
    </row>
    <row r="27" spans="2:7">
      <c r="B27" s="1039" t="s">
        <v>2029</v>
      </c>
      <c r="C27" s="1040">
        <v>9.8317046776866908E-4</v>
      </c>
      <c r="D27" s="1025"/>
      <c r="E27" s="1025"/>
      <c r="F27" s="1025"/>
      <c r="G27" s="1025"/>
    </row>
    <row r="28" spans="2:7">
      <c r="B28" s="1039" t="s">
        <v>2030</v>
      </c>
      <c r="C28" s="1040">
        <v>0</v>
      </c>
      <c r="D28" s="1025"/>
      <c r="E28" s="1025"/>
      <c r="F28" s="1025"/>
      <c r="G28" s="1025"/>
    </row>
    <row r="29" spans="2:7">
      <c r="B29" s="1037" t="s">
        <v>2031</v>
      </c>
      <c r="C29" s="1038">
        <v>0</v>
      </c>
      <c r="D29" s="1025"/>
      <c r="E29" s="1025"/>
      <c r="F29" s="1025"/>
      <c r="G29" s="1025"/>
    </row>
    <row r="30" spans="2:7">
      <c r="B30" s="1037" t="s">
        <v>2032</v>
      </c>
      <c r="C30" s="1038">
        <v>0</v>
      </c>
      <c r="D30" s="1025"/>
      <c r="E30" s="1025"/>
      <c r="F30" s="1025"/>
      <c r="G30" s="1025"/>
    </row>
    <row r="31" spans="2:7">
      <c r="B31" s="1037" t="s">
        <v>2033</v>
      </c>
      <c r="C31" s="1038">
        <v>0</v>
      </c>
      <c r="D31" s="1025"/>
      <c r="E31" s="1025"/>
      <c r="F31" s="1025"/>
      <c r="G31" s="1025"/>
    </row>
    <row r="32" spans="2:7" ht="12.75" thickBot="1">
      <c r="B32" s="1041" t="s">
        <v>2034</v>
      </c>
      <c r="C32" s="1042">
        <v>0</v>
      </c>
      <c r="D32" s="1025"/>
      <c r="E32" s="1025"/>
      <c r="F32" s="1025"/>
      <c r="G32" s="1025"/>
    </row>
    <row r="33" spans="1:7" ht="12.75" thickBot="1">
      <c r="B33" s="1033" t="s">
        <v>794</v>
      </c>
      <c r="C33" s="1034">
        <v>0</v>
      </c>
      <c r="D33" s="1025"/>
      <c r="E33" s="1025"/>
      <c r="F33" s="1025"/>
      <c r="G33" s="1025"/>
    </row>
    <row r="34" spans="1:7">
      <c r="B34" s="1035" t="s">
        <v>2035</v>
      </c>
      <c r="C34" s="1036">
        <v>0</v>
      </c>
      <c r="D34" s="1025"/>
      <c r="E34" s="1025"/>
      <c r="F34" s="1025"/>
      <c r="G34" s="1025"/>
    </row>
    <row r="35" spans="1:7">
      <c r="B35" s="1037" t="s">
        <v>2036</v>
      </c>
      <c r="C35" s="1038">
        <v>0</v>
      </c>
      <c r="D35" s="1025"/>
      <c r="E35" s="1025"/>
      <c r="F35" s="1025"/>
      <c r="G35" s="1025"/>
    </row>
    <row r="36" spans="1:7" ht="12.75" thickBot="1">
      <c r="B36" s="1041" t="s">
        <v>2037</v>
      </c>
      <c r="C36" s="1042">
        <v>0</v>
      </c>
      <c r="D36" s="1025"/>
      <c r="E36" s="1025"/>
      <c r="F36" s="1025"/>
      <c r="G36" s="1025"/>
    </row>
    <row r="37" spans="1:7" ht="12.75" thickBot="1">
      <c r="B37" s="1033" t="s">
        <v>2038</v>
      </c>
      <c r="C37" s="1034">
        <v>0</v>
      </c>
      <c r="D37" s="1025"/>
      <c r="E37" s="1025"/>
      <c r="F37" s="1025"/>
      <c r="G37" s="1025"/>
    </row>
    <row r="38" spans="1:7" ht="12.75" thickBot="1">
      <c r="B38" s="1033" t="s">
        <v>2039</v>
      </c>
      <c r="C38" s="1034">
        <v>99.999999999999972</v>
      </c>
      <c r="D38" s="1025"/>
      <c r="E38" s="1025"/>
      <c r="F38" s="1025"/>
      <c r="G38" s="1025"/>
    </row>
    <row r="39" spans="1:7" ht="12.75" thickBot="1">
      <c r="B39" s="1033" t="s">
        <v>2040</v>
      </c>
      <c r="C39" s="1034">
        <v>0</v>
      </c>
      <c r="D39" s="1025"/>
      <c r="E39" s="1025"/>
      <c r="F39" s="1044"/>
      <c r="G39" s="1025"/>
    </row>
    <row r="40" spans="1:7" ht="12.75" hidden="1" outlineLevel="1" thickBot="1">
      <c r="B40" s="1035" t="s">
        <v>2056</v>
      </c>
      <c r="C40" s="1036">
        <v>0</v>
      </c>
      <c r="D40" s="1025"/>
      <c r="E40" s="1025"/>
      <c r="F40" s="1044"/>
      <c r="G40" s="1025"/>
    </row>
    <row r="41" spans="1:7" ht="12.75" hidden="1" outlineLevel="1" thickBot="1">
      <c r="A41" s="1044"/>
      <c r="B41" s="1035" t="s">
        <v>2057</v>
      </c>
      <c r="C41" s="1036">
        <v>0</v>
      </c>
      <c r="D41" s="1044"/>
      <c r="E41" s="1025"/>
      <c r="F41" s="1044"/>
      <c r="G41" s="1025"/>
    </row>
    <row r="42" spans="1:7" ht="12.75" hidden="1" outlineLevel="1" thickBot="1">
      <c r="A42" s="1044"/>
      <c r="B42" s="1035" t="s">
        <v>2043</v>
      </c>
      <c r="C42" s="1036">
        <v>0</v>
      </c>
      <c r="D42" s="1044"/>
      <c r="E42" s="1025"/>
      <c r="F42" s="1044"/>
      <c r="G42" s="1025"/>
    </row>
    <row r="43" spans="1:7" ht="12.75" hidden="1" outlineLevel="1" thickBot="1">
      <c r="B43" s="1035" t="s">
        <v>2044</v>
      </c>
      <c r="C43" s="1036">
        <v>0</v>
      </c>
      <c r="D43" s="1025"/>
      <c r="E43" s="1025"/>
      <c r="F43" s="1044"/>
      <c r="G43" s="1025"/>
    </row>
    <row r="44" spans="1:7" ht="12.75" hidden="1" outlineLevel="1" thickBot="1">
      <c r="B44" s="1035" t="s">
        <v>2045</v>
      </c>
      <c r="C44" s="1036">
        <v>0</v>
      </c>
      <c r="E44" s="1025"/>
      <c r="F44" s="1044"/>
      <c r="G44" s="1025"/>
    </row>
    <row r="45" spans="1:7" ht="12.75" hidden="1" outlineLevel="1" thickBot="1">
      <c r="B45" s="1035" t="s">
        <v>2046</v>
      </c>
      <c r="C45" s="1036">
        <v>0</v>
      </c>
      <c r="E45" s="1025"/>
      <c r="F45" s="1044"/>
      <c r="G45" s="1025"/>
    </row>
    <row r="46" spans="1:7" ht="12.75" hidden="1" outlineLevel="1" thickBot="1">
      <c r="B46" s="1035" t="s">
        <v>2047</v>
      </c>
      <c r="C46" s="1036">
        <v>0</v>
      </c>
      <c r="E46" s="1025"/>
      <c r="F46" s="1044"/>
      <c r="G46" s="1025"/>
    </row>
    <row r="47" spans="1:7" ht="12.75" hidden="1" outlineLevel="1" thickBot="1">
      <c r="B47" s="1035" t="s">
        <v>2048</v>
      </c>
      <c r="C47" s="1036">
        <v>0</v>
      </c>
      <c r="E47" s="1025"/>
      <c r="F47" s="1044"/>
      <c r="G47" s="1025"/>
    </row>
    <row r="48" spans="1:7" ht="12.75" hidden="1" outlineLevel="1" thickBot="1">
      <c r="B48" s="1035" t="s">
        <v>2049</v>
      </c>
      <c r="C48" s="1036">
        <v>0</v>
      </c>
      <c r="E48" s="1025"/>
      <c r="F48" s="1044"/>
      <c r="G48" s="1025"/>
    </row>
    <row r="49" spans="2:7" ht="12.75" hidden="1" outlineLevel="1" thickBot="1">
      <c r="B49" s="1035" t="s">
        <v>2050</v>
      </c>
      <c r="C49" s="1036">
        <v>0</v>
      </c>
      <c r="E49" s="1025"/>
      <c r="F49" s="1044"/>
      <c r="G49" s="1025"/>
    </row>
    <row r="50" spans="2:7" ht="12.75" collapsed="1" thickBot="1">
      <c r="B50" s="1033" t="s">
        <v>390</v>
      </c>
      <c r="C50" s="1034">
        <f>SUM(C38:C39)</f>
        <v>99.999999999999972</v>
      </c>
      <c r="D50" s="1025"/>
      <c r="E50" s="1025"/>
      <c r="F50" s="1044"/>
      <c r="G50" s="1025"/>
    </row>
    <row r="51" spans="2:7">
      <c r="B51" s="1044"/>
      <c r="C51" s="1044"/>
      <c r="D51" s="1044"/>
      <c r="E51" s="1044"/>
      <c r="F51" s="1044"/>
      <c r="G51" s="1025"/>
    </row>
    <row r="52" spans="2:7">
      <c r="B52" s="1044"/>
      <c r="C52" s="1045"/>
      <c r="D52" s="1046" t="s">
        <v>2051</v>
      </c>
      <c r="E52" s="1047"/>
      <c r="F52" s="1048"/>
      <c r="G52" s="1025"/>
    </row>
    <row r="53" spans="2:7">
      <c r="C53" s="1025"/>
      <c r="D53" s="1025"/>
      <c r="E53" s="1025"/>
      <c r="F53" s="1025"/>
      <c r="G53" s="1025"/>
    </row>
    <row r="54" spans="2:7">
      <c r="B54" s="1025" t="s">
        <v>2052</v>
      </c>
      <c r="C54" s="1025"/>
      <c r="D54" s="1025"/>
      <c r="E54" s="1025"/>
      <c r="F54" s="1025"/>
      <c r="G54" s="1025"/>
    </row>
    <row r="55" spans="2:7">
      <c r="B55" s="1025"/>
      <c r="C55" s="1025"/>
      <c r="D55" s="1025"/>
      <c r="E55" s="1025"/>
      <c r="F55" s="1025"/>
      <c r="G55" s="1025"/>
    </row>
    <row r="56" spans="2:7">
      <c r="B56" s="1025" t="s">
        <v>2058</v>
      </c>
      <c r="C56" s="1025" t="s">
        <v>2059</v>
      </c>
      <c r="D56" s="1025"/>
      <c r="E56" s="1025"/>
      <c r="F56" s="1025"/>
      <c r="G56" s="1025"/>
    </row>
    <row r="57" spans="2:7">
      <c r="B57" s="1025"/>
      <c r="C57" s="1025"/>
      <c r="D57" s="1025"/>
      <c r="E57" s="1025"/>
      <c r="F57" s="1025"/>
      <c r="G57" s="1025"/>
    </row>
    <row r="58" spans="2:7">
      <c r="B58" s="1025"/>
      <c r="C58" s="1025"/>
      <c r="D58" s="1025"/>
      <c r="E58" s="1025"/>
      <c r="F58" s="1025"/>
      <c r="G58" s="1025"/>
    </row>
    <row r="59" spans="2:7">
      <c r="B59" s="1025"/>
      <c r="C59" s="1025"/>
      <c r="D59" s="1025"/>
      <c r="E59" s="1025"/>
      <c r="F59" s="1025"/>
      <c r="G59" s="1025"/>
    </row>
    <row r="60" spans="2:7">
      <c r="B60" s="1025"/>
      <c r="C60" s="1025"/>
      <c r="D60" s="1025"/>
      <c r="E60" s="1025"/>
      <c r="F60" s="1025"/>
      <c r="G60" s="1025"/>
    </row>
  </sheetData>
  <conditionalFormatting sqref="C9:C10 C12:C14">
    <cfRule type="cellIs" dxfId="8" priority="1" operator="equal">
      <formula>0</formula>
    </cfRule>
  </conditionalFormatting>
  <pageMargins left="0.78740157499999996" right="0.78740157499999996" top="0.984251969" bottom="0.984251969" header="0.4921259845" footer="0.4921259845"/>
  <pageSetup paperSize="9" fitToHeight="0" orientation="portrait" r:id="rId1"/>
  <headerFooter alignWithMargins="0">
    <oddHeader>&amp;L&amp;A&amp;CESU-services Ltd.&amp;R&amp;D</oddHeader>
    <oddFooter>&amp;L&amp;Z&amp;F</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
  <sheetViews>
    <sheetView zoomScale="80" zoomScaleNormal="80" workbookViewId="0">
      <selection activeCell="L67" sqref="L67"/>
    </sheetView>
  </sheetViews>
  <sheetFormatPr defaultColWidth="11.42578125" defaultRowHeight="12" outlineLevelRow="1"/>
  <cols>
    <col min="1" max="1" width="2.7109375" style="1025" customWidth="1"/>
    <col min="2" max="2" width="29.140625" style="1032" customWidth="1"/>
    <col min="3" max="6" width="12.85546875" style="1032" customWidth="1"/>
    <col min="7" max="16384" width="11.42578125" style="1032"/>
  </cols>
  <sheetData>
    <row r="1" spans="1:15" s="1025" customFormat="1" ht="12.75" thickBot="1"/>
    <row r="2" spans="1:15" s="1029" customFormat="1" ht="12.75" thickBot="1">
      <c r="A2" s="1026"/>
      <c r="B2" s="1027" t="s">
        <v>2060</v>
      </c>
      <c r="C2" s="1028" t="s">
        <v>2006</v>
      </c>
      <c r="D2" s="1026"/>
      <c r="E2" s="1026"/>
      <c r="F2" s="1026"/>
      <c r="G2" s="1026"/>
      <c r="H2" s="1026"/>
      <c r="I2" s="1026"/>
      <c r="J2" s="1026"/>
      <c r="K2" s="1026"/>
      <c r="L2" s="1026"/>
      <c r="M2" s="1026"/>
      <c r="N2" s="1026"/>
      <c r="O2" s="1026"/>
    </row>
    <row r="3" spans="1:15" ht="12.75" thickBot="1">
      <c r="B3" s="1030"/>
      <c r="C3" s="1031" t="s">
        <v>403</v>
      </c>
      <c r="D3" s="1025"/>
      <c r="E3" s="1025"/>
      <c r="F3" s="1025"/>
      <c r="G3" s="1025"/>
      <c r="H3" s="1025"/>
      <c r="I3" s="1025"/>
      <c r="J3" s="1025"/>
      <c r="K3" s="1025"/>
      <c r="L3" s="1025"/>
      <c r="M3" s="1025"/>
      <c r="N3" s="1025"/>
      <c r="O3" s="1025"/>
    </row>
    <row r="4" spans="1:15" ht="12.75" thickBot="1">
      <c r="B4" s="1033" t="s">
        <v>2007</v>
      </c>
      <c r="C4" s="1034">
        <v>64.82806575329829</v>
      </c>
      <c r="D4" s="1025"/>
      <c r="E4" s="1025"/>
      <c r="F4" s="1025"/>
      <c r="G4" s="1025"/>
      <c r="H4" s="1025"/>
      <c r="I4" s="1025"/>
      <c r="J4" s="1025"/>
      <c r="K4" s="1025"/>
      <c r="L4" s="1025"/>
      <c r="M4" s="1025"/>
      <c r="N4" s="1025"/>
      <c r="O4" s="1025"/>
    </row>
    <row r="5" spans="1:15">
      <c r="B5" s="1035" t="s">
        <v>1718</v>
      </c>
      <c r="C5" s="1036">
        <v>39.712595534470445</v>
      </c>
      <c r="D5" s="1025"/>
      <c r="E5" s="1025"/>
      <c r="F5" s="1025"/>
      <c r="G5" s="1025"/>
      <c r="H5" s="1025"/>
      <c r="I5" s="1025"/>
      <c r="J5" s="1025"/>
      <c r="K5" s="1025"/>
      <c r="L5" s="1025"/>
      <c r="M5" s="1025"/>
      <c r="N5" s="1025"/>
      <c r="O5" s="1025"/>
    </row>
    <row r="6" spans="1:15">
      <c r="B6" s="1037" t="s">
        <v>2008</v>
      </c>
      <c r="C6" s="1038">
        <v>0</v>
      </c>
      <c r="D6" s="1025"/>
      <c r="E6" s="1025"/>
      <c r="F6" s="1025"/>
      <c r="G6" s="1025"/>
      <c r="H6" s="1025"/>
      <c r="I6" s="1025"/>
      <c r="J6" s="1025"/>
      <c r="K6" s="1025"/>
      <c r="L6" s="1025"/>
      <c r="M6" s="1025"/>
      <c r="N6" s="1025"/>
      <c r="O6" s="1025"/>
    </row>
    <row r="7" spans="1:15">
      <c r="B7" s="1037" t="s">
        <v>2009</v>
      </c>
      <c r="C7" s="1038">
        <v>0</v>
      </c>
      <c r="D7" s="1025"/>
      <c r="E7" s="1025"/>
      <c r="F7" s="1025"/>
      <c r="G7" s="1025"/>
      <c r="H7" s="1025"/>
      <c r="I7" s="1025"/>
      <c r="J7" s="1025"/>
      <c r="K7" s="1025"/>
      <c r="L7" s="1025"/>
      <c r="M7" s="1025"/>
      <c r="N7" s="1025"/>
      <c r="O7" s="1025"/>
    </row>
    <row r="8" spans="1:15">
      <c r="B8" s="1037" t="s">
        <v>2010</v>
      </c>
      <c r="C8" s="1043">
        <f>SUM(C9:C10)</f>
        <v>3.3858732044120821</v>
      </c>
      <c r="D8" s="1025"/>
      <c r="E8" s="1025"/>
      <c r="F8" s="1025"/>
      <c r="G8" s="1025"/>
      <c r="H8" s="1025"/>
      <c r="I8" s="1025"/>
      <c r="J8" s="1025"/>
      <c r="K8" s="1025"/>
      <c r="L8" s="1025"/>
      <c r="M8" s="1025"/>
      <c r="N8" s="1025"/>
      <c r="O8" s="1025"/>
    </row>
    <row r="9" spans="1:15">
      <c r="B9" s="1039" t="s">
        <v>2011</v>
      </c>
      <c r="C9" s="1040">
        <v>0.363197550503148</v>
      </c>
      <c r="D9" s="1025"/>
      <c r="E9" s="1025"/>
      <c r="F9" s="1025"/>
      <c r="G9" s="1025"/>
      <c r="H9" s="1025"/>
      <c r="I9" s="1025"/>
      <c r="J9" s="1025"/>
      <c r="K9" s="1025"/>
      <c r="L9" s="1025"/>
      <c r="M9" s="1025"/>
      <c r="N9" s="1025"/>
      <c r="O9" s="1025"/>
    </row>
    <row r="10" spans="1:15">
      <c r="B10" s="1039" t="s">
        <v>2012</v>
      </c>
      <c r="C10" s="1040">
        <v>3.0226756539089341</v>
      </c>
      <c r="D10" s="1025"/>
      <c r="E10" s="1025"/>
      <c r="F10" s="1025"/>
      <c r="G10" s="1025"/>
      <c r="H10" s="1025"/>
      <c r="I10" s="1025"/>
      <c r="J10" s="1025"/>
      <c r="K10" s="1025"/>
      <c r="L10" s="1025"/>
      <c r="M10" s="1025"/>
      <c r="N10" s="1025"/>
      <c r="O10" s="1025"/>
    </row>
    <row r="11" spans="1:15">
      <c r="B11" s="1037" t="s">
        <v>2013</v>
      </c>
      <c r="C11" s="1043">
        <f>SUM(C12:C14)</f>
        <v>3.4501519788204362</v>
      </c>
      <c r="D11" s="1025"/>
      <c r="E11" s="1025"/>
      <c r="F11" s="1025"/>
      <c r="G11" s="1025"/>
      <c r="H11" s="1025"/>
      <c r="I11" s="1025"/>
      <c r="J11" s="1025"/>
      <c r="K11" s="1025"/>
      <c r="L11" s="1025"/>
      <c r="M11" s="1025"/>
      <c r="N11" s="1025"/>
      <c r="O11" s="1025"/>
    </row>
    <row r="12" spans="1:15">
      <c r="B12" s="1039" t="s">
        <v>2014</v>
      </c>
      <c r="C12" s="1040">
        <v>2.5859845396591714</v>
      </c>
      <c r="D12" s="1025"/>
      <c r="E12" s="1025"/>
      <c r="F12" s="1025"/>
      <c r="G12" s="1025"/>
      <c r="H12" s="1025"/>
      <c r="I12" s="1025"/>
      <c r="J12" s="1025"/>
      <c r="K12" s="1025"/>
      <c r="L12" s="1025"/>
      <c r="M12" s="1025"/>
      <c r="N12" s="1025"/>
      <c r="O12" s="1025"/>
    </row>
    <row r="13" spans="1:15">
      <c r="B13" s="1039" t="s">
        <v>2015</v>
      </c>
      <c r="C13" s="1040">
        <v>0.10023892792351734</v>
      </c>
      <c r="D13" s="1025"/>
      <c r="E13" s="1025"/>
      <c r="F13" s="1025"/>
      <c r="G13" s="1025"/>
      <c r="H13" s="1025"/>
      <c r="I13" s="1025"/>
      <c r="J13" s="1025"/>
      <c r="K13" s="1025"/>
      <c r="L13" s="1025"/>
      <c r="M13" s="1025"/>
      <c r="N13" s="1025"/>
      <c r="O13" s="1025"/>
    </row>
    <row r="14" spans="1:15">
      <c r="B14" s="1039" t="s">
        <v>2016</v>
      </c>
      <c r="C14" s="1040">
        <v>0.76392851123774752</v>
      </c>
      <c r="D14" s="1025"/>
      <c r="E14" s="1025"/>
      <c r="F14" s="1025"/>
      <c r="G14" s="1025"/>
      <c r="H14" s="1025"/>
      <c r="I14" s="1025"/>
      <c r="J14" s="1025"/>
      <c r="K14" s="1025"/>
      <c r="L14" s="1025"/>
      <c r="M14" s="1025"/>
      <c r="N14" s="1025"/>
      <c r="O14" s="1025"/>
    </row>
    <row r="15" spans="1:15">
      <c r="B15" s="1037" t="s">
        <v>2017</v>
      </c>
      <c r="C15" s="1038">
        <v>18.27944503559532</v>
      </c>
      <c r="D15" s="1025"/>
      <c r="E15" s="1025"/>
      <c r="F15" s="1025"/>
      <c r="G15" s="1025"/>
      <c r="H15" s="1025"/>
      <c r="I15" s="1025"/>
      <c r="J15" s="1025"/>
      <c r="K15" s="1025"/>
      <c r="L15" s="1025"/>
      <c r="M15" s="1025"/>
      <c r="N15" s="1025"/>
      <c r="O15" s="1025"/>
    </row>
    <row r="16" spans="1:15" ht="12.75" thickBot="1">
      <c r="B16" s="1041" t="s">
        <v>2018</v>
      </c>
      <c r="C16" s="1042">
        <v>0</v>
      </c>
      <c r="D16" s="1025"/>
      <c r="E16" s="1025"/>
      <c r="F16" s="1025"/>
      <c r="G16" s="1025"/>
      <c r="H16" s="1025"/>
      <c r="I16" s="1025"/>
      <c r="J16" s="1025"/>
      <c r="K16" s="1025"/>
      <c r="L16" s="1025"/>
      <c r="M16" s="1025"/>
      <c r="N16" s="1025"/>
      <c r="O16" s="1025"/>
    </row>
    <row r="17" spans="2:15" ht="12.75" thickBot="1">
      <c r="B17" s="1033" t="s">
        <v>2019</v>
      </c>
      <c r="C17" s="1034">
        <v>1.3016277622939381</v>
      </c>
      <c r="D17" s="1025"/>
      <c r="E17" s="1025"/>
      <c r="F17" s="1025"/>
      <c r="G17" s="1025"/>
      <c r="H17" s="1025"/>
      <c r="I17" s="1025"/>
      <c r="J17" s="1025"/>
      <c r="K17" s="1025"/>
      <c r="L17" s="1025"/>
      <c r="M17" s="1025"/>
      <c r="N17" s="1025"/>
      <c r="O17" s="1025"/>
    </row>
    <row r="18" spans="2:15">
      <c r="B18" s="1035" t="s">
        <v>2020</v>
      </c>
      <c r="C18" s="1036">
        <v>0.14366339134432463</v>
      </c>
      <c r="D18" s="1025"/>
      <c r="E18" s="1025"/>
      <c r="F18" s="1025"/>
      <c r="G18" s="1025"/>
      <c r="H18" s="1025"/>
      <c r="I18" s="1025"/>
      <c r="J18" s="1025"/>
      <c r="K18" s="1025"/>
      <c r="L18" s="1025"/>
      <c r="M18" s="1025"/>
      <c r="N18" s="1025"/>
      <c r="O18" s="1025"/>
    </row>
    <row r="19" spans="2:15">
      <c r="B19" s="1037" t="s">
        <v>2021</v>
      </c>
      <c r="C19" s="1038">
        <v>0.5746535653772985</v>
      </c>
      <c r="D19" s="1025"/>
      <c r="E19" s="1025"/>
      <c r="F19" s="1025"/>
      <c r="G19" s="1025"/>
      <c r="H19" s="1025"/>
      <c r="I19" s="1025"/>
      <c r="J19" s="1025"/>
      <c r="K19" s="1025"/>
      <c r="L19" s="1025"/>
      <c r="M19" s="1025"/>
      <c r="N19" s="1025"/>
      <c r="O19" s="1025"/>
    </row>
    <row r="20" spans="2:15" ht="12.75" thickBot="1">
      <c r="B20" s="1041" t="s">
        <v>2022</v>
      </c>
      <c r="C20" s="1042">
        <v>0.58331080557231485</v>
      </c>
      <c r="D20" s="1025"/>
      <c r="E20" s="1025"/>
      <c r="F20" s="1025"/>
      <c r="G20" s="1025"/>
      <c r="H20" s="1025"/>
      <c r="I20" s="1025"/>
      <c r="J20" s="1025"/>
      <c r="K20" s="1025"/>
      <c r="L20" s="1025"/>
      <c r="M20" s="1025"/>
      <c r="N20" s="1025"/>
      <c r="O20" s="1025"/>
    </row>
    <row r="21" spans="2:15" ht="12.75" thickBot="1">
      <c r="B21" s="1033" t="s">
        <v>2023</v>
      </c>
      <c r="C21" s="1034">
        <v>33.537179509629119</v>
      </c>
      <c r="D21" s="1025"/>
      <c r="E21" s="1025"/>
      <c r="F21" s="1025"/>
      <c r="G21" s="1025"/>
      <c r="H21" s="1025"/>
      <c r="I21" s="1025"/>
      <c r="J21" s="1025"/>
      <c r="K21" s="1025"/>
      <c r="L21" s="1025"/>
      <c r="M21" s="1025"/>
      <c r="N21" s="1025"/>
      <c r="O21" s="1025"/>
    </row>
    <row r="22" spans="2:15">
      <c r="B22" s="1035" t="s">
        <v>2024</v>
      </c>
      <c r="C22" s="1036">
        <v>33.537179509629119</v>
      </c>
      <c r="D22" s="1025"/>
      <c r="E22" s="1025"/>
      <c r="F22" s="1025"/>
      <c r="G22" s="1025"/>
      <c r="H22" s="1025"/>
      <c r="I22" s="1025"/>
      <c r="J22" s="1025"/>
      <c r="K22" s="1025"/>
      <c r="L22" s="1025"/>
      <c r="M22" s="1025"/>
      <c r="N22" s="1025"/>
      <c r="O22" s="1025"/>
    </row>
    <row r="23" spans="2:15" ht="12.75" thickBot="1">
      <c r="B23" s="1041" t="s">
        <v>2025</v>
      </c>
      <c r="C23" s="1042">
        <v>0</v>
      </c>
      <c r="D23" s="1025"/>
      <c r="E23" s="1025"/>
      <c r="F23" s="1025"/>
      <c r="G23" s="1025"/>
      <c r="H23" s="1025"/>
      <c r="I23" s="1025"/>
      <c r="J23" s="1025"/>
      <c r="K23" s="1025"/>
      <c r="L23" s="1025"/>
      <c r="M23" s="1025"/>
      <c r="N23" s="1025"/>
      <c r="O23" s="1025"/>
    </row>
    <row r="24" spans="2:15" ht="12.75" thickBot="1">
      <c r="B24" s="1033" t="s">
        <v>2026</v>
      </c>
      <c r="C24" s="1034">
        <v>0.17625080506875768</v>
      </c>
      <c r="D24" s="1025"/>
      <c r="E24" s="1025"/>
      <c r="F24" s="1025"/>
      <c r="G24" s="1025"/>
      <c r="H24" s="1025"/>
      <c r="I24" s="1025"/>
      <c r="J24" s="1025"/>
      <c r="K24" s="1025"/>
      <c r="L24" s="1025"/>
      <c r="M24" s="1025"/>
      <c r="N24" s="1025"/>
      <c r="O24" s="1025"/>
    </row>
    <row r="25" spans="2:15">
      <c r="B25" s="1035" t="s">
        <v>2027</v>
      </c>
      <c r="C25" s="1036">
        <v>0</v>
      </c>
      <c r="D25" s="1025"/>
      <c r="E25" s="1025"/>
      <c r="F25" s="1025"/>
      <c r="G25" s="1025"/>
      <c r="H25" s="1025"/>
      <c r="I25" s="1025"/>
      <c r="J25" s="1025"/>
      <c r="K25" s="1025"/>
      <c r="L25" s="1025"/>
      <c r="M25" s="1025"/>
      <c r="N25" s="1025"/>
      <c r="O25" s="1025"/>
    </row>
    <row r="26" spans="2:15">
      <c r="B26" s="1037" t="s">
        <v>2028</v>
      </c>
      <c r="C26" s="1043">
        <f>SUM(C27:C28)</f>
        <v>6.3316261213346103E-2</v>
      </c>
      <c r="D26" s="1025"/>
      <c r="E26" s="1025"/>
      <c r="F26" s="1025"/>
      <c r="G26" s="1025"/>
      <c r="H26" s="1025"/>
      <c r="I26" s="1025"/>
      <c r="J26" s="1025"/>
      <c r="K26" s="1025"/>
      <c r="L26" s="1025"/>
      <c r="M26" s="1025"/>
      <c r="N26" s="1025"/>
      <c r="O26" s="1025"/>
    </row>
    <row r="27" spans="2:15">
      <c r="B27" s="1039" t="s">
        <v>2029</v>
      </c>
      <c r="C27" s="1040">
        <v>6.3316261213346103E-2</v>
      </c>
      <c r="D27" s="1025"/>
      <c r="E27" s="1025"/>
      <c r="F27" s="1025"/>
      <c r="G27" s="1025"/>
      <c r="H27" s="1025"/>
      <c r="I27" s="1025"/>
      <c r="J27" s="1025"/>
      <c r="K27" s="1025"/>
      <c r="L27" s="1025"/>
      <c r="M27" s="1025"/>
      <c r="N27" s="1025"/>
      <c r="O27" s="1025"/>
    </row>
    <row r="28" spans="2:15">
      <c r="B28" s="1039" t="s">
        <v>2030</v>
      </c>
      <c r="C28" s="1040">
        <v>0</v>
      </c>
      <c r="D28" s="1025"/>
      <c r="E28" s="1025"/>
      <c r="F28" s="1025"/>
      <c r="G28" s="1025"/>
      <c r="H28" s="1025"/>
      <c r="I28" s="1025"/>
      <c r="J28" s="1025"/>
      <c r="K28" s="1025"/>
      <c r="L28" s="1025"/>
      <c r="M28" s="1025"/>
      <c r="N28" s="1025"/>
      <c r="O28" s="1025"/>
    </row>
    <row r="29" spans="2:15">
      <c r="B29" s="1037" t="s">
        <v>2031</v>
      </c>
      <c r="C29" s="1038">
        <v>0</v>
      </c>
      <c r="D29" s="1025"/>
      <c r="E29" s="1025"/>
      <c r="F29" s="1025"/>
      <c r="G29" s="1025"/>
      <c r="H29" s="1025"/>
      <c r="I29" s="1025"/>
      <c r="J29" s="1025"/>
      <c r="K29" s="1025"/>
      <c r="L29" s="1025"/>
      <c r="M29" s="1025"/>
      <c r="N29" s="1025"/>
      <c r="O29" s="1025"/>
    </row>
    <row r="30" spans="2:15">
      <c r="B30" s="1037" t="s">
        <v>2032</v>
      </c>
      <c r="C30" s="1038">
        <v>0.10304550163874171</v>
      </c>
      <c r="D30" s="1025"/>
      <c r="E30" s="1025"/>
      <c r="F30" s="1025"/>
      <c r="G30" s="1025"/>
      <c r="H30" s="1025"/>
      <c r="I30" s="1025"/>
      <c r="J30" s="1025"/>
      <c r="K30" s="1025"/>
      <c r="L30" s="1025"/>
      <c r="M30" s="1025"/>
      <c r="N30" s="1025"/>
      <c r="O30" s="1025"/>
    </row>
    <row r="31" spans="2:15">
      <c r="B31" s="1037" t="s">
        <v>2033</v>
      </c>
      <c r="C31" s="1038">
        <v>8.9900383787907927E-3</v>
      </c>
      <c r="D31" s="1025"/>
      <c r="E31" s="1025"/>
      <c r="F31" s="1025"/>
      <c r="G31" s="1025"/>
      <c r="H31" s="1025"/>
      <c r="I31" s="1025"/>
      <c r="J31" s="1025"/>
      <c r="K31" s="1025"/>
      <c r="L31" s="1025"/>
      <c r="M31" s="1025"/>
      <c r="N31" s="1025"/>
      <c r="O31" s="1025"/>
    </row>
    <row r="32" spans="2:15" ht="12.75" thickBot="1">
      <c r="B32" s="1041" t="s">
        <v>2034</v>
      </c>
      <c r="C32" s="1042">
        <v>8.9900383787907916E-4</v>
      </c>
      <c r="D32" s="1025"/>
      <c r="E32" s="1025"/>
      <c r="F32" s="1025"/>
      <c r="G32" s="1025"/>
      <c r="H32" s="1025"/>
      <c r="I32" s="1025"/>
      <c r="J32" s="1025"/>
      <c r="K32" s="1025"/>
      <c r="L32" s="1025"/>
      <c r="M32" s="1025"/>
      <c r="N32" s="1025"/>
      <c r="O32" s="1025"/>
    </row>
    <row r="33" spans="1:15" ht="12.75" thickBot="1">
      <c r="B33" s="1033" t="s">
        <v>794</v>
      </c>
      <c r="C33" s="1034">
        <v>0.14001984774966658</v>
      </c>
      <c r="D33" s="1025"/>
      <c r="E33" s="1025"/>
      <c r="F33" s="1025"/>
      <c r="G33" s="1025"/>
      <c r="H33" s="1025"/>
      <c r="I33" s="1025"/>
      <c r="J33" s="1025"/>
      <c r="K33" s="1025"/>
      <c r="L33" s="1025"/>
      <c r="M33" s="1025"/>
      <c r="N33" s="1025"/>
      <c r="O33" s="1025"/>
    </row>
    <row r="34" spans="1:15">
      <c r="B34" s="1035" t="s">
        <v>2035</v>
      </c>
      <c r="C34" s="1036">
        <v>3.528590063675386E-2</v>
      </c>
      <c r="D34" s="1025"/>
      <c r="E34" s="1025"/>
      <c r="F34" s="1025"/>
      <c r="G34" s="1025"/>
      <c r="H34" s="1025"/>
      <c r="I34" s="1025"/>
      <c r="J34" s="1025"/>
      <c r="K34" s="1025"/>
      <c r="L34" s="1025"/>
      <c r="M34" s="1025"/>
      <c r="N34" s="1025"/>
      <c r="O34" s="1025"/>
    </row>
    <row r="35" spans="1:15">
      <c r="B35" s="1037" t="s">
        <v>2036</v>
      </c>
      <c r="C35" s="1038">
        <v>3.8207663109860865E-3</v>
      </c>
      <c r="D35" s="1025"/>
      <c r="E35" s="1025"/>
      <c r="F35" s="1025"/>
      <c r="G35" s="1025"/>
      <c r="H35" s="1025"/>
      <c r="I35" s="1025"/>
      <c r="J35" s="1025"/>
      <c r="K35" s="1025"/>
      <c r="L35" s="1025"/>
      <c r="M35" s="1025"/>
      <c r="N35" s="1025"/>
      <c r="O35" s="1025"/>
    </row>
    <row r="36" spans="1:15" ht="12.75" thickBot="1">
      <c r="B36" s="1041" t="s">
        <v>2037</v>
      </c>
      <c r="C36" s="1042">
        <v>0.10091318080192664</v>
      </c>
      <c r="D36" s="1025"/>
      <c r="E36" s="1044"/>
      <c r="F36" s="1044"/>
      <c r="G36" s="1025"/>
      <c r="H36" s="1025"/>
      <c r="I36" s="1025"/>
      <c r="J36" s="1025"/>
      <c r="K36" s="1025"/>
      <c r="L36" s="1025"/>
      <c r="M36" s="1025"/>
      <c r="N36" s="1025"/>
      <c r="O36" s="1025"/>
    </row>
    <row r="37" spans="1:15" ht="12.75" thickBot="1">
      <c r="B37" s="1033" t="s">
        <v>2038</v>
      </c>
      <c r="C37" s="1034">
        <v>1.6856321960232734E-2</v>
      </c>
      <c r="D37" s="1025"/>
      <c r="E37" s="1044"/>
      <c r="F37" s="1044"/>
      <c r="G37" s="1025"/>
      <c r="H37" s="1025"/>
      <c r="I37" s="1025"/>
      <c r="J37" s="1025"/>
      <c r="K37" s="1025"/>
      <c r="L37" s="1025"/>
      <c r="M37" s="1025"/>
      <c r="N37" s="1025"/>
      <c r="O37" s="1025"/>
    </row>
    <row r="38" spans="1:15" ht="12.75" thickBot="1">
      <c r="B38" s="1033" t="s">
        <v>2039</v>
      </c>
      <c r="C38" s="1034">
        <v>100</v>
      </c>
      <c r="D38" s="1025"/>
      <c r="E38" s="1044"/>
      <c r="F38" s="1044"/>
      <c r="G38" s="1025"/>
      <c r="H38" s="1025"/>
      <c r="I38" s="1025"/>
      <c r="J38" s="1025"/>
      <c r="K38" s="1025"/>
      <c r="L38" s="1025"/>
      <c r="M38" s="1025"/>
      <c r="N38" s="1025"/>
      <c r="O38" s="1025"/>
    </row>
    <row r="39" spans="1:15" ht="12.75" thickBot="1">
      <c r="B39" s="1033" t="s">
        <v>2040</v>
      </c>
      <c r="C39" s="1034">
        <v>0</v>
      </c>
      <c r="D39" s="1025"/>
      <c r="E39" s="1044"/>
      <c r="F39" s="1044"/>
      <c r="G39" s="1025"/>
      <c r="H39" s="1025"/>
      <c r="I39" s="1025"/>
      <c r="J39" s="1025"/>
      <c r="K39" s="1025"/>
      <c r="L39" s="1025"/>
      <c r="M39" s="1025"/>
      <c r="N39" s="1025"/>
      <c r="O39" s="1025"/>
    </row>
    <row r="40" spans="1:15" ht="12.75" hidden="1" outlineLevel="1" thickBot="1">
      <c r="B40" s="1035" t="s">
        <v>2041</v>
      </c>
      <c r="C40" s="1036">
        <v>0</v>
      </c>
      <c r="D40" s="1025"/>
      <c r="E40" s="1044"/>
      <c r="F40" s="1044"/>
      <c r="G40" s="1025"/>
      <c r="H40" s="1025"/>
      <c r="I40" s="1025"/>
      <c r="J40" s="1025"/>
      <c r="K40" s="1025"/>
      <c r="L40" s="1025"/>
      <c r="M40" s="1025"/>
      <c r="N40" s="1025"/>
      <c r="O40" s="1025"/>
    </row>
    <row r="41" spans="1:15" ht="12.75" hidden="1" outlineLevel="1" thickBot="1">
      <c r="A41" s="1044"/>
      <c r="B41" s="1035" t="s">
        <v>2042</v>
      </c>
      <c r="C41" s="1036">
        <v>0</v>
      </c>
      <c r="D41" s="1044"/>
      <c r="E41" s="1044"/>
      <c r="F41" s="1044"/>
      <c r="G41" s="1025"/>
      <c r="H41" s="1025"/>
      <c r="I41" s="1025"/>
      <c r="J41" s="1025"/>
      <c r="K41" s="1025"/>
      <c r="L41" s="1025"/>
      <c r="M41" s="1025"/>
      <c r="N41" s="1025"/>
      <c r="O41" s="1025"/>
    </row>
    <row r="42" spans="1:15" ht="12.75" hidden="1" outlineLevel="1" thickBot="1">
      <c r="A42" s="1044"/>
      <c r="B42" s="1035" t="s">
        <v>2043</v>
      </c>
      <c r="C42" s="1036">
        <v>0</v>
      </c>
      <c r="D42" s="1044"/>
      <c r="E42" s="1044"/>
      <c r="F42" s="1044"/>
      <c r="G42" s="1025"/>
      <c r="H42" s="1025"/>
      <c r="I42" s="1025"/>
      <c r="J42" s="1025"/>
      <c r="K42" s="1025"/>
      <c r="L42" s="1025"/>
      <c r="M42" s="1025"/>
      <c r="N42" s="1025"/>
      <c r="O42" s="1025"/>
    </row>
    <row r="43" spans="1:15" ht="12.75" hidden="1" outlineLevel="1" thickBot="1">
      <c r="B43" s="1035" t="s">
        <v>2044</v>
      </c>
      <c r="C43" s="1036">
        <v>0</v>
      </c>
      <c r="D43" s="1025"/>
      <c r="E43" s="1044"/>
      <c r="F43" s="1044"/>
      <c r="G43" s="1025"/>
      <c r="H43" s="1025"/>
      <c r="I43" s="1025"/>
      <c r="J43" s="1025"/>
      <c r="K43" s="1025"/>
      <c r="L43" s="1025"/>
      <c r="M43" s="1025"/>
      <c r="N43" s="1025"/>
      <c r="O43" s="1025"/>
    </row>
    <row r="44" spans="1:15" ht="12.75" hidden="1" outlineLevel="1" thickBot="1">
      <c r="B44" s="1035" t="s">
        <v>2045</v>
      </c>
      <c r="C44" s="1036">
        <v>0</v>
      </c>
      <c r="E44" s="1044"/>
      <c r="F44" s="1044"/>
      <c r="G44" s="1025"/>
      <c r="H44" s="1025"/>
      <c r="I44" s="1025"/>
      <c r="J44" s="1025"/>
      <c r="K44" s="1025"/>
      <c r="L44" s="1025"/>
      <c r="M44" s="1025"/>
      <c r="N44" s="1025"/>
      <c r="O44" s="1025"/>
    </row>
    <row r="45" spans="1:15" ht="12.75" hidden="1" outlineLevel="1" thickBot="1">
      <c r="B45" s="1035" t="s">
        <v>2046</v>
      </c>
      <c r="C45" s="1036">
        <v>0</v>
      </c>
      <c r="E45" s="1044"/>
      <c r="F45" s="1044"/>
      <c r="G45" s="1025"/>
      <c r="H45" s="1025"/>
      <c r="I45" s="1025"/>
      <c r="J45" s="1025"/>
      <c r="K45" s="1025"/>
      <c r="L45" s="1025"/>
      <c r="M45" s="1025"/>
      <c r="N45" s="1025"/>
      <c r="O45" s="1025"/>
    </row>
    <row r="46" spans="1:15" ht="12.75" hidden="1" outlineLevel="1" thickBot="1">
      <c r="B46" s="1035" t="s">
        <v>2047</v>
      </c>
      <c r="C46" s="1036">
        <v>0</v>
      </c>
      <c r="E46" s="1044"/>
      <c r="F46" s="1044"/>
      <c r="G46" s="1025"/>
      <c r="H46" s="1025"/>
      <c r="I46" s="1025"/>
      <c r="J46" s="1025"/>
      <c r="K46" s="1025"/>
      <c r="L46" s="1025"/>
      <c r="M46" s="1025"/>
      <c r="N46" s="1025"/>
      <c r="O46" s="1025"/>
    </row>
    <row r="47" spans="1:15" ht="12.75" hidden="1" outlineLevel="1" thickBot="1">
      <c r="B47" s="1035" t="s">
        <v>2048</v>
      </c>
      <c r="C47" s="1036">
        <v>0</v>
      </c>
      <c r="E47" s="1044"/>
      <c r="F47" s="1044"/>
      <c r="G47" s="1025"/>
      <c r="H47" s="1025"/>
      <c r="I47" s="1025"/>
      <c r="J47" s="1025"/>
      <c r="K47" s="1025"/>
      <c r="L47" s="1025"/>
      <c r="M47" s="1025"/>
      <c r="N47" s="1025"/>
      <c r="O47" s="1025"/>
    </row>
    <row r="48" spans="1:15" ht="12.75" hidden="1" outlineLevel="1" thickBot="1">
      <c r="B48" s="1035" t="s">
        <v>2049</v>
      </c>
      <c r="C48" s="1036">
        <v>0</v>
      </c>
      <c r="E48" s="1044"/>
      <c r="F48" s="1044"/>
      <c r="G48" s="1025"/>
      <c r="H48" s="1025"/>
      <c r="I48" s="1025"/>
      <c r="J48" s="1025"/>
      <c r="K48" s="1025"/>
      <c r="L48" s="1025"/>
      <c r="M48" s="1025"/>
      <c r="N48" s="1025"/>
      <c r="O48" s="1025"/>
    </row>
    <row r="49" spans="2:15" ht="12.75" hidden="1" outlineLevel="1" thickBot="1">
      <c r="B49" s="1035" t="s">
        <v>2050</v>
      </c>
      <c r="C49" s="1036">
        <v>0</v>
      </c>
      <c r="E49" s="1044"/>
      <c r="F49" s="1044"/>
      <c r="G49" s="1025"/>
      <c r="H49" s="1025"/>
      <c r="I49" s="1025"/>
      <c r="J49" s="1025"/>
      <c r="K49" s="1025"/>
      <c r="L49" s="1025"/>
      <c r="M49" s="1025"/>
      <c r="N49" s="1025"/>
      <c r="O49" s="1025"/>
    </row>
    <row r="50" spans="2:15" ht="12.75" collapsed="1" thickBot="1">
      <c r="B50" s="1033" t="s">
        <v>390</v>
      </c>
      <c r="C50" s="1034">
        <f>SUM(C38:C39)</f>
        <v>100</v>
      </c>
      <c r="E50" s="1044"/>
      <c r="F50" s="1044"/>
      <c r="G50" s="1025"/>
      <c r="H50" s="1025"/>
      <c r="I50" s="1025"/>
      <c r="J50" s="1025"/>
      <c r="K50" s="1025"/>
      <c r="L50" s="1025"/>
      <c r="M50" s="1025"/>
      <c r="N50" s="1025"/>
      <c r="O50" s="1025"/>
    </row>
    <row r="51" spans="2:15">
      <c r="B51" s="1044"/>
      <c r="C51" s="1044"/>
      <c r="D51" s="1044"/>
      <c r="E51" s="1044"/>
      <c r="F51" s="1044"/>
      <c r="G51" s="1025"/>
      <c r="H51" s="1025"/>
      <c r="I51" s="1025"/>
      <c r="J51" s="1025"/>
      <c r="K51" s="1025"/>
      <c r="L51" s="1025"/>
      <c r="M51" s="1025"/>
      <c r="N51" s="1025"/>
      <c r="O51" s="1025"/>
    </row>
    <row r="52" spans="2:15">
      <c r="B52" s="1044"/>
      <c r="C52" s="1045"/>
      <c r="D52" s="1046" t="s">
        <v>2051</v>
      </c>
      <c r="E52" s="1047"/>
      <c r="F52" s="1048"/>
      <c r="G52" s="1025"/>
      <c r="H52" s="1025"/>
      <c r="I52" s="1025"/>
      <c r="J52" s="1025"/>
      <c r="K52" s="1025"/>
      <c r="L52" s="1025"/>
      <c r="M52" s="1025"/>
      <c r="N52" s="1025"/>
      <c r="O52" s="1025"/>
    </row>
    <row r="53" spans="2:15">
      <c r="C53" s="1025"/>
      <c r="D53" s="1025"/>
      <c r="E53" s="1025"/>
      <c r="F53" s="1025"/>
      <c r="G53" s="1025"/>
      <c r="H53" s="1025"/>
      <c r="I53" s="1025"/>
      <c r="J53" s="1025"/>
      <c r="K53" s="1025"/>
      <c r="L53" s="1025"/>
      <c r="M53" s="1025"/>
      <c r="N53" s="1025"/>
      <c r="O53" s="1025"/>
    </row>
    <row r="54" spans="2:15">
      <c r="B54" s="1025" t="s">
        <v>2052</v>
      </c>
      <c r="C54" s="1025"/>
      <c r="D54" s="1025"/>
      <c r="E54" s="1025"/>
      <c r="F54" s="1025"/>
      <c r="G54" s="1025"/>
      <c r="H54" s="1025"/>
      <c r="I54" s="1025"/>
      <c r="J54" s="1025"/>
      <c r="K54" s="1025"/>
      <c r="L54" s="1025"/>
      <c r="M54" s="1025"/>
      <c r="N54" s="1025"/>
      <c r="O54" s="1025"/>
    </row>
    <row r="55" spans="2:15">
      <c r="B55" s="1025"/>
      <c r="C55" s="1025"/>
      <c r="D55" s="1025"/>
      <c r="E55" s="1025"/>
      <c r="F55" s="1025"/>
      <c r="G55" s="1025"/>
      <c r="H55" s="1025"/>
      <c r="I55" s="1025"/>
      <c r="J55" s="1025"/>
      <c r="K55" s="1025"/>
      <c r="L55" s="1025"/>
      <c r="M55" s="1025"/>
      <c r="N55" s="1025"/>
      <c r="O55" s="1025"/>
    </row>
    <row r="56" spans="2:15">
      <c r="B56" s="1025" t="s">
        <v>2053</v>
      </c>
      <c r="C56" s="1025" t="s">
        <v>2054</v>
      </c>
      <c r="D56" s="1025"/>
      <c r="E56" s="1025"/>
      <c r="F56" s="1025"/>
      <c r="G56" s="1025"/>
      <c r="H56" s="1025"/>
      <c r="I56" s="1025"/>
      <c r="J56" s="1025"/>
      <c r="K56" s="1025"/>
      <c r="L56" s="1025"/>
      <c r="M56" s="1025"/>
      <c r="N56" s="1025"/>
      <c r="O56" s="1025"/>
    </row>
    <row r="57" spans="2:15">
      <c r="B57" s="1025"/>
      <c r="C57" s="1025"/>
      <c r="D57" s="1025"/>
      <c r="E57" s="1025"/>
      <c r="F57" s="1025"/>
      <c r="G57" s="1025"/>
      <c r="H57" s="1025"/>
      <c r="I57" s="1025"/>
      <c r="J57" s="1025"/>
      <c r="K57" s="1025"/>
      <c r="L57" s="1025"/>
      <c r="M57" s="1025"/>
      <c r="N57" s="1025"/>
      <c r="O57" s="1025"/>
    </row>
    <row r="58" spans="2:15">
      <c r="B58" s="1025"/>
      <c r="C58" s="1025"/>
      <c r="D58" s="1025"/>
      <c r="E58" s="1025"/>
      <c r="F58" s="1025"/>
      <c r="G58" s="1025"/>
      <c r="H58" s="1025"/>
      <c r="I58" s="1025"/>
      <c r="J58" s="1025"/>
      <c r="K58" s="1025"/>
      <c r="L58" s="1025"/>
      <c r="M58" s="1025"/>
      <c r="N58" s="1025"/>
      <c r="O58" s="1025"/>
    </row>
    <row r="59" spans="2:15">
      <c r="B59" s="1025"/>
      <c r="C59" s="1025"/>
      <c r="D59" s="1025"/>
      <c r="E59" s="1025"/>
      <c r="F59" s="1025"/>
      <c r="G59" s="1025"/>
      <c r="H59" s="1025"/>
      <c r="I59" s="1025"/>
      <c r="J59" s="1025"/>
      <c r="K59" s="1025"/>
      <c r="L59" s="1025"/>
      <c r="M59" s="1025"/>
      <c r="N59" s="1025"/>
      <c r="O59" s="1025"/>
    </row>
    <row r="60" spans="2:15">
      <c r="B60" s="1025"/>
      <c r="C60" s="1025"/>
      <c r="D60" s="1025"/>
      <c r="E60" s="1025"/>
      <c r="F60" s="1025"/>
      <c r="G60" s="1025"/>
      <c r="H60" s="1025"/>
      <c r="I60" s="1025"/>
      <c r="J60" s="1025"/>
      <c r="K60" s="1025"/>
      <c r="L60" s="1025"/>
      <c r="M60" s="1025"/>
      <c r="N60" s="1025"/>
      <c r="O60" s="1025"/>
    </row>
    <row r="61" spans="2:15">
      <c r="B61" s="1025"/>
      <c r="C61" s="1025"/>
      <c r="D61" s="1025"/>
      <c r="E61" s="1025"/>
      <c r="F61" s="1025"/>
      <c r="G61" s="1025"/>
      <c r="H61" s="1025"/>
      <c r="I61" s="1025"/>
      <c r="J61" s="1025"/>
      <c r="K61" s="1025"/>
      <c r="L61" s="1025"/>
      <c r="M61" s="1025"/>
      <c r="N61" s="1025"/>
      <c r="O61" s="1025"/>
    </row>
    <row r="62" spans="2:15">
      <c r="O62" s="1025"/>
    </row>
  </sheetData>
  <conditionalFormatting sqref="C9:C10 C12:C14">
    <cfRule type="cellIs" dxfId="7" priority="1" operator="equal">
      <formula>0</formula>
    </cfRule>
  </conditionalFormatting>
  <pageMargins left="0.78740157499999996" right="0.78740157499999996" top="0.984251969" bottom="0.984251969" header="0.4921259845" footer="0.4921259845"/>
  <pageSetup paperSize="9" fitToHeight="0" orientation="portrait" r:id="rId1"/>
  <headerFooter alignWithMargins="0">
    <oddHeader>&amp;L&amp;A&amp;CESU-services Ltd.&amp;R&amp;D</oddHeader>
    <oddFooter>&amp;L&amp;Z&amp;F</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9"/>
  <sheetViews>
    <sheetView zoomScale="80" zoomScaleNormal="80" workbookViewId="0">
      <selection activeCell="L67" sqref="L67"/>
    </sheetView>
  </sheetViews>
  <sheetFormatPr defaultColWidth="11.42578125" defaultRowHeight="12" outlineLevelRow="1"/>
  <cols>
    <col min="1" max="1" width="2.7109375" style="1025" customWidth="1"/>
    <col min="2" max="2" width="29.140625" style="1032" customWidth="1"/>
    <col min="3" max="6" width="12.85546875" style="1032" customWidth="1"/>
    <col min="7" max="16384" width="11.42578125" style="1032"/>
  </cols>
  <sheetData>
    <row r="1" spans="1:14" s="1025" customFormat="1" ht="12.75" thickBot="1"/>
    <row r="2" spans="1:14" s="1029" customFormat="1" ht="12.75" thickBot="1">
      <c r="A2" s="1026"/>
      <c r="B2" s="1027" t="s">
        <v>2061</v>
      </c>
      <c r="C2" s="1028" t="s">
        <v>2006</v>
      </c>
      <c r="D2" s="1026"/>
      <c r="E2" s="1026"/>
      <c r="F2" s="1026"/>
      <c r="G2" s="1026"/>
      <c r="H2" s="1026"/>
      <c r="I2" s="1026"/>
      <c r="J2" s="1026"/>
      <c r="K2" s="1026"/>
      <c r="L2" s="1026"/>
      <c r="M2" s="1026"/>
      <c r="N2" s="1026"/>
    </row>
    <row r="3" spans="1:14" ht="12.75" thickBot="1">
      <c r="B3" s="1030"/>
      <c r="C3" s="1031" t="s">
        <v>403</v>
      </c>
      <c r="D3" s="1025"/>
      <c r="E3" s="1025"/>
      <c r="F3" s="1025"/>
      <c r="G3" s="1025"/>
      <c r="H3" s="1025"/>
      <c r="I3" s="1025"/>
      <c r="J3" s="1025"/>
      <c r="K3" s="1025"/>
      <c r="L3" s="1025"/>
      <c r="M3" s="1025"/>
      <c r="N3" s="1025"/>
    </row>
    <row r="4" spans="1:14" ht="12.75" thickBot="1">
      <c r="B4" s="1033" t="s">
        <v>2007</v>
      </c>
      <c r="C4" s="1034">
        <v>77.345037396000976</v>
      </c>
      <c r="D4" s="1025"/>
      <c r="E4" s="1025"/>
      <c r="F4" s="1025"/>
      <c r="G4" s="1025"/>
      <c r="H4" s="1025"/>
      <c r="I4" s="1025"/>
      <c r="J4" s="1025"/>
      <c r="K4" s="1025"/>
      <c r="L4" s="1025"/>
      <c r="M4" s="1025"/>
      <c r="N4" s="1025"/>
    </row>
    <row r="5" spans="1:14">
      <c r="B5" s="1035" t="s">
        <v>1718</v>
      </c>
      <c r="C5" s="1036">
        <v>46.820725930520553</v>
      </c>
      <c r="D5" s="1025"/>
      <c r="E5" s="1025"/>
      <c r="F5" s="1025"/>
      <c r="G5" s="1025"/>
      <c r="H5" s="1025"/>
      <c r="I5" s="1025"/>
      <c r="J5" s="1025"/>
      <c r="K5" s="1025"/>
      <c r="L5" s="1025"/>
      <c r="M5" s="1025"/>
      <c r="N5" s="1025"/>
    </row>
    <row r="6" spans="1:14">
      <c r="B6" s="1037" t="s">
        <v>2008</v>
      </c>
      <c r="C6" s="1038">
        <v>4.4291565065536487</v>
      </c>
      <c r="D6" s="1025"/>
      <c r="E6" s="1025"/>
      <c r="F6" s="1025"/>
      <c r="G6" s="1025"/>
      <c r="H6" s="1025"/>
      <c r="I6" s="1025"/>
      <c r="J6" s="1025"/>
      <c r="K6" s="1025"/>
      <c r="L6" s="1025"/>
      <c r="M6" s="1025"/>
      <c r="N6" s="1025"/>
    </row>
    <row r="7" spans="1:14">
      <c r="B7" s="1037" t="s">
        <v>2009</v>
      </c>
      <c r="C7" s="1038">
        <v>0</v>
      </c>
      <c r="D7" s="1025"/>
      <c r="E7" s="1025"/>
      <c r="F7" s="1025"/>
      <c r="G7" s="1025"/>
      <c r="H7" s="1025"/>
      <c r="I7" s="1025"/>
      <c r="J7" s="1025"/>
      <c r="K7" s="1025"/>
      <c r="L7" s="1025"/>
      <c r="M7" s="1025"/>
      <c r="N7" s="1025"/>
    </row>
    <row r="8" spans="1:14">
      <c r="B8" s="1037" t="s">
        <v>2010</v>
      </c>
      <c r="C8" s="1038">
        <v>0.85416470728457028</v>
      </c>
      <c r="D8" s="1025"/>
      <c r="E8" s="1025"/>
      <c r="F8" s="1025"/>
      <c r="G8" s="1025"/>
      <c r="H8" s="1025"/>
      <c r="I8" s="1025"/>
      <c r="J8" s="1025"/>
      <c r="K8" s="1025"/>
      <c r="L8" s="1025"/>
      <c r="M8" s="1025"/>
      <c r="N8" s="1025"/>
    </row>
    <row r="9" spans="1:14">
      <c r="B9" s="1039" t="s">
        <v>2011</v>
      </c>
      <c r="C9" s="1040">
        <v>0</v>
      </c>
      <c r="D9" s="1025"/>
      <c r="E9" s="1025"/>
      <c r="F9" s="1025"/>
      <c r="G9" s="1025"/>
      <c r="H9" s="1025"/>
      <c r="I9" s="1025"/>
      <c r="J9" s="1025"/>
      <c r="K9" s="1025"/>
      <c r="L9" s="1025"/>
      <c r="M9" s="1025"/>
      <c r="N9" s="1025"/>
    </row>
    <row r="10" spans="1:14">
      <c r="B10" s="1039" t="s">
        <v>2012</v>
      </c>
      <c r="C10" s="1040">
        <v>0</v>
      </c>
      <c r="D10" s="1025"/>
      <c r="E10" s="1025"/>
      <c r="F10" s="1025"/>
      <c r="G10" s="1025"/>
      <c r="H10" s="1025"/>
      <c r="I10" s="1025"/>
      <c r="J10" s="1025"/>
      <c r="K10" s="1025"/>
      <c r="L10" s="1025"/>
      <c r="M10" s="1025"/>
      <c r="N10" s="1025"/>
    </row>
    <row r="11" spans="1:14">
      <c r="B11" s="1037" t="s">
        <v>2013</v>
      </c>
      <c r="C11" s="1038">
        <v>5.93827222414376</v>
      </c>
      <c r="D11" s="1025"/>
      <c r="E11" s="1025"/>
      <c r="F11" s="1025"/>
      <c r="G11" s="1025"/>
      <c r="H11" s="1025"/>
      <c r="I11" s="1025"/>
      <c r="J11" s="1025"/>
      <c r="K11" s="1025"/>
      <c r="L11" s="1025"/>
      <c r="M11" s="1025"/>
      <c r="N11" s="1025"/>
    </row>
    <row r="12" spans="1:14">
      <c r="B12" s="1039" t="s">
        <v>2014</v>
      </c>
      <c r="C12" s="1040">
        <v>0</v>
      </c>
      <c r="D12" s="1025"/>
      <c r="E12" s="1025"/>
      <c r="F12" s="1025"/>
      <c r="G12" s="1025"/>
      <c r="H12" s="1025"/>
      <c r="I12" s="1025"/>
      <c r="J12" s="1025"/>
      <c r="K12" s="1025"/>
      <c r="L12" s="1025"/>
      <c r="M12" s="1025"/>
      <c r="N12" s="1025"/>
    </row>
    <row r="13" spans="1:14">
      <c r="B13" s="1039" t="s">
        <v>2015</v>
      </c>
      <c r="C13" s="1040">
        <v>0</v>
      </c>
      <c r="D13" s="1025"/>
      <c r="E13" s="1025"/>
      <c r="F13" s="1025"/>
      <c r="G13" s="1025"/>
      <c r="H13" s="1025"/>
      <c r="I13" s="1025"/>
      <c r="J13" s="1025"/>
      <c r="K13" s="1025"/>
      <c r="L13" s="1025"/>
      <c r="M13" s="1025"/>
      <c r="N13" s="1025"/>
    </row>
    <row r="14" spans="1:14">
      <c r="B14" s="1039" t="s">
        <v>2016</v>
      </c>
      <c r="C14" s="1040">
        <v>0</v>
      </c>
      <c r="D14" s="1025"/>
      <c r="E14" s="1025"/>
      <c r="F14" s="1025"/>
      <c r="G14" s="1025"/>
      <c r="H14" s="1025"/>
      <c r="I14" s="1025"/>
      <c r="J14" s="1025"/>
      <c r="K14" s="1025"/>
      <c r="L14" s="1025"/>
      <c r="M14" s="1025"/>
      <c r="N14" s="1025"/>
    </row>
    <row r="15" spans="1:14">
      <c r="B15" s="1037" t="s">
        <v>2017</v>
      </c>
      <c r="C15" s="1038">
        <v>19.302718027498454</v>
      </c>
      <c r="D15" s="1025"/>
      <c r="E15" s="1025"/>
      <c r="F15" s="1025"/>
      <c r="G15" s="1025"/>
      <c r="H15" s="1025"/>
      <c r="I15" s="1025"/>
      <c r="J15" s="1025"/>
      <c r="K15" s="1025"/>
      <c r="L15" s="1025"/>
      <c r="M15" s="1025"/>
      <c r="N15" s="1025"/>
    </row>
    <row r="16" spans="1:14" ht="12.75" thickBot="1">
      <c r="B16" s="1041" t="s">
        <v>2018</v>
      </c>
      <c r="C16" s="1042">
        <v>0</v>
      </c>
      <c r="D16" s="1025"/>
      <c r="E16" s="1025"/>
      <c r="F16" s="1025"/>
      <c r="G16" s="1025"/>
      <c r="H16" s="1025"/>
      <c r="I16" s="1025"/>
      <c r="J16" s="1025"/>
      <c r="K16" s="1025"/>
      <c r="L16" s="1025"/>
      <c r="M16" s="1025"/>
      <c r="N16" s="1025"/>
    </row>
    <row r="17" spans="2:14" ht="12.75" thickBot="1">
      <c r="B17" s="1033" t="s">
        <v>2019</v>
      </c>
      <c r="C17" s="1034">
        <v>3.4948790598926451</v>
      </c>
      <c r="D17" s="1025"/>
      <c r="E17" s="1025"/>
      <c r="F17" s="1025"/>
      <c r="G17" s="1025"/>
      <c r="H17" s="1025"/>
      <c r="I17" s="1025"/>
      <c r="J17" s="1025"/>
      <c r="K17" s="1025"/>
      <c r="L17" s="1025"/>
      <c r="M17" s="1025"/>
      <c r="N17" s="1025"/>
    </row>
    <row r="18" spans="2:14">
      <c r="B18" s="1035" t="s">
        <v>2020</v>
      </c>
      <c r="C18" s="1036">
        <v>0</v>
      </c>
      <c r="D18" s="1025"/>
      <c r="E18" s="1025"/>
      <c r="F18" s="1025"/>
      <c r="G18" s="1025"/>
      <c r="H18" s="1025"/>
      <c r="I18" s="1025"/>
      <c r="J18" s="1025"/>
      <c r="K18" s="1025"/>
      <c r="L18" s="1025"/>
      <c r="M18" s="1025"/>
      <c r="N18" s="1025"/>
    </row>
    <row r="19" spans="2:14">
      <c r="B19" s="1037" t="s">
        <v>2021</v>
      </c>
      <c r="C19" s="1038">
        <v>3.4948790598926451</v>
      </c>
      <c r="D19" s="1025"/>
      <c r="E19" s="1025"/>
      <c r="F19" s="1025"/>
      <c r="G19" s="1025"/>
      <c r="H19" s="1025"/>
      <c r="I19" s="1025"/>
      <c r="J19" s="1025"/>
      <c r="K19" s="1025"/>
      <c r="L19" s="1025"/>
      <c r="M19" s="1025"/>
      <c r="N19" s="1025"/>
    </row>
    <row r="20" spans="2:14" ht="12.75" thickBot="1">
      <c r="B20" s="1041" t="s">
        <v>2022</v>
      </c>
      <c r="C20" s="1042">
        <v>0</v>
      </c>
      <c r="D20" s="1025"/>
      <c r="E20" s="1025"/>
      <c r="F20" s="1025"/>
      <c r="G20" s="1025"/>
      <c r="H20" s="1025"/>
      <c r="I20" s="1025"/>
      <c r="J20" s="1025"/>
      <c r="K20" s="1025"/>
      <c r="L20" s="1025"/>
      <c r="M20" s="1025"/>
      <c r="N20" s="1025"/>
    </row>
    <row r="21" spans="2:14" ht="12.75" thickBot="1">
      <c r="B21" s="1033" t="s">
        <v>2023</v>
      </c>
      <c r="C21" s="1034">
        <v>17.431689740371134</v>
      </c>
      <c r="D21" s="1025"/>
      <c r="E21" s="1025"/>
      <c r="F21" s="1025"/>
      <c r="G21" s="1025"/>
      <c r="H21" s="1025"/>
      <c r="I21" s="1025"/>
      <c r="J21" s="1025"/>
      <c r="K21" s="1025"/>
      <c r="L21" s="1025"/>
      <c r="M21" s="1025"/>
      <c r="N21" s="1025"/>
    </row>
    <row r="22" spans="2:14">
      <c r="B22" s="1035" t="s">
        <v>2024</v>
      </c>
      <c r="C22" s="1036">
        <v>6.4415376981178749</v>
      </c>
      <c r="D22" s="1025"/>
      <c r="E22" s="1025"/>
      <c r="F22" s="1025"/>
      <c r="G22" s="1025"/>
      <c r="H22" s="1025"/>
      <c r="I22" s="1025"/>
      <c r="J22" s="1025"/>
      <c r="K22" s="1025"/>
      <c r="L22" s="1025"/>
      <c r="M22" s="1025"/>
      <c r="N22" s="1025"/>
    </row>
    <row r="23" spans="2:14" ht="12.75" thickBot="1">
      <c r="B23" s="1041" t="s">
        <v>2025</v>
      </c>
      <c r="C23" s="1042">
        <v>10.990152042253257</v>
      </c>
      <c r="D23" s="1025"/>
      <c r="E23" s="1025"/>
      <c r="F23" s="1025"/>
      <c r="G23" s="1025"/>
      <c r="H23" s="1025"/>
      <c r="I23" s="1025"/>
      <c r="J23" s="1025"/>
      <c r="K23" s="1025"/>
      <c r="L23" s="1025"/>
      <c r="M23" s="1025"/>
      <c r="N23" s="1025"/>
    </row>
    <row r="24" spans="2:14" ht="12.75" thickBot="1">
      <c r="B24" s="1033" t="s">
        <v>2026</v>
      </c>
      <c r="C24" s="1034">
        <v>0.4850732650848899</v>
      </c>
      <c r="D24" s="1025"/>
      <c r="E24" s="1025"/>
      <c r="F24" s="1025"/>
      <c r="G24" s="1025"/>
      <c r="H24" s="1025"/>
      <c r="I24" s="1025"/>
      <c r="J24" s="1025"/>
      <c r="K24" s="1025"/>
      <c r="L24" s="1025"/>
      <c r="M24" s="1025"/>
      <c r="N24" s="1025"/>
    </row>
    <row r="25" spans="2:14">
      <c r="B25" s="1035" t="s">
        <v>2027</v>
      </c>
      <c r="C25" s="1036">
        <v>0</v>
      </c>
      <c r="D25" s="1025"/>
      <c r="E25" s="1025"/>
      <c r="F25" s="1025"/>
      <c r="G25" s="1025"/>
      <c r="H25" s="1025"/>
      <c r="I25" s="1025"/>
      <c r="J25" s="1025"/>
      <c r="K25" s="1025"/>
      <c r="L25" s="1025"/>
      <c r="M25" s="1025"/>
      <c r="N25" s="1025"/>
    </row>
    <row r="26" spans="2:14">
      <c r="B26" s="1037" t="s">
        <v>2028</v>
      </c>
      <c r="C26" s="1038">
        <v>0</v>
      </c>
      <c r="D26" s="1025"/>
      <c r="E26" s="1025"/>
      <c r="F26" s="1025"/>
      <c r="G26" s="1025"/>
      <c r="H26" s="1025"/>
      <c r="I26" s="1025"/>
      <c r="J26" s="1025"/>
      <c r="K26" s="1025"/>
      <c r="L26" s="1025"/>
      <c r="M26" s="1025"/>
      <c r="N26" s="1025"/>
    </row>
    <row r="27" spans="2:14">
      <c r="B27" s="1039" t="s">
        <v>2029</v>
      </c>
      <c r="C27" s="1040">
        <v>1.7078589894306347E-3</v>
      </c>
      <c r="D27" s="1025"/>
      <c r="E27" s="1025"/>
      <c r="F27" s="1025"/>
      <c r="G27" s="1025"/>
      <c r="H27" s="1025"/>
      <c r="I27" s="1025"/>
      <c r="J27" s="1025"/>
      <c r="K27" s="1025"/>
      <c r="L27" s="1025"/>
      <c r="M27" s="1025"/>
      <c r="N27" s="1025"/>
    </row>
    <row r="28" spans="2:14">
      <c r="B28" s="1039" t="s">
        <v>2030</v>
      </c>
      <c r="C28" s="1040">
        <v>0</v>
      </c>
      <c r="D28" s="1025"/>
      <c r="E28" s="1025"/>
      <c r="F28" s="1025"/>
      <c r="G28" s="1025"/>
      <c r="H28" s="1025"/>
      <c r="I28" s="1025"/>
      <c r="J28" s="1025"/>
      <c r="K28" s="1025"/>
      <c r="L28" s="1025"/>
      <c r="M28" s="1025"/>
      <c r="N28" s="1025"/>
    </row>
    <row r="29" spans="2:14">
      <c r="B29" s="1037" t="s">
        <v>2031</v>
      </c>
      <c r="C29" s="1038">
        <v>0</v>
      </c>
      <c r="D29" s="1025"/>
      <c r="E29" s="1025"/>
      <c r="F29" s="1025"/>
      <c r="G29" s="1025"/>
      <c r="H29" s="1025"/>
      <c r="I29" s="1025"/>
      <c r="J29" s="1025"/>
      <c r="K29" s="1025"/>
      <c r="L29" s="1025"/>
      <c r="M29" s="1025"/>
      <c r="N29" s="1025"/>
    </row>
    <row r="30" spans="2:14">
      <c r="B30" s="1037" t="s">
        <v>2032</v>
      </c>
      <c r="C30" s="1038">
        <v>0.26753429382304361</v>
      </c>
      <c r="D30" s="1025"/>
      <c r="E30" s="1025"/>
      <c r="F30" s="1025"/>
      <c r="G30" s="1025"/>
      <c r="H30" s="1025"/>
      <c r="I30" s="1025"/>
      <c r="J30" s="1025"/>
      <c r="K30" s="1025"/>
      <c r="L30" s="1025"/>
      <c r="M30" s="1025"/>
      <c r="N30" s="1025"/>
    </row>
    <row r="31" spans="2:14">
      <c r="B31" s="1037" t="s">
        <v>2033</v>
      </c>
      <c r="C31" s="1038">
        <v>0.21583111227241564</v>
      </c>
      <c r="D31" s="1025"/>
      <c r="E31" s="1025"/>
      <c r="F31" s="1025"/>
      <c r="G31" s="1025"/>
      <c r="H31" s="1025"/>
      <c r="I31" s="1025"/>
      <c r="J31" s="1025"/>
      <c r="K31" s="1025"/>
      <c r="L31" s="1025"/>
      <c r="M31" s="1025"/>
      <c r="N31" s="1025"/>
    </row>
    <row r="32" spans="2:14" ht="12.75" thickBot="1">
      <c r="B32" s="1041" t="s">
        <v>2034</v>
      </c>
      <c r="C32" s="1042">
        <v>0</v>
      </c>
      <c r="D32" s="1025"/>
      <c r="E32" s="1025"/>
      <c r="F32" s="1025"/>
      <c r="G32" s="1025"/>
      <c r="H32" s="1025"/>
      <c r="I32" s="1025"/>
      <c r="J32" s="1025"/>
      <c r="K32" s="1025"/>
      <c r="L32" s="1025"/>
      <c r="M32" s="1025"/>
      <c r="N32" s="1025"/>
    </row>
    <row r="33" spans="1:14" ht="12.75" thickBot="1">
      <c r="B33" s="1033" t="s">
        <v>794</v>
      </c>
      <c r="C33" s="1034">
        <v>1.2433205386503634</v>
      </c>
      <c r="D33" s="1025"/>
      <c r="E33" s="1025"/>
      <c r="F33" s="1025"/>
      <c r="G33" s="1025"/>
      <c r="H33" s="1025"/>
      <c r="I33" s="1025"/>
      <c r="J33" s="1025"/>
      <c r="K33" s="1025"/>
      <c r="L33" s="1025"/>
      <c r="M33" s="1025"/>
      <c r="N33" s="1025"/>
    </row>
    <row r="34" spans="1:14">
      <c r="B34" s="1035" t="s">
        <v>2035</v>
      </c>
      <c r="C34" s="1036">
        <v>1.2433205386503634</v>
      </c>
      <c r="D34" s="1025"/>
      <c r="E34" s="1025"/>
      <c r="F34" s="1025"/>
      <c r="G34" s="1025"/>
      <c r="H34" s="1025"/>
      <c r="I34" s="1025"/>
      <c r="J34" s="1025"/>
      <c r="K34" s="1025"/>
      <c r="L34" s="1025"/>
      <c r="M34" s="1025"/>
      <c r="N34" s="1025"/>
    </row>
    <row r="35" spans="1:14">
      <c r="B35" s="1037" t="s">
        <v>2036</v>
      </c>
      <c r="C35" s="1038">
        <v>0</v>
      </c>
      <c r="D35" s="1025"/>
      <c r="E35" s="1025"/>
      <c r="F35" s="1025"/>
      <c r="G35" s="1025"/>
      <c r="H35" s="1025"/>
      <c r="I35" s="1025"/>
      <c r="J35" s="1025"/>
      <c r="K35" s="1025"/>
      <c r="L35" s="1025"/>
      <c r="M35" s="1025"/>
      <c r="N35" s="1025"/>
    </row>
    <row r="36" spans="1:14" ht="12.75" thickBot="1">
      <c r="B36" s="1041" t="s">
        <v>2037</v>
      </c>
      <c r="C36" s="1042">
        <v>0</v>
      </c>
      <c r="D36" s="1025"/>
      <c r="E36" s="1025"/>
      <c r="F36" s="1025"/>
      <c r="G36" s="1025"/>
      <c r="H36" s="1025"/>
      <c r="I36" s="1025"/>
      <c r="J36" s="1025"/>
      <c r="K36" s="1025"/>
      <c r="L36" s="1025"/>
      <c r="M36" s="1025"/>
      <c r="N36" s="1025"/>
    </row>
    <row r="37" spans="1:14" ht="12.75" thickBot="1">
      <c r="B37" s="1033" t="s">
        <v>2038</v>
      </c>
      <c r="C37" s="1034">
        <v>0</v>
      </c>
      <c r="D37" s="1025"/>
      <c r="E37" s="1025"/>
      <c r="F37" s="1025"/>
      <c r="G37" s="1025"/>
      <c r="H37" s="1025"/>
      <c r="I37" s="1025"/>
      <c r="J37" s="1025"/>
      <c r="K37" s="1025"/>
      <c r="L37" s="1025"/>
      <c r="M37" s="1025"/>
      <c r="N37" s="1025"/>
    </row>
    <row r="38" spans="1:14" ht="12.75" thickBot="1">
      <c r="B38" s="1033" t="s">
        <v>2039</v>
      </c>
      <c r="C38" s="1034">
        <v>100</v>
      </c>
      <c r="D38" s="1025"/>
      <c r="E38" s="1025"/>
      <c r="F38" s="1025"/>
      <c r="G38" s="1025"/>
      <c r="H38" s="1025"/>
      <c r="I38" s="1025"/>
      <c r="J38" s="1025"/>
      <c r="K38" s="1025"/>
      <c r="L38" s="1025"/>
      <c r="M38" s="1025"/>
      <c r="N38" s="1025"/>
    </row>
    <row r="39" spans="1:14" ht="12.75" thickBot="1">
      <c r="B39" s="1033" t="s">
        <v>2040</v>
      </c>
      <c r="C39" s="1034">
        <v>0</v>
      </c>
      <c r="D39" s="1025"/>
      <c r="E39" s="1025"/>
      <c r="F39" s="1025"/>
      <c r="G39" s="1025"/>
      <c r="H39" s="1025"/>
      <c r="I39" s="1025"/>
      <c r="J39" s="1025"/>
      <c r="K39" s="1025"/>
      <c r="L39" s="1025"/>
      <c r="M39" s="1025"/>
      <c r="N39" s="1025"/>
    </row>
    <row r="40" spans="1:14" ht="12.75" hidden="1" outlineLevel="1" thickBot="1">
      <c r="B40" s="1035" t="s">
        <v>2056</v>
      </c>
      <c r="C40" s="1036">
        <v>0</v>
      </c>
      <c r="D40" s="1025"/>
      <c r="E40" s="1025"/>
      <c r="F40" s="1025"/>
      <c r="G40" s="1025"/>
      <c r="H40" s="1025"/>
      <c r="I40" s="1025"/>
      <c r="J40" s="1025"/>
      <c r="K40" s="1025"/>
      <c r="L40" s="1025"/>
      <c r="M40" s="1025"/>
      <c r="N40" s="1025"/>
    </row>
    <row r="41" spans="1:14" ht="12.75" hidden="1" outlineLevel="1" thickBot="1">
      <c r="A41" s="1044"/>
      <c r="B41" s="1035" t="s">
        <v>2057</v>
      </c>
      <c r="C41" s="1036">
        <v>0</v>
      </c>
      <c r="D41" s="1044"/>
      <c r="E41" s="1025"/>
      <c r="F41" s="1025"/>
      <c r="G41" s="1025"/>
      <c r="H41" s="1025"/>
      <c r="I41" s="1025"/>
      <c r="J41" s="1025"/>
      <c r="K41" s="1025"/>
      <c r="L41" s="1025"/>
      <c r="M41" s="1025"/>
      <c r="N41" s="1025"/>
    </row>
    <row r="42" spans="1:14" ht="12.75" hidden="1" outlineLevel="1" thickBot="1">
      <c r="A42" s="1044"/>
      <c r="B42" s="1035" t="s">
        <v>2043</v>
      </c>
      <c r="C42" s="1036">
        <v>0</v>
      </c>
      <c r="D42" s="1044"/>
      <c r="E42" s="1025"/>
      <c r="F42" s="1025"/>
      <c r="G42" s="1025"/>
      <c r="H42" s="1025"/>
      <c r="I42" s="1025"/>
      <c r="J42" s="1025"/>
      <c r="K42" s="1025"/>
      <c r="L42" s="1025"/>
      <c r="M42" s="1025"/>
      <c r="N42" s="1025"/>
    </row>
    <row r="43" spans="1:14" ht="12.75" hidden="1" outlineLevel="1" thickBot="1">
      <c r="B43" s="1035" t="s">
        <v>2044</v>
      </c>
      <c r="C43" s="1036">
        <v>0</v>
      </c>
      <c r="D43" s="1025"/>
      <c r="E43" s="1025"/>
      <c r="F43" s="1025"/>
      <c r="G43" s="1025"/>
      <c r="H43" s="1025"/>
      <c r="I43" s="1025"/>
      <c r="J43" s="1025"/>
      <c r="K43" s="1025"/>
      <c r="L43" s="1025"/>
      <c r="M43" s="1025"/>
      <c r="N43" s="1025"/>
    </row>
    <row r="44" spans="1:14" ht="12.75" hidden="1" outlineLevel="1" thickBot="1">
      <c r="B44" s="1035" t="s">
        <v>2045</v>
      </c>
      <c r="C44" s="1036">
        <v>0</v>
      </c>
      <c r="E44" s="1025"/>
      <c r="F44" s="1025"/>
      <c r="G44" s="1025"/>
      <c r="H44" s="1025"/>
      <c r="I44" s="1025"/>
      <c r="J44" s="1025"/>
      <c r="K44" s="1025"/>
      <c r="L44" s="1025"/>
      <c r="M44" s="1025"/>
      <c r="N44" s="1025"/>
    </row>
    <row r="45" spans="1:14" ht="12.75" hidden="1" outlineLevel="1" thickBot="1">
      <c r="B45" s="1035" t="s">
        <v>2046</v>
      </c>
      <c r="C45" s="1036">
        <v>0</v>
      </c>
      <c r="E45" s="1025"/>
      <c r="F45" s="1025"/>
      <c r="G45" s="1025"/>
      <c r="H45" s="1025"/>
      <c r="I45" s="1025"/>
      <c r="J45" s="1025"/>
      <c r="K45" s="1025"/>
      <c r="L45" s="1025"/>
      <c r="M45" s="1025"/>
      <c r="N45" s="1025"/>
    </row>
    <row r="46" spans="1:14" ht="12.75" hidden="1" outlineLevel="1" thickBot="1">
      <c r="B46" s="1035" t="s">
        <v>2047</v>
      </c>
      <c r="C46" s="1036">
        <v>0</v>
      </c>
      <c r="E46" s="1025"/>
      <c r="F46" s="1025"/>
      <c r="G46" s="1025"/>
      <c r="H46" s="1025"/>
      <c r="I46" s="1025"/>
      <c r="J46" s="1025"/>
      <c r="K46" s="1025"/>
      <c r="L46" s="1025"/>
      <c r="M46" s="1025"/>
      <c r="N46" s="1025"/>
    </row>
    <row r="47" spans="1:14" ht="12.75" hidden="1" outlineLevel="1" thickBot="1">
      <c r="B47" s="1035" t="s">
        <v>2048</v>
      </c>
      <c r="C47" s="1036">
        <v>0</v>
      </c>
      <c r="E47" s="1025"/>
      <c r="F47" s="1025"/>
      <c r="G47" s="1025"/>
      <c r="H47" s="1025"/>
      <c r="I47" s="1025"/>
      <c r="J47" s="1025"/>
      <c r="K47" s="1025"/>
      <c r="L47" s="1025"/>
      <c r="M47" s="1025"/>
      <c r="N47" s="1025"/>
    </row>
    <row r="48" spans="1:14" ht="12.75" hidden="1" outlineLevel="1" thickBot="1">
      <c r="B48" s="1035" t="s">
        <v>2049</v>
      </c>
      <c r="C48" s="1036">
        <v>0</v>
      </c>
      <c r="E48" s="1025"/>
      <c r="F48" s="1025"/>
      <c r="G48" s="1025"/>
      <c r="H48" s="1025"/>
      <c r="I48" s="1025"/>
      <c r="J48" s="1025"/>
      <c r="K48" s="1025"/>
      <c r="L48" s="1025"/>
      <c r="M48" s="1025"/>
      <c r="N48" s="1025"/>
    </row>
    <row r="49" spans="2:14" ht="12.75" hidden="1" outlineLevel="1" thickBot="1">
      <c r="B49" s="1035" t="s">
        <v>2050</v>
      </c>
      <c r="C49" s="1036">
        <v>0</v>
      </c>
      <c r="E49" s="1025"/>
      <c r="F49" s="1025"/>
      <c r="G49" s="1025"/>
      <c r="H49" s="1025"/>
      <c r="I49" s="1025"/>
      <c r="J49" s="1025"/>
      <c r="K49" s="1025"/>
      <c r="L49" s="1025"/>
      <c r="M49" s="1025"/>
      <c r="N49" s="1025"/>
    </row>
    <row r="50" spans="2:14" ht="12.75" collapsed="1" thickBot="1">
      <c r="B50" s="1033" t="s">
        <v>390</v>
      </c>
      <c r="C50" s="1034">
        <f>SUM(C38:C39)</f>
        <v>100</v>
      </c>
      <c r="E50" s="1025"/>
      <c r="F50" s="1044"/>
      <c r="G50" s="1025"/>
      <c r="H50" s="1025"/>
      <c r="I50" s="1025"/>
      <c r="J50" s="1025"/>
      <c r="K50" s="1025"/>
      <c r="L50" s="1025"/>
      <c r="M50" s="1025"/>
      <c r="N50" s="1025"/>
    </row>
    <row r="51" spans="2:14">
      <c r="B51" s="1044"/>
      <c r="C51" s="1044"/>
      <c r="D51" s="1044"/>
      <c r="E51" s="1044"/>
      <c r="F51" s="1044"/>
      <c r="G51" s="1025"/>
      <c r="H51" s="1025"/>
      <c r="I51" s="1025"/>
      <c r="J51" s="1025"/>
      <c r="K51" s="1025"/>
      <c r="L51" s="1025"/>
      <c r="M51" s="1025"/>
      <c r="N51" s="1025"/>
    </row>
    <row r="52" spans="2:14">
      <c r="B52" s="1044"/>
      <c r="C52" s="1045"/>
      <c r="D52" s="1046" t="s">
        <v>2051</v>
      </c>
      <c r="E52" s="1047"/>
      <c r="F52" s="1048"/>
      <c r="G52" s="1025"/>
      <c r="H52" s="1025"/>
      <c r="I52" s="1025"/>
      <c r="J52" s="1025"/>
      <c r="K52" s="1025"/>
      <c r="L52" s="1025"/>
      <c r="M52" s="1025"/>
      <c r="N52" s="1025"/>
    </row>
    <row r="53" spans="2:14">
      <c r="B53" s="1025"/>
      <c r="C53" s="1025"/>
      <c r="D53" s="1025"/>
      <c r="E53" s="1025"/>
      <c r="F53" s="1025"/>
      <c r="G53" s="1025"/>
      <c r="H53" s="1025"/>
      <c r="I53" s="1025"/>
      <c r="J53" s="1025"/>
      <c r="K53" s="1025"/>
      <c r="L53" s="1025"/>
      <c r="M53" s="1025"/>
      <c r="N53" s="1025"/>
    </row>
    <row r="54" spans="2:14">
      <c r="B54" s="1025" t="s">
        <v>2052</v>
      </c>
      <c r="C54" s="1025"/>
      <c r="D54" s="1025"/>
      <c r="E54" s="1025"/>
      <c r="F54" s="1025"/>
      <c r="G54" s="1025"/>
      <c r="H54" s="1025"/>
      <c r="I54" s="1025"/>
      <c r="J54" s="1025"/>
      <c r="K54" s="1025"/>
      <c r="L54" s="1025"/>
      <c r="M54" s="1025"/>
      <c r="N54" s="1025"/>
    </row>
    <row r="55" spans="2:14">
      <c r="B55" s="1025"/>
      <c r="C55" s="1025"/>
      <c r="D55" s="1025"/>
      <c r="E55" s="1025"/>
      <c r="F55" s="1025"/>
      <c r="G55" s="1025"/>
      <c r="H55" s="1025"/>
      <c r="I55" s="1025"/>
      <c r="J55" s="1025"/>
      <c r="K55" s="1025"/>
      <c r="L55" s="1025"/>
      <c r="M55" s="1025"/>
      <c r="N55" s="1025"/>
    </row>
    <row r="56" spans="2:14">
      <c r="B56" s="1025" t="s">
        <v>2058</v>
      </c>
      <c r="C56" s="1025" t="s">
        <v>2059</v>
      </c>
      <c r="D56" s="1025"/>
      <c r="E56" s="1025"/>
      <c r="F56" s="1025"/>
      <c r="G56" s="1025"/>
      <c r="H56" s="1025"/>
      <c r="I56" s="1025"/>
      <c r="J56" s="1025"/>
      <c r="K56" s="1025"/>
      <c r="L56" s="1025"/>
      <c r="M56" s="1025"/>
      <c r="N56" s="1025"/>
    </row>
    <row r="57" spans="2:14">
      <c r="B57" s="1025"/>
      <c r="C57" s="1025"/>
      <c r="D57" s="1025"/>
      <c r="E57" s="1025"/>
      <c r="F57" s="1025"/>
      <c r="G57" s="1025"/>
      <c r="H57" s="1025"/>
      <c r="I57" s="1025"/>
      <c r="J57" s="1025"/>
      <c r="K57" s="1025"/>
      <c r="L57" s="1025"/>
      <c r="M57" s="1025"/>
      <c r="N57" s="1025"/>
    </row>
    <row r="58" spans="2:14">
      <c r="B58" s="1025"/>
      <c r="C58" s="1025"/>
      <c r="D58" s="1025"/>
      <c r="E58" s="1025"/>
      <c r="F58" s="1025"/>
      <c r="G58" s="1025"/>
      <c r="H58" s="1025"/>
      <c r="I58" s="1025"/>
      <c r="J58" s="1025"/>
      <c r="K58" s="1025"/>
      <c r="L58" s="1025"/>
      <c r="M58" s="1025"/>
      <c r="N58" s="1025"/>
    </row>
    <row r="59" spans="2:14">
      <c r="B59" s="1025"/>
      <c r="C59" s="1025"/>
      <c r="D59" s="1025"/>
      <c r="E59" s="1025"/>
      <c r="F59" s="1025"/>
      <c r="G59" s="1025"/>
      <c r="H59" s="1025"/>
      <c r="I59" s="1025"/>
      <c r="J59" s="1025"/>
      <c r="K59" s="1025"/>
      <c r="L59" s="1025"/>
      <c r="M59" s="1025"/>
      <c r="N59" s="1025"/>
    </row>
  </sheetData>
  <conditionalFormatting sqref="C9:C10 C12:C14">
    <cfRule type="cellIs" dxfId="6" priority="1" operator="equal">
      <formula>0</formula>
    </cfRule>
  </conditionalFormatting>
  <pageMargins left="0.78740157499999996" right="0.78740157499999996" top="0.984251969" bottom="0.984251969" header="0.4921259845" footer="0.4921259845"/>
  <pageSetup paperSize="9" fitToHeight="0" orientation="portrait" r:id="rId1"/>
  <headerFooter alignWithMargins="0">
    <oddHeader>&amp;L&amp;A&amp;CESU-services Ltd.&amp;R&amp;D</oddHeader>
    <oddFooter>&amp;L&amp;Z&amp;F</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9"/>
  <sheetViews>
    <sheetView zoomScale="80" zoomScaleNormal="80" workbookViewId="0">
      <selection activeCell="L67" sqref="L67"/>
    </sheetView>
  </sheetViews>
  <sheetFormatPr defaultColWidth="11.42578125" defaultRowHeight="12" outlineLevelRow="1"/>
  <cols>
    <col min="1" max="1" width="2.7109375" style="1025" customWidth="1"/>
    <col min="2" max="2" width="29.140625" style="1032" customWidth="1"/>
    <col min="3" max="6" width="12.85546875" style="1032" customWidth="1"/>
    <col min="7" max="16384" width="11.42578125" style="1032"/>
  </cols>
  <sheetData>
    <row r="1" spans="1:14" s="1025" customFormat="1" ht="12.75" thickBot="1"/>
    <row r="2" spans="1:14" s="1029" customFormat="1" ht="12.75" thickBot="1">
      <c r="A2" s="1026"/>
      <c r="B2" s="1027" t="s">
        <v>2062</v>
      </c>
      <c r="C2" s="1028" t="s">
        <v>2006</v>
      </c>
      <c r="D2" s="1026"/>
      <c r="E2" s="1026"/>
      <c r="F2" s="1026"/>
      <c r="G2" s="1026"/>
      <c r="H2" s="1026"/>
      <c r="I2" s="1026"/>
      <c r="J2" s="1026"/>
      <c r="K2" s="1026"/>
      <c r="L2" s="1026"/>
      <c r="M2" s="1026"/>
      <c r="N2" s="1026"/>
    </row>
    <row r="3" spans="1:14" ht="12.75" thickBot="1">
      <c r="B3" s="1030"/>
      <c r="C3" s="1031" t="s">
        <v>403</v>
      </c>
      <c r="D3" s="1025"/>
      <c r="E3" s="1025"/>
      <c r="F3" s="1025"/>
      <c r="G3" s="1025"/>
      <c r="H3" s="1025"/>
      <c r="I3" s="1025"/>
      <c r="J3" s="1025"/>
      <c r="K3" s="1025"/>
      <c r="L3" s="1025"/>
      <c r="M3" s="1025"/>
      <c r="N3" s="1025"/>
    </row>
    <row r="4" spans="1:14" ht="12.75" thickBot="1">
      <c r="B4" s="1033" t="s">
        <v>2007</v>
      </c>
      <c r="C4" s="1034">
        <v>78.753638621277631</v>
      </c>
      <c r="D4" s="1025"/>
      <c r="E4" s="1025"/>
      <c r="F4" s="1025"/>
      <c r="G4" s="1025"/>
      <c r="H4" s="1025"/>
      <c r="I4" s="1025"/>
      <c r="J4" s="1025"/>
      <c r="K4" s="1025"/>
      <c r="L4" s="1025"/>
      <c r="M4" s="1025"/>
      <c r="N4" s="1025"/>
    </row>
    <row r="5" spans="1:14">
      <c r="B5" s="1035" t="s">
        <v>1718</v>
      </c>
      <c r="C5" s="1036">
        <v>76.605032809853597</v>
      </c>
      <c r="D5" s="1025"/>
      <c r="E5" s="1025"/>
      <c r="F5" s="1025"/>
      <c r="G5" s="1025"/>
      <c r="H5" s="1025"/>
      <c r="I5" s="1025"/>
      <c r="J5" s="1025"/>
      <c r="K5" s="1025"/>
      <c r="L5" s="1025"/>
      <c r="M5" s="1025"/>
      <c r="N5" s="1025"/>
    </row>
    <row r="6" spans="1:14">
      <c r="B6" s="1037" t="s">
        <v>2008</v>
      </c>
      <c r="C6" s="1038">
        <v>0</v>
      </c>
      <c r="D6" s="1025"/>
      <c r="E6" s="1025"/>
      <c r="F6" s="1025"/>
      <c r="G6" s="1025"/>
      <c r="H6" s="1025"/>
      <c r="I6" s="1025"/>
      <c r="J6" s="1025"/>
      <c r="K6" s="1025"/>
      <c r="L6" s="1025"/>
      <c r="M6" s="1025"/>
      <c r="N6" s="1025"/>
    </row>
    <row r="7" spans="1:14">
      <c r="B7" s="1037" t="s">
        <v>2009</v>
      </c>
      <c r="C7" s="1038">
        <v>0</v>
      </c>
      <c r="D7" s="1025"/>
      <c r="E7" s="1025"/>
      <c r="F7" s="1025"/>
      <c r="G7" s="1025"/>
      <c r="H7" s="1025"/>
      <c r="I7" s="1025"/>
      <c r="J7" s="1025"/>
      <c r="K7" s="1025"/>
      <c r="L7" s="1025"/>
      <c r="M7" s="1025"/>
      <c r="N7" s="1025"/>
    </row>
    <row r="8" spans="1:14">
      <c r="B8" s="1037" t="s">
        <v>2010</v>
      </c>
      <c r="C8" s="1038">
        <v>0.61069279619411099</v>
      </c>
      <c r="D8" s="1025"/>
      <c r="E8" s="1025"/>
      <c r="F8" s="1025"/>
      <c r="G8" s="1025"/>
      <c r="H8" s="1025"/>
      <c r="I8" s="1025"/>
      <c r="J8" s="1025"/>
      <c r="K8" s="1025"/>
      <c r="L8" s="1025"/>
      <c r="M8" s="1025"/>
      <c r="N8" s="1025"/>
    </row>
    <row r="9" spans="1:14">
      <c r="B9" s="1039" t="s">
        <v>2011</v>
      </c>
      <c r="C9" s="1040">
        <v>0</v>
      </c>
      <c r="D9" s="1025"/>
      <c r="E9" s="1025"/>
      <c r="F9" s="1025"/>
      <c r="G9" s="1025"/>
      <c r="H9" s="1025"/>
      <c r="I9" s="1025"/>
      <c r="J9" s="1025"/>
      <c r="K9" s="1025"/>
      <c r="L9" s="1025"/>
      <c r="M9" s="1025"/>
      <c r="N9" s="1025"/>
    </row>
    <row r="10" spans="1:14">
      <c r="B10" s="1039" t="s">
        <v>2012</v>
      </c>
      <c r="C10" s="1040">
        <v>0</v>
      </c>
      <c r="D10" s="1025"/>
      <c r="E10" s="1025"/>
      <c r="F10" s="1025"/>
      <c r="G10" s="1025"/>
      <c r="H10" s="1025"/>
      <c r="I10" s="1025"/>
      <c r="J10" s="1025"/>
      <c r="K10" s="1025"/>
      <c r="L10" s="1025"/>
      <c r="M10" s="1025"/>
      <c r="N10" s="1025"/>
    </row>
    <row r="11" spans="1:14">
      <c r="B11" s="1037" t="s">
        <v>2013</v>
      </c>
      <c r="C11" s="1038">
        <v>0.66136559451032562</v>
      </c>
      <c r="D11" s="1025"/>
      <c r="E11" s="1025"/>
      <c r="F11" s="1025"/>
      <c r="G11" s="1025"/>
      <c r="H11" s="1025"/>
      <c r="I11" s="1025"/>
      <c r="J11" s="1025"/>
      <c r="K11" s="1025"/>
      <c r="L11" s="1025"/>
      <c r="M11" s="1025"/>
      <c r="N11" s="1025"/>
    </row>
    <row r="12" spans="1:14">
      <c r="B12" s="1039" t="s">
        <v>2014</v>
      </c>
      <c r="C12" s="1040">
        <v>0</v>
      </c>
      <c r="D12" s="1025"/>
      <c r="E12" s="1025"/>
      <c r="F12" s="1025"/>
      <c r="G12" s="1025"/>
      <c r="H12" s="1025"/>
      <c r="I12" s="1025"/>
      <c r="J12" s="1025"/>
      <c r="K12" s="1025"/>
      <c r="L12" s="1025"/>
      <c r="M12" s="1025"/>
      <c r="N12" s="1025"/>
    </row>
    <row r="13" spans="1:14">
      <c r="B13" s="1039" t="s">
        <v>2015</v>
      </c>
      <c r="C13" s="1040">
        <v>0</v>
      </c>
      <c r="D13" s="1025"/>
      <c r="E13" s="1025"/>
      <c r="F13" s="1025"/>
      <c r="G13" s="1025"/>
      <c r="H13" s="1025"/>
      <c r="I13" s="1025"/>
      <c r="J13" s="1025"/>
      <c r="K13" s="1025"/>
      <c r="L13" s="1025"/>
      <c r="M13" s="1025"/>
      <c r="N13" s="1025"/>
    </row>
    <row r="14" spans="1:14">
      <c r="B14" s="1039" t="s">
        <v>2016</v>
      </c>
      <c r="C14" s="1040">
        <v>0</v>
      </c>
      <c r="D14" s="1025"/>
      <c r="E14" s="1025"/>
      <c r="F14" s="1025"/>
      <c r="G14" s="1025"/>
      <c r="H14" s="1025"/>
      <c r="I14" s="1025"/>
      <c r="J14" s="1025"/>
      <c r="K14" s="1025"/>
      <c r="L14" s="1025"/>
      <c r="M14" s="1025"/>
      <c r="N14" s="1025"/>
    </row>
    <row r="15" spans="1:14">
      <c r="B15" s="1037" t="s">
        <v>2017</v>
      </c>
      <c r="C15" s="1038">
        <v>0.87654742071959257</v>
      </c>
      <c r="D15" s="1025"/>
      <c r="E15" s="1025"/>
      <c r="F15" s="1025"/>
      <c r="G15" s="1025"/>
      <c r="H15" s="1025"/>
      <c r="I15" s="1025"/>
      <c r="J15" s="1025"/>
      <c r="K15" s="1025"/>
      <c r="L15" s="1025"/>
      <c r="M15" s="1025"/>
      <c r="N15" s="1025"/>
    </row>
    <row r="16" spans="1:14" ht="12.75" thickBot="1">
      <c r="B16" s="1041" t="s">
        <v>2018</v>
      </c>
      <c r="C16" s="1042">
        <v>0</v>
      </c>
      <c r="D16" s="1025"/>
      <c r="E16" s="1025"/>
      <c r="F16" s="1025"/>
      <c r="G16" s="1025"/>
      <c r="H16" s="1025"/>
      <c r="I16" s="1025"/>
      <c r="J16" s="1025"/>
      <c r="K16" s="1025"/>
      <c r="L16" s="1025"/>
      <c r="M16" s="1025"/>
      <c r="N16" s="1025"/>
    </row>
    <row r="17" spans="2:14" ht="12.75" thickBot="1">
      <c r="B17" s="1033" t="s">
        <v>2019</v>
      </c>
      <c r="C17" s="1034">
        <v>18.571217821726069</v>
      </c>
      <c r="D17" s="1025"/>
      <c r="E17" s="1025"/>
      <c r="F17" s="1025"/>
      <c r="G17" s="1025"/>
      <c r="H17" s="1025"/>
      <c r="I17" s="1025"/>
      <c r="J17" s="1025"/>
      <c r="K17" s="1025"/>
      <c r="L17" s="1025"/>
      <c r="M17" s="1025"/>
      <c r="N17" s="1025"/>
    </row>
    <row r="18" spans="2:14">
      <c r="B18" s="1035" t="s">
        <v>2020</v>
      </c>
      <c r="C18" s="1036">
        <v>13.928413366294551</v>
      </c>
      <c r="D18" s="1025"/>
      <c r="E18" s="1025"/>
      <c r="F18" s="1025"/>
      <c r="G18" s="1025"/>
      <c r="H18" s="1025"/>
      <c r="I18" s="1025"/>
      <c r="J18" s="1025"/>
      <c r="K18" s="1025"/>
      <c r="L18" s="1025"/>
      <c r="M18" s="1025"/>
      <c r="N18" s="1025"/>
    </row>
    <row r="19" spans="2:14">
      <c r="B19" s="1037" t="s">
        <v>2021</v>
      </c>
      <c r="C19" s="1038">
        <v>4.6428044554315173</v>
      </c>
      <c r="D19" s="1025"/>
      <c r="E19" s="1025"/>
      <c r="F19" s="1025"/>
      <c r="G19" s="1025"/>
      <c r="H19" s="1025"/>
      <c r="I19" s="1025"/>
      <c r="J19" s="1025"/>
      <c r="K19" s="1025"/>
      <c r="L19" s="1025"/>
      <c r="M19" s="1025"/>
      <c r="N19" s="1025"/>
    </row>
    <row r="20" spans="2:14" ht="12.75" thickBot="1">
      <c r="B20" s="1041" t="s">
        <v>2022</v>
      </c>
      <c r="C20" s="1042">
        <v>0</v>
      </c>
      <c r="D20" s="1025"/>
      <c r="E20" s="1025"/>
      <c r="F20" s="1025"/>
      <c r="G20" s="1025"/>
      <c r="H20" s="1025"/>
      <c r="I20" s="1025"/>
      <c r="J20" s="1025"/>
      <c r="K20" s="1025"/>
      <c r="L20" s="1025"/>
      <c r="M20" s="1025"/>
      <c r="N20" s="1025"/>
    </row>
    <row r="21" spans="2:14" ht="12.75" thickBot="1">
      <c r="B21" s="1033" t="s">
        <v>2023</v>
      </c>
      <c r="C21" s="1034">
        <v>2.0608974280520234</v>
      </c>
      <c r="D21" s="1025"/>
      <c r="E21" s="1025"/>
      <c r="F21" s="1025"/>
      <c r="G21" s="1025"/>
      <c r="H21" s="1025"/>
      <c r="I21" s="1025"/>
      <c r="J21" s="1025"/>
      <c r="K21" s="1025"/>
      <c r="L21" s="1025"/>
      <c r="M21" s="1025"/>
      <c r="N21" s="1025"/>
    </row>
    <row r="22" spans="2:14">
      <c r="B22" s="1035" t="s">
        <v>2024</v>
      </c>
      <c r="C22" s="1036">
        <v>2.0608974280520234</v>
      </c>
      <c r="D22" s="1025"/>
      <c r="E22" s="1025"/>
      <c r="F22" s="1025"/>
      <c r="G22" s="1025"/>
      <c r="H22" s="1025"/>
      <c r="I22" s="1025"/>
      <c r="J22" s="1025"/>
      <c r="K22" s="1025"/>
      <c r="L22" s="1025"/>
      <c r="M22" s="1025"/>
      <c r="N22" s="1025"/>
    </row>
    <row r="23" spans="2:14" ht="12.75" thickBot="1">
      <c r="B23" s="1041" t="s">
        <v>2025</v>
      </c>
      <c r="C23" s="1042">
        <v>0</v>
      </c>
      <c r="D23" s="1025"/>
      <c r="E23" s="1025"/>
      <c r="F23" s="1025"/>
      <c r="G23" s="1025"/>
      <c r="H23" s="1025"/>
      <c r="I23" s="1025"/>
      <c r="J23" s="1025"/>
      <c r="K23" s="1025"/>
      <c r="L23" s="1025"/>
      <c r="M23" s="1025"/>
      <c r="N23" s="1025"/>
    </row>
    <row r="24" spans="2:14" ht="12.75" thickBot="1">
      <c r="B24" s="1033" t="s">
        <v>2026</v>
      </c>
      <c r="C24" s="1034">
        <v>0.49108663942555641</v>
      </c>
      <c r="D24" s="1025"/>
      <c r="E24" s="1025"/>
      <c r="F24" s="1025"/>
      <c r="G24" s="1025"/>
      <c r="H24" s="1025"/>
      <c r="I24" s="1025"/>
      <c r="J24" s="1025"/>
      <c r="K24" s="1025"/>
      <c r="L24" s="1025"/>
      <c r="M24" s="1025"/>
      <c r="N24" s="1025"/>
    </row>
    <row r="25" spans="2:14">
      <c r="B25" s="1035" t="s">
        <v>2027</v>
      </c>
      <c r="C25" s="1036">
        <v>0</v>
      </c>
      <c r="D25" s="1025"/>
      <c r="E25" s="1025"/>
      <c r="F25" s="1025"/>
      <c r="G25" s="1025"/>
      <c r="H25" s="1025"/>
      <c r="I25" s="1025"/>
      <c r="J25" s="1025"/>
      <c r="K25" s="1025"/>
      <c r="L25" s="1025"/>
      <c r="M25" s="1025"/>
      <c r="N25" s="1025"/>
    </row>
    <row r="26" spans="2:14">
      <c r="B26" s="1037" t="s">
        <v>2028</v>
      </c>
      <c r="C26" s="1038">
        <v>0</v>
      </c>
      <c r="D26" s="1025"/>
      <c r="E26" s="1025"/>
      <c r="F26" s="1025"/>
      <c r="G26" s="1025"/>
      <c r="H26" s="1025"/>
      <c r="I26" s="1025"/>
      <c r="J26" s="1025"/>
      <c r="K26" s="1025"/>
      <c r="L26" s="1025"/>
      <c r="M26" s="1025"/>
      <c r="N26" s="1025"/>
    </row>
    <row r="27" spans="2:14">
      <c r="B27" s="1039" t="s">
        <v>2029</v>
      </c>
      <c r="C27" s="1040">
        <v>5.1828282835475045E-3</v>
      </c>
      <c r="D27" s="1025"/>
      <c r="E27" s="1025"/>
      <c r="F27" s="1025"/>
      <c r="G27" s="1025"/>
      <c r="H27" s="1025"/>
      <c r="I27" s="1025"/>
      <c r="J27" s="1025"/>
      <c r="K27" s="1025"/>
      <c r="L27" s="1025"/>
      <c r="M27" s="1025"/>
      <c r="N27" s="1025"/>
    </row>
    <row r="28" spans="2:14">
      <c r="B28" s="1039" t="s">
        <v>2030</v>
      </c>
      <c r="C28" s="1040">
        <v>0</v>
      </c>
      <c r="D28" s="1025"/>
      <c r="E28" s="1025"/>
      <c r="F28" s="1025"/>
      <c r="G28" s="1025"/>
      <c r="H28" s="1025"/>
      <c r="I28" s="1025"/>
      <c r="J28" s="1025"/>
      <c r="K28" s="1025"/>
      <c r="L28" s="1025"/>
      <c r="M28" s="1025"/>
      <c r="N28" s="1025"/>
    </row>
    <row r="29" spans="2:14">
      <c r="B29" s="1037" t="s">
        <v>2031</v>
      </c>
      <c r="C29" s="1038">
        <v>0</v>
      </c>
      <c r="D29" s="1025"/>
      <c r="E29" s="1025"/>
      <c r="F29" s="1025"/>
      <c r="G29" s="1025"/>
      <c r="H29" s="1025"/>
      <c r="I29" s="1025"/>
      <c r="J29" s="1025"/>
      <c r="K29" s="1025"/>
      <c r="L29" s="1025"/>
      <c r="M29" s="1025"/>
      <c r="N29" s="1025"/>
    </row>
    <row r="30" spans="2:14">
      <c r="B30" s="1037" t="s">
        <v>2032</v>
      </c>
      <c r="C30" s="1038">
        <v>0.41926157298687422</v>
      </c>
      <c r="D30" s="1025"/>
      <c r="E30" s="1025"/>
      <c r="F30" s="1025"/>
      <c r="G30" s="1025"/>
      <c r="H30" s="1025"/>
      <c r="I30" s="1025"/>
      <c r="J30" s="1025"/>
      <c r="K30" s="1025"/>
      <c r="L30" s="1025"/>
      <c r="M30" s="1025"/>
      <c r="N30" s="1025"/>
    </row>
    <row r="31" spans="2:14">
      <c r="B31" s="1037" t="s">
        <v>2033</v>
      </c>
      <c r="C31" s="1038">
        <v>6.6642238155134689E-2</v>
      </c>
      <c r="D31" s="1025"/>
      <c r="E31" s="1025"/>
      <c r="F31" s="1025"/>
      <c r="G31" s="1025"/>
      <c r="H31" s="1025"/>
      <c r="I31" s="1025"/>
      <c r="J31" s="1025"/>
      <c r="K31" s="1025"/>
      <c r="L31" s="1025"/>
      <c r="M31" s="1025"/>
      <c r="N31" s="1025"/>
    </row>
    <row r="32" spans="2:14" ht="12.75" thickBot="1">
      <c r="B32" s="1041" t="s">
        <v>2034</v>
      </c>
      <c r="C32" s="1042">
        <v>0</v>
      </c>
      <c r="D32" s="1025"/>
      <c r="E32" s="1025"/>
      <c r="F32" s="1025"/>
      <c r="G32" s="1025"/>
      <c r="H32" s="1025"/>
      <c r="I32" s="1025"/>
      <c r="J32" s="1025"/>
      <c r="K32" s="1025"/>
      <c r="L32" s="1025"/>
      <c r="M32" s="1025"/>
      <c r="N32" s="1025"/>
    </row>
    <row r="33" spans="1:14" ht="12.75" thickBot="1">
      <c r="B33" s="1033" t="s">
        <v>794</v>
      </c>
      <c r="C33" s="1034">
        <v>0</v>
      </c>
      <c r="D33" s="1025"/>
      <c r="E33" s="1025"/>
      <c r="F33" s="1025"/>
      <c r="G33" s="1025"/>
      <c r="H33" s="1025"/>
      <c r="I33" s="1025"/>
      <c r="J33" s="1025"/>
      <c r="K33" s="1025"/>
      <c r="L33" s="1025"/>
      <c r="M33" s="1025"/>
      <c r="N33" s="1025"/>
    </row>
    <row r="34" spans="1:14">
      <c r="B34" s="1035" t="s">
        <v>2035</v>
      </c>
      <c r="C34" s="1036">
        <v>0</v>
      </c>
      <c r="D34" s="1025"/>
      <c r="E34" s="1025"/>
      <c r="F34" s="1025"/>
      <c r="G34" s="1025"/>
      <c r="H34" s="1025"/>
      <c r="I34" s="1025"/>
      <c r="J34" s="1025"/>
      <c r="K34" s="1025"/>
      <c r="L34" s="1025"/>
      <c r="M34" s="1025"/>
      <c r="N34" s="1025"/>
    </row>
    <row r="35" spans="1:14">
      <c r="B35" s="1037" t="s">
        <v>2036</v>
      </c>
      <c r="C35" s="1038">
        <v>0</v>
      </c>
      <c r="D35" s="1025"/>
      <c r="E35" s="1025"/>
      <c r="F35" s="1025"/>
      <c r="G35" s="1025"/>
      <c r="H35" s="1025"/>
      <c r="I35" s="1025"/>
      <c r="J35" s="1025"/>
      <c r="K35" s="1025"/>
      <c r="L35" s="1025"/>
      <c r="M35" s="1025"/>
      <c r="N35" s="1025"/>
    </row>
    <row r="36" spans="1:14" ht="12.75" thickBot="1">
      <c r="B36" s="1041" t="s">
        <v>2037</v>
      </c>
      <c r="C36" s="1042">
        <v>0</v>
      </c>
      <c r="D36" s="1025"/>
      <c r="E36" s="1025"/>
      <c r="F36" s="1025"/>
      <c r="G36" s="1025"/>
      <c r="H36" s="1025"/>
      <c r="I36" s="1025"/>
      <c r="J36" s="1025"/>
      <c r="K36" s="1025"/>
      <c r="L36" s="1025"/>
      <c r="M36" s="1025"/>
      <c r="N36" s="1025"/>
    </row>
    <row r="37" spans="1:14" ht="12.75" thickBot="1">
      <c r="B37" s="1033" t="s">
        <v>2038</v>
      </c>
      <c r="C37" s="1034">
        <v>0</v>
      </c>
      <c r="D37" s="1025"/>
      <c r="E37" s="1025"/>
      <c r="F37" s="1025"/>
      <c r="G37" s="1025"/>
      <c r="H37" s="1025"/>
      <c r="I37" s="1025"/>
      <c r="J37" s="1025"/>
      <c r="K37" s="1025"/>
      <c r="L37" s="1025"/>
      <c r="M37" s="1025"/>
      <c r="N37" s="1025"/>
    </row>
    <row r="38" spans="1:14" ht="12.75" thickBot="1">
      <c r="B38" s="1033" t="s">
        <v>2039</v>
      </c>
      <c r="C38" s="1034">
        <v>99.876840510481287</v>
      </c>
      <c r="D38" s="1025"/>
      <c r="E38" s="1025"/>
      <c r="F38" s="1025"/>
      <c r="G38" s="1025"/>
      <c r="H38" s="1025"/>
      <c r="I38" s="1025"/>
      <c r="J38" s="1025"/>
      <c r="K38" s="1025"/>
      <c r="L38" s="1025"/>
      <c r="M38" s="1025"/>
      <c r="N38" s="1025"/>
    </row>
    <row r="39" spans="1:14" ht="12.75" thickBot="1">
      <c r="B39" s="1033" t="s">
        <v>2040</v>
      </c>
      <c r="C39" s="1034">
        <v>0.12315948951873773</v>
      </c>
      <c r="D39" s="1025"/>
      <c r="E39" s="1025"/>
      <c r="F39" s="1025"/>
      <c r="G39" s="1025"/>
      <c r="H39" s="1025"/>
      <c r="I39" s="1025"/>
      <c r="J39" s="1025"/>
      <c r="K39" s="1025"/>
      <c r="L39" s="1025"/>
      <c r="M39" s="1025"/>
      <c r="N39" s="1025"/>
    </row>
    <row r="40" spans="1:14" ht="12.75" thickBot="1">
      <c r="B40" s="1035" t="s">
        <v>2063</v>
      </c>
      <c r="C40" s="1036">
        <v>0.12315948951873773</v>
      </c>
      <c r="D40" s="1025"/>
      <c r="E40" s="1025"/>
      <c r="F40" s="1025"/>
      <c r="G40" s="1025"/>
      <c r="H40" s="1025"/>
      <c r="I40" s="1025"/>
      <c r="J40" s="1025"/>
      <c r="K40" s="1025"/>
      <c r="L40" s="1025"/>
      <c r="M40" s="1025"/>
      <c r="N40" s="1025"/>
    </row>
    <row r="41" spans="1:14" ht="12.75" hidden="1" outlineLevel="1" thickBot="1">
      <c r="A41" s="1044"/>
      <c r="B41" s="1035" t="s">
        <v>2057</v>
      </c>
      <c r="C41" s="1036">
        <v>0</v>
      </c>
      <c r="D41" s="1044"/>
      <c r="E41" s="1025"/>
      <c r="F41" s="1025"/>
      <c r="G41" s="1025"/>
      <c r="H41" s="1025"/>
      <c r="I41" s="1025"/>
      <c r="J41" s="1025"/>
      <c r="K41" s="1025"/>
      <c r="L41" s="1025"/>
      <c r="M41" s="1025"/>
      <c r="N41" s="1025"/>
    </row>
    <row r="42" spans="1:14" ht="12.75" hidden="1" outlineLevel="1" thickBot="1">
      <c r="A42" s="1044"/>
      <c r="B42" s="1035" t="s">
        <v>2043</v>
      </c>
      <c r="C42" s="1036">
        <v>0</v>
      </c>
      <c r="D42" s="1044"/>
      <c r="E42" s="1025"/>
      <c r="F42" s="1025"/>
      <c r="G42" s="1025"/>
      <c r="H42" s="1025"/>
      <c r="I42" s="1025"/>
      <c r="J42" s="1025"/>
      <c r="K42" s="1025"/>
      <c r="L42" s="1025"/>
      <c r="M42" s="1025"/>
      <c r="N42" s="1025"/>
    </row>
    <row r="43" spans="1:14" ht="12.75" hidden="1" outlineLevel="1" thickBot="1">
      <c r="B43" s="1035" t="s">
        <v>2044</v>
      </c>
      <c r="C43" s="1036">
        <v>0</v>
      </c>
      <c r="D43" s="1025"/>
      <c r="E43" s="1025"/>
      <c r="F43" s="1025"/>
      <c r="G43" s="1025"/>
      <c r="H43" s="1025"/>
      <c r="I43" s="1025"/>
      <c r="J43" s="1025"/>
      <c r="K43" s="1025"/>
      <c r="L43" s="1025"/>
      <c r="M43" s="1025"/>
      <c r="N43" s="1025"/>
    </row>
    <row r="44" spans="1:14" ht="12.75" hidden="1" outlineLevel="1" thickBot="1">
      <c r="B44" s="1035" t="s">
        <v>2045</v>
      </c>
      <c r="C44" s="1036">
        <v>0</v>
      </c>
      <c r="E44" s="1025"/>
      <c r="F44" s="1025"/>
      <c r="G44" s="1025"/>
      <c r="H44" s="1025"/>
      <c r="I44" s="1025"/>
      <c r="J44" s="1025"/>
      <c r="K44" s="1025"/>
      <c r="L44" s="1025"/>
      <c r="M44" s="1025"/>
      <c r="N44" s="1025"/>
    </row>
    <row r="45" spans="1:14" ht="12.75" hidden="1" outlineLevel="1" thickBot="1">
      <c r="B45" s="1035" t="s">
        <v>2046</v>
      </c>
      <c r="C45" s="1036">
        <v>0</v>
      </c>
      <c r="E45" s="1025"/>
      <c r="F45" s="1025"/>
      <c r="G45" s="1025"/>
      <c r="H45" s="1025"/>
      <c r="I45" s="1025"/>
      <c r="J45" s="1025"/>
      <c r="K45" s="1025"/>
      <c r="L45" s="1025"/>
      <c r="M45" s="1025"/>
      <c r="N45" s="1025"/>
    </row>
    <row r="46" spans="1:14" ht="12.75" hidden="1" outlineLevel="1" thickBot="1">
      <c r="B46" s="1035" t="s">
        <v>2047</v>
      </c>
      <c r="C46" s="1036">
        <v>0</v>
      </c>
      <c r="E46" s="1025"/>
      <c r="F46" s="1025"/>
      <c r="G46" s="1025"/>
      <c r="H46" s="1025"/>
      <c r="I46" s="1025"/>
      <c r="J46" s="1025"/>
      <c r="K46" s="1025"/>
      <c r="L46" s="1025"/>
      <c r="M46" s="1025"/>
      <c r="N46" s="1025"/>
    </row>
    <row r="47" spans="1:14" ht="12.75" hidden="1" outlineLevel="1" thickBot="1">
      <c r="B47" s="1035" t="s">
        <v>2048</v>
      </c>
      <c r="C47" s="1036">
        <v>0</v>
      </c>
      <c r="E47" s="1025"/>
      <c r="F47" s="1025"/>
      <c r="G47" s="1025"/>
      <c r="H47" s="1025"/>
      <c r="I47" s="1025"/>
      <c r="J47" s="1025"/>
      <c r="K47" s="1025"/>
      <c r="L47" s="1025"/>
      <c r="M47" s="1025"/>
      <c r="N47" s="1025"/>
    </row>
    <row r="48" spans="1:14" ht="12.75" hidden="1" outlineLevel="1" thickBot="1">
      <c r="B48" s="1035" t="s">
        <v>2049</v>
      </c>
      <c r="C48" s="1036">
        <v>0</v>
      </c>
      <c r="E48" s="1025"/>
      <c r="F48" s="1025"/>
      <c r="G48" s="1025"/>
      <c r="H48" s="1025"/>
      <c r="I48" s="1025"/>
      <c r="J48" s="1025"/>
      <c r="K48" s="1025"/>
      <c r="L48" s="1025"/>
      <c r="M48" s="1025"/>
      <c r="N48" s="1025"/>
    </row>
    <row r="49" spans="2:14" ht="12.75" hidden="1" outlineLevel="1" thickBot="1">
      <c r="B49" s="1035" t="s">
        <v>2050</v>
      </c>
      <c r="C49" s="1036">
        <v>0</v>
      </c>
      <c r="E49" s="1025"/>
      <c r="F49" s="1025"/>
      <c r="G49" s="1025"/>
      <c r="H49" s="1025"/>
      <c r="I49" s="1025"/>
      <c r="J49" s="1025"/>
      <c r="K49" s="1025"/>
      <c r="L49" s="1025"/>
      <c r="M49" s="1025"/>
      <c r="N49" s="1025"/>
    </row>
    <row r="50" spans="2:14" ht="12.75" collapsed="1" thickBot="1">
      <c r="B50" s="1033" t="s">
        <v>390</v>
      </c>
      <c r="C50" s="1034">
        <f>SUM(C38:C39)</f>
        <v>100.00000000000003</v>
      </c>
      <c r="E50" s="1025"/>
      <c r="F50" s="1044"/>
      <c r="G50" s="1025"/>
      <c r="H50" s="1025"/>
      <c r="I50" s="1025"/>
      <c r="J50" s="1025"/>
      <c r="K50" s="1025"/>
      <c r="L50" s="1025"/>
      <c r="M50" s="1025"/>
      <c r="N50" s="1025"/>
    </row>
    <row r="51" spans="2:14">
      <c r="B51" s="1044"/>
      <c r="C51" s="1044"/>
      <c r="D51" s="1044"/>
      <c r="E51" s="1044"/>
      <c r="F51" s="1044"/>
      <c r="G51" s="1025"/>
      <c r="H51" s="1025"/>
      <c r="I51" s="1025"/>
      <c r="J51" s="1025"/>
      <c r="K51" s="1025"/>
      <c r="L51" s="1025"/>
      <c r="M51" s="1025"/>
      <c r="N51" s="1025"/>
    </row>
    <row r="52" spans="2:14">
      <c r="B52" s="1044"/>
      <c r="C52" s="1045"/>
      <c r="D52" s="1046" t="s">
        <v>2051</v>
      </c>
      <c r="E52" s="1047"/>
      <c r="F52" s="1048"/>
      <c r="G52" s="1025"/>
      <c r="H52" s="1025"/>
      <c r="I52" s="1025"/>
      <c r="J52" s="1025"/>
      <c r="K52" s="1025"/>
      <c r="L52" s="1025"/>
      <c r="M52" s="1025"/>
      <c r="N52" s="1025"/>
    </row>
    <row r="53" spans="2:14">
      <c r="B53" s="1025"/>
      <c r="C53" s="1025"/>
      <c r="D53" s="1025"/>
      <c r="E53" s="1025"/>
      <c r="F53" s="1025"/>
      <c r="G53" s="1025"/>
      <c r="H53" s="1025"/>
      <c r="I53" s="1025"/>
      <c r="J53" s="1025"/>
      <c r="K53" s="1025"/>
      <c r="L53" s="1025"/>
      <c r="M53" s="1025"/>
      <c r="N53" s="1025"/>
    </row>
    <row r="54" spans="2:14">
      <c r="B54" s="1025" t="s">
        <v>2052</v>
      </c>
      <c r="C54" s="1025"/>
      <c r="D54" s="1025"/>
      <c r="E54" s="1025"/>
      <c r="F54" s="1025"/>
      <c r="G54" s="1025"/>
      <c r="H54" s="1025"/>
      <c r="I54" s="1025"/>
      <c r="J54" s="1025"/>
      <c r="K54" s="1025"/>
      <c r="L54" s="1025"/>
      <c r="M54" s="1025"/>
      <c r="N54" s="1025"/>
    </row>
    <row r="55" spans="2:14">
      <c r="B55" s="1025"/>
      <c r="C55" s="1025"/>
      <c r="D55" s="1025"/>
      <c r="E55" s="1025"/>
      <c r="F55" s="1025"/>
      <c r="G55" s="1025"/>
      <c r="H55" s="1025"/>
      <c r="I55" s="1025"/>
      <c r="J55" s="1025"/>
      <c r="K55" s="1025"/>
      <c r="L55" s="1025"/>
      <c r="M55" s="1025"/>
      <c r="N55" s="1025"/>
    </row>
    <row r="56" spans="2:14">
      <c r="B56" s="1025" t="s">
        <v>2058</v>
      </c>
      <c r="C56" s="1025" t="s">
        <v>2059</v>
      </c>
      <c r="D56" s="1025"/>
      <c r="E56" s="1025"/>
      <c r="F56" s="1025"/>
      <c r="G56" s="1025"/>
      <c r="H56" s="1025"/>
      <c r="I56" s="1025"/>
      <c r="J56" s="1025"/>
      <c r="K56" s="1025"/>
      <c r="L56" s="1025"/>
      <c r="M56" s="1025"/>
      <c r="N56" s="1025"/>
    </row>
    <row r="57" spans="2:14">
      <c r="B57" s="1025"/>
      <c r="C57" s="1025"/>
      <c r="D57" s="1025"/>
      <c r="E57" s="1025"/>
      <c r="F57" s="1025"/>
      <c r="G57" s="1025"/>
      <c r="H57" s="1025"/>
      <c r="I57" s="1025"/>
      <c r="J57" s="1025"/>
      <c r="K57" s="1025"/>
      <c r="L57" s="1025"/>
      <c r="M57" s="1025"/>
      <c r="N57" s="1025"/>
    </row>
    <row r="58" spans="2:14">
      <c r="B58" s="1025"/>
      <c r="C58" s="1025"/>
      <c r="D58" s="1025"/>
      <c r="E58" s="1025"/>
      <c r="F58" s="1025"/>
      <c r="G58" s="1025"/>
      <c r="H58" s="1025"/>
      <c r="I58" s="1025"/>
      <c r="J58" s="1025"/>
      <c r="K58" s="1025"/>
      <c r="L58" s="1025"/>
      <c r="M58" s="1025"/>
      <c r="N58" s="1025"/>
    </row>
    <row r="59" spans="2:14">
      <c r="B59" s="1025"/>
      <c r="C59" s="1025"/>
      <c r="D59" s="1025"/>
      <c r="E59" s="1025"/>
      <c r="F59" s="1025"/>
      <c r="G59" s="1025"/>
      <c r="H59" s="1025"/>
      <c r="I59" s="1025"/>
      <c r="J59" s="1025"/>
      <c r="K59" s="1025"/>
      <c r="L59" s="1025"/>
      <c r="M59" s="1025"/>
      <c r="N59" s="1025"/>
    </row>
  </sheetData>
  <conditionalFormatting sqref="C9:C10 C12:C14">
    <cfRule type="cellIs" dxfId="5" priority="1" operator="equal">
      <formula>0</formula>
    </cfRule>
  </conditionalFormatting>
  <pageMargins left="0.78740157499999996" right="0.78740157499999996" top="0.984251969" bottom="0.984251969" header="0.4921259845" footer="0.4921259845"/>
  <pageSetup paperSize="9" fitToHeight="0" orientation="portrait" r:id="rId1"/>
  <headerFooter alignWithMargins="0">
    <oddHeader>&amp;L&amp;A&amp;CESU-services Ltd.&amp;R&amp;D</oddHeader>
    <oddFooter>&amp;L&amp;Z&amp;F</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zoomScale="80" zoomScaleNormal="80" workbookViewId="0">
      <selection activeCell="L67" sqref="L67"/>
    </sheetView>
  </sheetViews>
  <sheetFormatPr defaultColWidth="11.42578125" defaultRowHeight="12" outlineLevelRow="1"/>
  <cols>
    <col min="1" max="1" width="2.7109375" style="1025" customWidth="1"/>
    <col min="2" max="2" width="29.140625" style="1032" customWidth="1"/>
    <col min="3" max="6" width="12.85546875" style="1032" customWidth="1"/>
    <col min="7" max="16384" width="11.42578125" style="1032"/>
  </cols>
  <sheetData>
    <row r="1" spans="1:15" s="1025" customFormat="1" ht="12.75" thickBot="1"/>
    <row r="2" spans="1:15" s="1029" customFormat="1" ht="12.75" thickBot="1">
      <c r="A2" s="1026"/>
      <c r="B2" s="1027" t="s">
        <v>2064</v>
      </c>
      <c r="C2" s="1028" t="s">
        <v>2006</v>
      </c>
      <c r="D2" s="1026"/>
      <c r="E2" s="1026"/>
      <c r="F2" s="1026"/>
      <c r="G2" s="1026"/>
      <c r="H2" s="1026"/>
      <c r="I2" s="1026"/>
      <c r="J2" s="1026"/>
      <c r="K2" s="1026"/>
      <c r="L2" s="1026"/>
      <c r="M2" s="1026"/>
      <c r="N2" s="1026"/>
      <c r="O2" s="1026"/>
    </row>
    <row r="3" spans="1:15" ht="12.75" thickBot="1">
      <c r="B3" s="1030"/>
      <c r="C3" s="1031" t="s">
        <v>403</v>
      </c>
      <c r="D3" s="1025"/>
      <c r="E3" s="1025"/>
      <c r="F3" s="1025"/>
      <c r="G3" s="1025"/>
      <c r="H3" s="1025"/>
      <c r="I3" s="1025"/>
      <c r="J3" s="1025"/>
      <c r="K3" s="1025"/>
      <c r="L3" s="1025"/>
      <c r="M3" s="1025"/>
      <c r="N3" s="1025"/>
      <c r="O3" s="1025"/>
    </row>
    <row r="4" spans="1:15" ht="12.75" thickBot="1">
      <c r="B4" s="1033" t="s">
        <v>2007</v>
      </c>
      <c r="C4" s="1034">
        <v>80.834372039528148</v>
      </c>
      <c r="D4" s="1025"/>
      <c r="E4" s="1025"/>
      <c r="F4" s="1025"/>
      <c r="G4" s="1025"/>
      <c r="H4" s="1025"/>
      <c r="I4" s="1025"/>
      <c r="J4" s="1025"/>
      <c r="K4" s="1025"/>
      <c r="L4" s="1025"/>
      <c r="M4" s="1025"/>
      <c r="N4" s="1025"/>
      <c r="O4" s="1025"/>
    </row>
    <row r="5" spans="1:15">
      <c r="B5" s="1035" t="s">
        <v>1718</v>
      </c>
      <c r="C5" s="1036">
        <v>64.83756724867132</v>
      </c>
      <c r="D5" s="1025"/>
      <c r="E5" s="1025"/>
      <c r="F5" s="1025"/>
      <c r="G5" s="1025"/>
      <c r="H5" s="1025"/>
      <c r="I5" s="1025"/>
      <c r="J5" s="1025"/>
      <c r="K5" s="1025"/>
      <c r="L5" s="1025"/>
      <c r="M5" s="1025"/>
      <c r="N5" s="1025"/>
      <c r="O5" s="1025"/>
    </row>
    <row r="6" spans="1:15">
      <c r="B6" s="1037" t="s">
        <v>2008</v>
      </c>
      <c r="C6" s="1038">
        <v>2.1382539230894242</v>
      </c>
      <c r="D6" s="1025"/>
      <c r="E6" s="1025"/>
      <c r="F6" s="1025"/>
      <c r="G6" s="1025"/>
      <c r="H6" s="1025"/>
      <c r="I6" s="1025"/>
      <c r="J6" s="1025"/>
      <c r="K6" s="1025"/>
      <c r="L6" s="1025"/>
      <c r="M6" s="1025"/>
      <c r="N6" s="1025"/>
      <c r="O6" s="1025"/>
    </row>
    <row r="7" spans="1:15">
      <c r="B7" s="1037" t="s">
        <v>2009</v>
      </c>
      <c r="C7" s="1038">
        <v>0</v>
      </c>
      <c r="D7" s="1025"/>
      <c r="E7" s="1025"/>
      <c r="F7" s="1025"/>
      <c r="G7" s="1025"/>
      <c r="H7" s="1025"/>
      <c r="I7" s="1025"/>
      <c r="J7" s="1025"/>
      <c r="K7" s="1025"/>
      <c r="L7" s="1025"/>
      <c r="M7" s="1025"/>
      <c r="N7" s="1025"/>
      <c r="O7" s="1025"/>
    </row>
    <row r="8" spans="1:15">
      <c r="B8" s="1037" t="s">
        <v>2010</v>
      </c>
      <c r="C8" s="1038">
        <v>0.16865433590832193</v>
      </c>
      <c r="D8" s="1025"/>
      <c r="E8" s="1025"/>
      <c r="F8" s="1025"/>
      <c r="G8" s="1025"/>
      <c r="H8" s="1025"/>
      <c r="I8" s="1025"/>
      <c r="J8" s="1025"/>
      <c r="K8" s="1025"/>
      <c r="L8" s="1025"/>
      <c r="M8" s="1025"/>
      <c r="N8" s="1025"/>
      <c r="O8" s="1025"/>
    </row>
    <row r="9" spans="1:15">
      <c r="B9" s="1039" t="s">
        <v>2011</v>
      </c>
      <c r="C9" s="1040">
        <v>0</v>
      </c>
      <c r="D9" s="1025"/>
      <c r="E9" s="1025"/>
      <c r="F9" s="1025"/>
      <c r="G9" s="1025"/>
      <c r="H9" s="1025"/>
      <c r="I9" s="1025"/>
      <c r="J9" s="1025"/>
      <c r="K9" s="1025"/>
      <c r="L9" s="1025"/>
      <c r="M9" s="1025"/>
      <c r="N9" s="1025"/>
      <c r="O9" s="1025"/>
    </row>
    <row r="10" spans="1:15">
      <c r="B10" s="1039" t="s">
        <v>2012</v>
      </c>
      <c r="C10" s="1040">
        <v>0</v>
      </c>
      <c r="D10" s="1025"/>
      <c r="E10" s="1025"/>
      <c r="F10" s="1025"/>
      <c r="G10" s="1025"/>
      <c r="H10" s="1025"/>
      <c r="I10" s="1025"/>
      <c r="J10" s="1025"/>
      <c r="K10" s="1025"/>
      <c r="L10" s="1025"/>
      <c r="M10" s="1025"/>
      <c r="N10" s="1025"/>
      <c r="O10" s="1025"/>
    </row>
    <row r="11" spans="1:15">
      <c r="B11" s="1037" t="s">
        <v>2013</v>
      </c>
      <c r="C11" s="1038">
        <v>4.0274183654527116</v>
      </c>
      <c r="D11" s="1025"/>
      <c r="E11" s="1025"/>
      <c r="F11" s="1025"/>
      <c r="G11" s="1025"/>
      <c r="H11" s="1025"/>
      <c r="I11" s="1025"/>
      <c r="J11" s="1025"/>
      <c r="K11" s="1025"/>
      <c r="L11" s="1025"/>
      <c r="M11" s="1025"/>
      <c r="N11" s="1025"/>
      <c r="O11" s="1025"/>
    </row>
    <row r="12" spans="1:15">
      <c r="B12" s="1039" t="s">
        <v>2014</v>
      </c>
      <c r="C12" s="1040">
        <v>0</v>
      </c>
      <c r="D12" s="1025"/>
      <c r="E12" s="1025"/>
      <c r="F12" s="1025"/>
      <c r="G12" s="1025"/>
      <c r="H12" s="1025"/>
      <c r="I12" s="1025"/>
      <c r="J12" s="1025"/>
      <c r="K12" s="1025"/>
      <c r="L12" s="1025"/>
      <c r="M12" s="1025"/>
      <c r="N12" s="1025"/>
      <c r="O12" s="1025"/>
    </row>
    <row r="13" spans="1:15">
      <c r="B13" s="1039" t="s">
        <v>2015</v>
      </c>
      <c r="C13" s="1040">
        <v>0</v>
      </c>
      <c r="D13" s="1025"/>
      <c r="E13" s="1025"/>
      <c r="F13" s="1025"/>
      <c r="G13" s="1025"/>
      <c r="H13" s="1025"/>
      <c r="I13" s="1025"/>
      <c r="J13" s="1025"/>
      <c r="K13" s="1025"/>
      <c r="L13" s="1025"/>
      <c r="M13" s="1025"/>
      <c r="N13" s="1025"/>
      <c r="O13" s="1025"/>
    </row>
    <row r="14" spans="1:15">
      <c r="B14" s="1039" t="s">
        <v>2016</v>
      </c>
      <c r="C14" s="1040">
        <v>0</v>
      </c>
      <c r="D14" s="1025"/>
      <c r="E14" s="1025"/>
      <c r="F14" s="1025"/>
      <c r="G14" s="1025"/>
      <c r="H14" s="1025"/>
      <c r="I14" s="1025"/>
      <c r="J14" s="1025"/>
      <c r="K14" s="1025"/>
      <c r="L14" s="1025"/>
      <c r="M14" s="1025"/>
      <c r="N14" s="1025"/>
      <c r="O14" s="1025"/>
    </row>
    <row r="15" spans="1:15">
      <c r="B15" s="1037" t="s">
        <v>2017</v>
      </c>
      <c r="C15" s="1038">
        <v>9.6624781664063573</v>
      </c>
      <c r="D15" s="1025"/>
      <c r="E15" s="1025"/>
      <c r="F15" s="1025"/>
      <c r="G15" s="1025"/>
      <c r="H15" s="1025"/>
      <c r="I15" s="1025"/>
      <c r="J15" s="1025"/>
      <c r="K15" s="1025"/>
      <c r="L15" s="1025"/>
      <c r="M15" s="1025"/>
      <c r="N15" s="1025"/>
      <c r="O15" s="1025"/>
    </row>
    <row r="16" spans="1:15" ht="12.75" thickBot="1">
      <c r="B16" s="1041" t="s">
        <v>2018</v>
      </c>
      <c r="C16" s="1042">
        <v>0</v>
      </c>
      <c r="D16" s="1025"/>
      <c r="E16" s="1025"/>
      <c r="F16" s="1025"/>
      <c r="G16" s="1025"/>
      <c r="H16" s="1025"/>
      <c r="I16" s="1025"/>
      <c r="J16" s="1025"/>
      <c r="K16" s="1025"/>
      <c r="L16" s="1025"/>
      <c r="M16" s="1025"/>
      <c r="N16" s="1025"/>
      <c r="O16" s="1025"/>
    </row>
    <row r="17" spans="2:15" ht="12.75" thickBot="1">
      <c r="B17" s="1033" t="s">
        <v>2019</v>
      </c>
      <c r="C17" s="1034">
        <v>14.282946101818137</v>
      </c>
      <c r="D17" s="1025"/>
      <c r="E17" s="1025"/>
      <c r="F17" s="1025"/>
      <c r="G17" s="1025"/>
      <c r="H17" s="1025"/>
      <c r="I17" s="1025"/>
      <c r="J17" s="1025"/>
      <c r="K17" s="1025"/>
      <c r="L17" s="1025"/>
      <c r="M17" s="1025"/>
      <c r="N17" s="1025"/>
      <c r="O17" s="1025"/>
    </row>
    <row r="18" spans="2:15">
      <c r="B18" s="1035" t="s">
        <v>2020</v>
      </c>
      <c r="C18" s="1036">
        <v>11.01048033980787</v>
      </c>
      <c r="D18" s="1025"/>
      <c r="E18" s="1025"/>
      <c r="F18" s="1025"/>
      <c r="G18" s="1025"/>
      <c r="H18" s="1025"/>
      <c r="I18" s="1025"/>
      <c r="J18" s="1025"/>
      <c r="K18" s="1025"/>
      <c r="L18" s="1025"/>
      <c r="M18" s="1025"/>
      <c r="N18" s="1025"/>
      <c r="O18" s="1025"/>
    </row>
    <row r="19" spans="2:15">
      <c r="B19" s="1037" t="s">
        <v>2021</v>
      </c>
      <c r="C19" s="1038">
        <v>1.5156633914866353</v>
      </c>
      <c r="D19" s="1025"/>
      <c r="E19" s="1025"/>
      <c r="F19" s="1025"/>
      <c r="G19" s="1025"/>
      <c r="H19" s="1025"/>
      <c r="I19" s="1025"/>
      <c r="J19" s="1025"/>
      <c r="K19" s="1025"/>
      <c r="L19" s="1025"/>
      <c r="M19" s="1025"/>
      <c r="N19" s="1025"/>
      <c r="O19" s="1025"/>
    </row>
    <row r="20" spans="2:15" ht="12.75" thickBot="1">
      <c r="B20" s="1041" t="s">
        <v>2022</v>
      </c>
      <c r="C20" s="1042">
        <v>1.7568023705236309</v>
      </c>
      <c r="D20" s="1025"/>
      <c r="E20" s="1025"/>
      <c r="F20" s="1025"/>
      <c r="G20" s="1025"/>
      <c r="H20" s="1025"/>
      <c r="I20" s="1025"/>
      <c r="J20" s="1025"/>
      <c r="K20" s="1025"/>
      <c r="L20" s="1025"/>
      <c r="M20" s="1025"/>
      <c r="N20" s="1025"/>
      <c r="O20" s="1025"/>
    </row>
    <row r="21" spans="2:15" ht="12.75" thickBot="1">
      <c r="B21" s="1033" t="s">
        <v>2023</v>
      </c>
      <c r="C21" s="1034">
        <v>1.7457596820940253</v>
      </c>
      <c r="D21" s="1025"/>
      <c r="E21" s="1025"/>
      <c r="F21" s="1025"/>
      <c r="G21" s="1025"/>
      <c r="H21" s="1025"/>
      <c r="I21" s="1025"/>
      <c r="J21" s="1025"/>
      <c r="K21" s="1025"/>
      <c r="L21" s="1025"/>
      <c r="M21" s="1025"/>
      <c r="N21" s="1025"/>
      <c r="O21" s="1025"/>
    </row>
    <row r="22" spans="2:15">
      <c r="B22" s="1035" t="s">
        <v>2024</v>
      </c>
      <c r="C22" s="1036">
        <v>1.6264866452850506</v>
      </c>
      <c r="D22" s="1025"/>
      <c r="E22" s="1025"/>
      <c r="F22" s="1025"/>
      <c r="G22" s="1025"/>
      <c r="H22" s="1025"/>
      <c r="I22" s="1025"/>
      <c r="J22" s="1025"/>
      <c r="K22" s="1025"/>
      <c r="L22" s="1025"/>
      <c r="M22" s="1025"/>
      <c r="N22" s="1025"/>
      <c r="O22" s="1025"/>
    </row>
    <row r="23" spans="2:15" ht="12.75" thickBot="1">
      <c r="B23" s="1041" t="s">
        <v>2025</v>
      </c>
      <c r="C23" s="1042">
        <v>0.11927303680897461</v>
      </c>
      <c r="D23" s="1025"/>
      <c r="E23" s="1025"/>
      <c r="F23" s="1025"/>
      <c r="G23" s="1025"/>
      <c r="H23" s="1025"/>
      <c r="I23" s="1025"/>
      <c r="J23" s="1025"/>
      <c r="K23" s="1025"/>
      <c r="L23" s="1025"/>
      <c r="M23" s="1025"/>
      <c r="N23" s="1025"/>
      <c r="O23" s="1025"/>
    </row>
    <row r="24" spans="2:15" ht="12.75" thickBot="1">
      <c r="B24" s="1033" t="s">
        <v>2026</v>
      </c>
      <c r="C24" s="1034">
        <v>1.9694402927076975</v>
      </c>
      <c r="D24" s="1025"/>
      <c r="E24" s="1025"/>
      <c r="F24" s="1025"/>
      <c r="G24" s="1025"/>
      <c r="H24" s="1025"/>
      <c r="I24" s="1025"/>
      <c r="J24" s="1025"/>
      <c r="K24" s="1025"/>
      <c r="L24" s="1025"/>
      <c r="M24" s="1025"/>
      <c r="N24" s="1025"/>
      <c r="O24" s="1025"/>
    </row>
    <row r="25" spans="2:15">
      <c r="B25" s="1035" t="s">
        <v>2027</v>
      </c>
      <c r="C25" s="1036">
        <v>0</v>
      </c>
      <c r="D25" s="1025"/>
      <c r="E25" s="1025"/>
      <c r="F25" s="1025"/>
      <c r="G25" s="1025"/>
      <c r="H25" s="1025"/>
      <c r="I25" s="1025"/>
      <c r="J25" s="1025"/>
      <c r="K25" s="1025"/>
      <c r="L25" s="1025"/>
      <c r="M25" s="1025"/>
      <c r="N25" s="1025"/>
      <c r="O25" s="1025"/>
    </row>
    <row r="26" spans="2:15">
      <c r="B26" s="1037" t="s">
        <v>2028</v>
      </c>
      <c r="C26" s="1038">
        <v>0</v>
      </c>
      <c r="D26" s="1025"/>
      <c r="E26" s="1025"/>
      <c r="F26" s="1025"/>
      <c r="G26" s="1025"/>
      <c r="H26" s="1025"/>
      <c r="I26" s="1025"/>
      <c r="J26" s="1025"/>
      <c r="K26" s="1025"/>
      <c r="L26" s="1025"/>
      <c r="M26" s="1025"/>
      <c r="N26" s="1025"/>
      <c r="O26" s="1025"/>
    </row>
    <row r="27" spans="2:15">
      <c r="B27" s="1039" t="s">
        <v>2029</v>
      </c>
      <c r="C27" s="1040">
        <v>2.373084594704037E-3</v>
      </c>
      <c r="D27" s="1025"/>
      <c r="E27" s="1025"/>
      <c r="F27" s="1025"/>
      <c r="G27" s="1025"/>
      <c r="H27" s="1025"/>
      <c r="I27" s="1025"/>
      <c r="J27" s="1025"/>
      <c r="K27" s="1025"/>
      <c r="L27" s="1025"/>
      <c r="M27" s="1025"/>
      <c r="N27" s="1025"/>
      <c r="O27" s="1025"/>
    </row>
    <row r="28" spans="2:15">
      <c r="B28" s="1039" t="s">
        <v>2030</v>
      </c>
      <c r="C28" s="1040">
        <v>0</v>
      </c>
      <c r="D28" s="1025"/>
      <c r="E28" s="1025"/>
      <c r="F28" s="1025"/>
      <c r="G28" s="1025"/>
      <c r="H28" s="1025"/>
      <c r="I28" s="1025"/>
      <c r="J28" s="1025"/>
      <c r="K28" s="1025"/>
      <c r="L28" s="1025"/>
      <c r="M28" s="1025"/>
      <c r="N28" s="1025"/>
      <c r="O28" s="1025"/>
    </row>
    <row r="29" spans="2:15">
      <c r="B29" s="1037" t="s">
        <v>2031</v>
      </c>
      <c r="C29" s="1038">
        <v>0</v>
      </c>
      <c r="D29" s="1025"/>
      <c r="E29" s="1025"/>
      <c r="F29" s="1025"/>
      <c r="G29" s="1025"/>
      <c r="H29" s="1025"/>
      <c r="I29" s="1025"/>
      <c r="J29" s="1025"/>
      <c r="K29" s="1025"/>
      <c r="L29" s="1025"/>
      <c r="M29" s="1025"/>
      <c r="N29" s="1025"/>
      <c r="O29" s="1025"/>
    </row>
    <row r="30" spans="2:15">
      <c r="B30" s="1037" t="s">
        <v>2032</v>
      </c>
      <c r="C30" s="1038">
        <v>1.7343714005975255</v>
      </c>
      <c r="D30" s="1025"/>
      <c r="E30" s="1025"/>
      <c r="F30" s="1025"/>
      <c r="G30" s="1025"/>
      <c r="H30" s="1025"/>
      <c r="I30" s="1025"/>
      <c r="J30" s="1025"/>
      <c r="K30" s="1025"/>
      <c r="L30" s="1025"/>
      <c r="M30" s="1025"/>
      <c r="N30" s="1025"/>
      <c r="O30" s="1025"/>
    </row>
    <row r="31" spans="2:15">
      <c r="B31" s="1037" t="s">
        <v>2033</v>
      </c>
      <c r="C31" s="1038">
        <v>0.23269580751546798</v>
      </c>
      <c r="D31" s="1025"/>
      <c r="E31" s="1025"/>
      <c r="F31" s="1025"/>
      <c r="G31" s="1025"/>
      <c r="H31" s="1025"/>
      <c r="I31" s="1025"/>
      <c r="J31" s="1025"/>
      <c r="K31" s="1025"/>
      <c r="L31" s="1025"/>
      <c r="M31" s="1025"/>
      <c r="N31" s="1025"/>
      <c r="O31" s="1025"/>
    </row>
    <row r="32" spans="2:15" ht="12.75" thickBot="1">
      <c r="B32" s="1041" t="s">
        <v>2034</v>
      </c>
      <c r="C32" s="1042">
        <v>0</v>
      </c>
      <c r="D32" s="1025"/>
      <c r="E32" s="1025"/>
      <c r="F32" s="1025"/>
      <c r="G32" s="1025"/>
      <c r="H32" s="1025"/>
      <c r="I32" s="1025"/>
      <c r="J32" s="1025"/>
      <c r="K32" s="1025"/>
      <c r="L32" s="1025"/>
      <c r="M32" s="1025"/>
      <c r="N32" s="1025"/>
      <c r="O32" s="1025"/>
    </row>
    <row r="33" spans="1:15" ht="12.75" thickBot="1">
      <c r="B33" s="1033" t="s">
        <v>794</v>
      </c>
      <c r="C33" s="1034">
        <v>0</v>
      </c>
      <c r="D33" s="1025"/>
      <c r="E33" s="1025"/>
      <c r="F33" s="1025"/>
      <c r="G33" s="1025"/>
      <c r="H33" s="1025"/>
      <c r="I33" s="1025"/>
      <c r="J33" s="1025"/>
      <c r="K33" s="1025"/>
      <c r="L33" s="1025"/>
      <c r="M33" s="1025"/>
      <c r="N33" s="1025"/>
      <c r="O33" s="1025"/>
    </row>
    <row r="34" spans="1:15">
      <c r="B34" s="1035" t="s">
        <v>2035</v>
      </c>
      <c r="C34" s="1036">
        <v>0</v>
      </c>
      <c r="D34" s="1025"/>
      <c r="E34" s="1025"/>
      <c r="F34" s="1025"/>
      <c r="G34" s="1025"/>
      <c r="H34" s="1025"/>
      <c r="I34" s="1025"/>
      <c r="J34" s="1025"/>
      <c r="K34" s="1025"/>
      <c r="L34" s="1025"/>
      <c r="M34" s="1025"/>
      <c r="N34" s="1025"/>
      <c r="O34" s="1025"/>
    </row>
    <row r="35" spans="1:15">
      <c r="B35" s="1037" t="s">
        <v>2036</v>
      </c>
      <c r="C35" s="1038">
        <v>0</v>
      </c>
      <c r="D35" s="1025"/>
      <c r="E35" s="1025"/>
      <c r="F35" s="1025"/>
      <c r="G35" s="1025"/>
      <c r="H35" s="1025"/>
      <c r="I35" s="1025"/>
      <c r="J35" s="1025"/>
      <c r="K35" s="1025"/>
      <c r="L35" s="1025"/>
      <c r="M35" s="1025"/>
      <c r="N35" s="1025"/>
      <c r="O35" s="1025"/>
    </row>
    <row r="36" spans="1:15" ht="12.75" thickBot="1">
      <c r="B36" s="1041" t="s">
        <v>2037</v>
      </c>
      <c r="C36" s="1042">
        <v>0</v>
      </c>
      <c r="D36" s="1025"/>
      <c r="E36" s="1025"/>
      <c r="F36" s="1025"/>
      <c r="G36" s="1025"/>
      <c r="H36" s="1025"/>
      <c r="I36" s="1025"/>
      <c r="J36" s="1025"/>
      <c r="K36" s="1025"/>
      <c r="L36" s="1025"/>
      <c r="M36" s="1025"/>
      <c r="N36" s="1025"/>
      <c r="O36" s="1025"/>
    </row>
    <row r="37" spans="1:15" ht="12.75" thickBot="1">
      <c r="B37" s="1033" t="s">
        <v>2038</v>
      </c>
      <c r="C37" s="1034">
        <v>0</v>
      </c>
      <c r="D37" s="1025"/>
      <c r="E37" s="1025"/>
      <c r="F37" s="1025"/>
      <c r="G37" s="1025"/>
      <c r="H37" s="1025"/>
      <c r="I37" s="1025"/>
      <c r="J37" s="1025"/>
      <c r="K37" s="1025"/>
      <c r="L37" s="1025"/>
      <c r="M37" s="1025"/>
      <c r="N37" s="1025"/>
      <c r="O37" s="1025"/>
    </row>
    <row r="38" spans="1:15" ht="12.75" thickBot="1">
      <c r="B38" s="1033" t="s">
        <v>2039</v>
      </c>
      <c r="C38" s="1034">
        <v>98.832518116148009</v>
      </c>
      <c r="D38" s="1025"/>
      <c r="E38" s="1025"/>
      <c r="F38" s="1025"/>
      <c r="G38" s="1025"/>
      <c r="H38" s="1025"/>
      <c r="I38" s="1025"/>
      <c r="J38" s="1025"/>
      <c r="K38" s="1025"/>
      <c r="L38" s="1025"/>
      <c r="M38" s="1025"/>
      <c r="N38" s="1025"/>
      <c r="O38" s="1025"/>
    </row>
    <row r="39" spans="1:15" ht="12.75" thickBot="1">
      <c r="B39" s="1033" t="s">
        <v>2040</v>
      </c>
      <c r="C39" s="1034">
        <v>1.1674818838520025</v>
      </c>
      <c r="D39" s="1025"/>
      <c r="E39" s="1025"/>
      <c r="F39" s="1025"/>
      <c r="G39" s="1025"/>
      <c r="H39" s="1025"/>
      <c r="I39" s="1025"/>
      <c r="J39" s="1025"/>
      <c r="K39" s="1025"/>
      <c r="L39" s="1025"/>
      <c r="M39" s="1025"/>
      <c r="N39" s="1025"/>
      <c r="O39" s="1025"/>
    </row>
    <row r="40" spans="1:15" ht="12.75" thickBot="1">
      <c r="B40" s="1035" t="s">
        <v>2065</v>
      </c>
      <c r="C40" s="1036">
        <v>1.1674818838520025</v>
      </c>
      <c r="D40" s="1025"/>
      <c r="E40" s="1025"/>
      <c r="F40" s="1025"/>
      <c r="G40" s="1025"/>
      <c r="H40" s="1025"/>
      <c r="I40" s="1025"/>
      <c r="J40" s="1025"/>
      <c r="K40" s="1025"/>
      <c r="L40" s="1025"/>
      <c r="M40" s="1025"/>
      <c r="N40" s="1025"/>
      <c r="O40" s="1025"/>
    </row>
    <row r="41" spans="1:15" ht="12.75" hidden="1" outlineLevel="1" thickBot="1">
      <c r="A41" s="1044"/>
      <c r="B41" s="1035" t="s">
        <v>2057</v>
      </c>
      <c r="C41" s="1036">
        <v>0</v>
      </c>
      <c r="D41" s="1044"/>
      <c r="E41" s="1025"/>
      <c r="F41" s="1025"/>
      <c r="G41" s="1025"/>
      <c r="H41" s="1025"/>
      <c r="I41" s="1025"/>
      <c r="J41" s="1025"/>
      <c r="K41" s="1025"/>
      <c r="L41" s="1025"/>
      <c r="M41" s="1025"/>
      <c r="N41" s="1025"/>
      <c r="O41" s="1025"/>
    </row>
    <row r="42" spans="1:15" ht="12.75" hidden="1" outlineLevel="1" thickBot="1">
      <c r="A42" s="1044"/>
      <c r="B42" s="1035" t="s">
        <v>2043</v>
      </c>
      <c r="C42" s="1036">
        <v>0</v>
      </c>
      <c r="D42" s="1044"/>
      <c r="E42" s="1025"/>
      <c r="F42" s="1025"/>
      <c r="G42" s="1025"/>
      <c r="H42" s="1025"/>
      <c r="I42" s="1025"/>
      <c r="J42" s="1025"/>
      <c r="K42" s="1025"/>
      <c r="L42" s="1025"/>
      <c r="M42" s="1025"/>
      <c r="N42" s="1025"/>
      <c r="O42" s="1025"/>
    </row>
    <row r="43" spans="1:15" ht="12.75" hidden="1" outlineLevel="1" thickBot="1">
      <c r="B43" s="1035" t="s">
        <v>2044</v>
      </c>
      <c r="C43" s="1036">
        <v>0</v>
      </c>
      <c r="D43" s="1025"/>
      <c r="E43" s="1025"/>
      <c r="F43" s="1025"/>
      <c r="G43" s="1025"/>
      <c r="H43" s="1025"/>
      <c r="I43" s="1025"/>
      <c r="J43" s="1025"/>
      <c r="K43" s="1025"/>
      <c r="L43" s="1025"/>
      <c r="M43" s="1025"/>
      <c r="N43" s="1025"/>
      <c r="O43" s="1025"/>
    </row>
    <row r="44" spans="1:15" ht="12.75" hidden="1" outlineLevel="1" thickBot="1">
      <c r="B44" s="1035" t="s">
        <v>2045</v>
      </c>
      <c r="C44" s="1036">
        <v>0</v>
      </c>
      <c r="E44" s="1025"/>
      <c r="F44" s="1025"/>
      <c r="G44" s="1025"/>
      <c r="H44" s="1025"/>
      <c r="I44" s="1025"/>
      <c r="J44" s="1025"/>
      <c r="K44" s="1025"/>
      <c r="L44" s="1025"/>
      <c r="M44" s="1025"/>
      <c r="N44" s="1025"/>
      <c r="O44" s="1025"/>
    </row>
    <row r="45" spans="1:15" ht="12.75" hidden="1" outlineLevel="1" thickBot="1">
      <c r="B45" s="1035" t="s">
        <v>2046</v>
      </c>
      <c r="C45" s="1036">
        <v>0</v>
      </c>
      <c r="E45" s="1025"/>
      <c r="F45" s="1025"/>
      <c r="G45" s="1025"/>
      <c r="H45" s="1025"/>
      <c r="I45" s="1025"/>
      <c r="J45" s="1025"/>
      <c r="K45" s="1025"/>
      <c r="L45" s="1025"/>
      <c r="M45" s="1025"/>
      <c r="N45" s="1025"/>
      <c r="O45" s="1025"/>
    </row>
    <row r="46" spans="1:15" ht="12.75" hidden="1" outlineLevel="1" thickBot="1">
      <c r="B46" s="1035" t="s">
        <v>2047</v>
      </c>
      <c r="C46" s="1036">
        <v>0</v>
      </c>
      <c r="E46" s="1025"/>
      <c r="F46" s="1025"/>
      <c r="G46" s="1025"/>
      <c r="H46" s="1025"/>
      <c r="I46" s="1025"/>
      <c r="J46" s="1025"/>
      <c r="K46" s="1025"/>
      <c r="L46" s="1025"/>
      <c r="M46" s="1025"/>
      <c r="N46" s="1025"/>
      <c r="O46" s="1025"/>
    </row>
    <row r="47" spans="1:15" ht="12.75" hidden="1" outlineLevel="1" thickBot="1">
      <c r="B47" s="1035" t="s">
        <v>2048</v>
      </c>
      <c r="C47" s="1036">
        <v>0</v>
      </c>
      <c r="E47" s="1025"/>
      <c r="F47" s="1025"/>
      <c r="G47" s="1025"/>
      <c r="H47" s="1025"/>
      <c r="I47" s="1025"/>
      <c r="J47" s="1025"/>
      <c r="K47" s="1025"/>
      <c r="L47" s="1025"/>
      <c r="M47" s="1025"/>
      <c r="N47" s="1025"/>
      <c r="O47" s="1025"/>
    </row>
    <row r="48" spans="1:15" ht="12.75" hidden="1" outlineLevel="1" thickBot="1">
      <c r="B48" s="1035" t="s">
        <v>2049</v>
      </c>
      <c r="C48" s="1036">
        <v>0</v>
      </c>
      <c r="E48" s="1025"/>
      <c r="F48" s="1025"/>
      <c r="G48" s="1025"/>
      <c r="H48" s="1025"/>
      <c r="I48" s="1025"/>
      <c r="J48" s="1025"/>
      <c r="K48" s="1025"/>
      <c r="L48" s="1025"/>
      <c r="M48" s="1025"/>
      <c r="N48" s="1025"/>
      <c r="O48" s="1025"/>
    </row>
    <row r="49" spans="2:15" ht="12.75" hidden="1" outlineLevel="1" thickBot="1">
      <c r="B49" s="1035" t="s">
        <v>2050</v>
      </c>
      <c r="C49" s="1036">
        <v>0</v>
      </c>
      <c r="E49" s="1025"/>
      <c r="F49" s="1025"/>
      <c r="G49" s="1025"/>
      <c r="H49" s="1025"/>
      <c r="I49" s="1025"/>
      <c r="J49" s="1025"/>
      <c r="K49" s="1025"/>
      <c r="L49" s="1025"/>
      <c r="M49" s="1025"/>
      <c r="N49" s="1025"/>
      <c r="O49" s="1025"/>
    </row>
    <row r="50" spans="2:15" ht="12.75" collapsed="1" thickBot="1">
      <c r="B50" s="1033" t="s">
        <v>390</v>
      </c>
      <c r="C50" s="1034">
        <f>SUM(C38:C39)</f>
        <v>100.00000000000001</v>
      </c>
      <c r="D50" s="1025"/>
      <c r="E50" s="1025"/>
      <c r="F50" s="1044"/>
      <c r="G50" s="1025"/>
      <c r="H50" s="1025"/>
      <c r="I50" s="1025"/>
      <c r="J50" s="1025"/>
      <c r="K50" s="1025"/>
      <c r="L50" s="1025"/>
      <c r="M50" s="1025"/>
      <c r="N50" s="1025"/>
      <c r="O50" s="1025"/>
    </row>
    <row r="51" spans="2:15">
      <c r="B51" s="1044"/>
      <c r="C51" s="1044"/>
      <c r="D51" s="1044"/>
      <c r="E51" s="1044"/>
      <c r="F51" s="1044"/>
      <c r="G51" s="1025"/>
      <c r="H51" s="1025"/>
      <c r="I51" s="1025"/>
      <c r="J51" s="1025"/>
      <c r="K51" s="1025"/>
      <c r="L51" s="1025"/>
      <c r="M51" s="1025"/>
      <c r="N51" s="1025"/>
      <c r="O51" s="1025"/>
    </row>
    <row r="52" spans="2:15">
      <c r="B52" s="1044"/>
      <c r="C52" s="1045"/>
      <c r="D52" s="1046" t="s">
        <v>2051</v>
      </c>
      <c r="E52" s="1047"/>
      <c r="F52" s="1048"/>
      <c r="G52" s="1025"/>
      <c r="H52" s="1025"/>
      <c r="I52" s="1025"/>
      <c r="J52" s="1025"/>
      <c r="K52" s="1025"/>
      <c r="L52" s="1025"/>
      <c r="M52" s="1025"/>
      <c r="N52" s="1025"/>
      <c r="O52" s="1025"/>
    </row>
    <row r="53" spans="2:15">
      <c r="C53" s="1025"/>
      <c r="D53" s="1025"/>
      <c r="E53" s="1025"/>
      <c r="F53" s="1025"/>
      <c r="G53" s="1025"/>
      <c r="H53" s="1025"/>
      <c r="I53" s="1025"/>
      <c r="J53" s="1025"/>
      <c r="K53" s="1025"/>
      <c r="L53" s="1025"/>
      <c r="M53" s="1025"/>
      <c r="N53" s="1025"/>
      <c r="O53" s="1025"/>
    </row>
    <row r="54" spans="2:15">
      <c r="B54" s="1025" t="s">
        <v>2052</v>
      </c>
      <c r="C54" s="1025"/>
      <c r="D54" s="1025"/>
      <c r="E54" s="1025"/>
      <c r="F54" s="1025"/>
      <c r="G54" s="1025"/>
      <c r="H54" s="1025"/>
      <c r="I54" s="1025"/>
      <c r="J54" s="1025"/>
      <c r="K54" s="1025"/>
      <c r="L54" s="1025"/>
      <c r="M54" s="1025"/>
      <c r="N54" s="1025"/>
      <c r="O54" s="1025"/>
    </row>
    <row r="55" spans="2:15">
      <c r="B55" s="1025"/>
      <c r="C55" s="1025"/>
      <c r="D55" s="1025"/>
      <c r="E55" s="1025"/>
      <c r="F55" s="1025"/>
      <c r="G55" s="1025"/>
      <c r="H55" s="1025"/>
      <c r="I55" s="1025"/>
      <c r="J55" s="1025"/>
      <c r="K55" s="1025"/>
      <c r="L55" s="1025"/>
      <c r="M55" s="1025"/>
      <c r="N55" s="1025"/>
      <c r="O55" s="1025"/>
    </row>
    <row r="56" spans="2:15">
      <c r="B56" s="1025" t="s">
        <v>2058</v>
      </c>
      <c r="C56" s="1025" t="s">
        <v>2059</v>
      </c>
      <c r="D56" s="1025"/>
      <c r="E56" s="1025"/>
      <c r="F56" s="1025"/>
      <c r="G56" s="1025"/>
      <c r="H56" s="1025"/>
      <c r="I56" s="1025"/>
      <c r="J56" s="1025"/>
      <c r="K56" s="1025"/>
      <c r="L56" s="1025"/>
      <c r="M56" s="1025"/>
      <c r="N56" s="1025"/>
      <c r="O56" s="1025"/>
    </row>
    <row r="57" spans="2:15">
      <c r="B57" s="1025"/>
      <c r="C57" s="1025"/>
      <c r="D57" s="1025"/>
      <c r="E57" s="1025"/>
      <c r="F57" s="1025"/>
      <c r="G57" s="1025"/>
      <c r="H57" s="1025"/>
      <c r="I57" s="1025"/>
      <c r="J57" s="1025"/>
      <c r="K57" s="1025"/>
      <c r="L57" s="1025"/>
      <c r="M57" s="1025"/>
      <c r="N57" s="1025"/>
      <c r="O57" s="1025"/>
    </row>
    <row r="58" spans="2:15">
      <c r="B58" s="1025"/>
      <c r="C58" s="1025"/>
      <c r="D58" s="1025"/>
      <c r="E58" s="1025"/>
      <c r="F58" s="1025"/>
      <c r="G58" s="1025"/>
      <c r="H58" s="1025"/>
      <c r="I58" s="1025"/>
      <c r="J58" s="1025"/>
      <c r="K58" s="1025"/>
      <c r="L58" s="1025"/>
      <c r="M58" s="1025"/>
      <c r="N58" s="1025"/>
      <c r="O58" s="1025"/>
    </row>
    <row r="59" spans="2:15">
      <c r="B59" s="1025"/>
      <c r="C59" s="1025"/>
      <c r="D59" s="1025"/>
      <c r="E59" s="1025"/>
      <c r="F59" s="1025"/>
      <c r="G59" s="1025"/>
      <c r="H59" s="1025"/>
      <c r="I59" s="1025"/>
      <c r="J59" s="1025"/>
      <c r="K59" s="1025"/>
      <c r="L59" s="1025"/>
      <c r="M59" s="1025"/>
      <c r="N59" s="1025"/>
      <c r="O59" s="1025"/>
    </row>
    <row r="60" spans="2:15">
      <c r="B60" s="1025"/>
      <c r="C60" s="1025"/>
      <c r="D60" s="1025"/>
      <c r="E60" s="1025"/>
      <c r="F60" s="1025"/>
      <c r="G60" s="1025"/>
      <c r="H60" s="1025"/>
      <c r="I60" s="1025"/>
      <c r="J60" s="1025"/>
      <c r="K60" s="1025"/>
      <c r="L60" s="1025"/>
      <c r="M60" s="1025"/>
      <c r="N60" s="1025"/>
      <c r="O60" s="1025"/>
    </row>
    <row r="61" spans="2:15">
      <c r="B61" s="1025"/>
      <c r="C61" s="1025"/>
      <c r="D61" s="1025"/>
      <c r="E61" s="1025"/>
      <c r="F61" s="1025"/>
      <c r="G61" s="1025"/>
      <c r="H61" s="1025"/>
      <c r="I61" s="1025"/>
      <c r="J61" s="1025"/>
      <c r="K61" s="1025"/>
      <c r="L61" s="1025"/>
      <c r="M61" s="1025"/>
      <c r="N61" s="1025"/>
      <c r="O61" s="1025"/>
    </row>
  </sheetData>
  <conditionalFormatting sqref="C9:C10 C12:C14">
    <cfRule type="cellIs" dxfId="4" priority="1" operator="equal">
      <formula>0</formula>
    </cfRule>
  </conditionalFormatting>
  <pageMargins left="0.78740157499999996" right="0.78740157499999996" top="0.984251969" bottom="0.984251969" header="0.4921259845" footer="0.4921259845"/>
  <pageSetup paperSize="9" fitToHeight="0" orientation="portrait" r:id="rId1"/>
  <headerFooter alignWithMargins="0">
    <oddHeader>&amp;L&amp;A&amp;CESU-services Ltd.&amp;R&amp;D</oddHeader>
    <oddFooter>&amp;L&amp;Z&amp;F</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zoomScale="80" zoomScaleNormal="80" workbookViewId="0">
      <selection activeCell="L67" sqref="L67"/>
    </sheetView>
  </sheetViews>
  <sheetFormatPr defaultColWidth="11.42578125" defaultRowHeight="12" outlineLevelRow="1"/>
  <cols>
    <col min="1" max="1" width="2.7109375" style="1025" customWidth="1"/>
    <col min="2" max="2" width="29.140625" style="1032" customWidth="1"/>
    <col min="3" max="6" width="12.85546875" style="1032" customWidth="1"/>
    <col min="7" max="16384" width="11.42578125" style="1032"/>
  </cols>
  <sheetData>
    <row r="1" spans="1:15" s="1025" customFormat="1" ht="12.75" thickBot="1"/>
    <row r="2" spans="1:15" s="1029" customFormat="1" ht="12.75" thickBot="1">
      <c r="A2" s="1026"/>
      <c r="B2" s="1027" t="s">
        <v>2066</v>
      </c>
      <c r="C2" s="1028" t="s">
        <v>2006</v>
      </c>
      <c r="D2" s="1026"/>
      <c r="E2" s="1026"/>
      <c r="F2" s="1026"/>
      <c r="G2" s="1026"/>
      <c r="H2" s="1026"/>
      <c r="I2" s="1026"/>
      <c r="J2" s="1026"/>
      <c r="K2" s="1026"/>
      <c r="L2" s="1026"/>
      <c r="M2" s="1026"/>
      <c r="N2" s="1026"/>
      <c r="O2" s="1026"/>
    </row>
    <row r="3" spans="1:15" ht="12.75" thickBot="1">
      <c r="B3" s="1030"/>
      <c r="C3" s="1031" t="s">
        <v>403</v>
      </c>
      <c r="D3" s="1025"/>
      <c r="E3" s="1025"/>
      <c r="F3" s="1025"/>
      <c r="G3" s="1025"/>
      <c r="H3" s="1025"/>
      <c r="I3" s="1025"/>
      <c r="J3" s="1025"/>
      <c r="K3" s="1025"/>
      <c r="L3" s="1025"/>
      <c r="M3" s="1025"/>
      <c r="N3" s="1025"/>
      <c r="O3" s="1025"/>
    </row>
    <row r="4" spans="1:15" ht="12.75" thickBot="1">
      <c r="B4" s="1033" t="s">
        <v>2007</v>
      </c>
      <c r="C4" s="1034">
        <v>58.297623288304607</v>
      </c>
      <c r="D4" s="1025"/>
      <c r="E4" s="1025"/>
      <c r="F4" s="1025"/>
      <c r="G4" s="1025"/>
      <c r="H4" s="1025"/>
      <c r="I4" s="1025"/>
      <c r="J4" s="1025"/>
      <c r="K4" s="1025"/>
      <c r="L4" s="1025"/>
      <c r="M4" s="1025"/>
      <c r="N4" s="1025"/>
      <c r="O4" s="1025"/>
    </row>
    <row r="5" spans="1:15">
      <c r="B5" s="1035" t="s">
        <v>1718</v>
      </c>
      <c r="C5" s="1036">
        <v>14.983488207340404</v>
      </c>
      <c r="D5" s="1025"/>
      <c r="E5" s="1025"/>
      <c r="F5" s="1025"/>
      <c r="G5" s="1025"/>
      <c r="H5" s="1025"/>
      <c r="I5" s="1025"/>
      <c r="J5" s="1025"/>
      <c r="K5" s="1025"/>
      <c r="L5" s="1025"/>
      <c r="M5" s="1025"/>
      <c r="N5" s="1025"/>
      <c r="O5" s="1025"/>
    </row>
    <row r="6" spans="1:15">
      <c r="B6" s="1037" t="s">
        <v>2008</v>
      </c>
      <c r="C6" s="1038">
        <v>0</v>
      </c>
      <c r="D6" s="1025"/>
      <c r="E6" s="1025"/>
      <c r="F6" s="1025"/>
      <c r="G6" s="1025"/>
      <c r="H6" s="1025"/>
      <c r="I6" s="1025"/>
      <c r="J6" s="1025"/>
      <c r="K6" s="1025"/>
      <c r="L6" s="1025"/>
      <c r="M6" s="1025"/>
      <c r="N6" s="1025"/>
      <c r="O6" s="1025"/>
    </row>
    <row r="7" spans="1:15">
      <c r="B7" s="1037" t="s">
        <v>2009</v>
      </c>
      <c r="C7" s="1038">
        <v>0</v>
      </c>
      <c r="D7" s="1025"/>
      <c r="E7" s="1025"/>
      <c r="F7" s="1025"/>
      <c r="G7" s="1025"/>
      <c r="H7" s="1025"/>
      <c r="I7" s="1025"/>
      <c r="J7" s="1025"/>
      <c r="K7" s="1025"/>
      <c r="L7" s="1025"/>
      <c r="M7" s="1025"/>
      <c r="N7" s="1025"/>
      <c r="O7" s="1025"/>
    </row>
    <row r="8" spans="1:15">
      <c r="B8" s="1037" t="s">
        <v>2010</v>
      </c>
      <c r="C8" s="1038">
        <f>SUM(C9:C10)</f>
        <v>0.38724415266743784</v>
      </c>
      <c r="D8" s="1025"/>
      <c r="E8" s="1025"/>
      <c r="F8" s="1025"/>
      <c r="G8" s="1025"/>
      <c r="H8" s="1025"/>
      <c r="I8" s="1025"/>
      <c r="J8" s="1025"/>
      <c r="K8" s="1025"/>
      <c r="L8" s="1025"/>
      <c r="M8" s="1025"/>
      <c r="N8" s="1025"/>
      <c r="O8" s="1025"/>
    </row>
    <row r="9" spans="1:15">
      <c r="B9" s="1039" t="s">
        <v>2011</v>
      </c>
      <c r="C9" s="1040">
        <v>8.7660511128053856E-2</v>
      </c>
      <c r="D9" s="1025"/>
      <c r="E9" s="1025"/>
      <c r="F9" s="1025"/>
      <c r="G9" s="1025"/>
      <c r="H9" s="1025"/>
      <c r="I9" s="1025"/>
      <c r="J9" s="1025"/>
      <c r="K9" s="1025"/>
      <c r="L9" s="1025"/>
      <c r="M9" s="1025"/>
      <c r="N9" s="1025"/>
      <c r="O9" s="1025"/>
    </row>
    <row r="10" spans="1:15">
      <c r="B10" s="1039" t="s">
        <v>2012</v>
      </c>
      <c r="C10" s="1040">
        <v>0.29958364153938399</v>
      </c>
      <c r="D10" s="1025"/>
      <c r="E10" s="1025"/>
      <c r="F10" s="1025"/>
      <c r="G10" s="1025"/>
      <c r="H10" s="1025"/>
      <c r="I10" s="1025"/>
      <c r="J10" s="1025"/>
      <c r="K10" s="1025"/>
      <c r="L10" s="1025"/>
      <c r="M10" s="1025"/>
      <c r="N10" s="1025"/>
      <c r="O10" s="1025"/>
    </row>
    <row r="11" spans="1:15">
      <c r="B11" s="1037" t="s">
        <v>2013</v>
      </c>
      <c r="C11" s="1038">
        <f>SUM(C12:C14)</f>
        <v>5.5370684958850012</v>
      </c>
      <c r="D11" s="1025"/>
      <c r="E11" s="1025"/>
      <c r="F11" s="1025"/>
      <c r="G11" s="1025"/>
      <c r="H11" s="1025"/>
      <c r="I11" s="1025"/>
      <c r="J11" s="1025"/>
      <c r="K11" s="1025"/>
      <c r="L11" s="1025"/>
      <c r="M11" s="1025"/>
      <c r="N11" s="1025"/>
      <c r="O11" s="1025"/>
    </row>
    <row r="12" spans="1:15">
      <c r="B12" s="1039" t="s">
        <v>2014</v>
      </c>
      <c r="C12" s="1040">
        <v>3.2216006791411789</v>
      </c>
      <c r="D12" s="1025"/>
      <c r="E12" s="1025"/>
      <c r="F12" s="1025"/>
      <c r="G12" s="1025"/>
      <c r="H12" s="1025"/>
      <c r="I12" s="1025"/>
      <c r="J12" s="1025"/>
      <c r="K12" s="1025"/>
      <c r="L12" s="1025"/>
      <c r="M12" s="1025"/>
      <c r="N12" s="1025"/>
      <c r="O12" s="1025"/>
    </row>
    <row r="13" spans="1:15">
      <c r="B13" s="1039" t="s">
        <v>2015</v>
      </c>
      <c r="C13" s="1040">
        <v>1.4456294817608881</v>
      </c>
      <c r="D13" s="1025"/>
      <c r="E13" s="1025"/>
      <c r="F13" s="1025"/>
      <c r="G13" s="1025"/>
      <c r="H13" s="1025"/>
      <c r="I13" s="1025"/>
      <c r="J13" s="1025"/>
      <c r="K13" s="1025"/>
      <c r="L13" s="1025"/>
      <c r="M13" s="1025"/>
      <c r="N13" s="1025"/>
      <c r="O13" s="1025"/>
    </row>
    <row r="14" spans="1:15">
      <c r="B14" s="1039" t="s">
        <v>2016</v>
      </c>
      <c r="C14" s="1040">
        <v>0.86983833498293428</v>
      </c>
      <c r="D14" s="1025"/>
      <c r="E14" s="1025"/>
      <c r="F14" s="1025"/>
      <c r="G14" s="1025"/>
      <c r="H14" s="1025"/>
      <c r="I14" s="1025"/>
      <c r="J14" s="1025"/>
      <c r="K14" s="1025"/>
      <c r="L14" s="1025"/>
      <c r="M14" s="1025"/>
      <c r="N14" s="1025"/>
      <c r="O14" s="1025"/>
    </row>
    <row r="15" spans="1:15">
      <c r="B15" s="1037" t="s">
        <v>2017</v>
      </c>
      <c r="C15" s="1038">
        <v>37.389822432411769</v>
      </c>
      <c r="D15" s="1025"/>
      <c r="E15" s="1025"/>
      <c r="F15" s="1025"/>
      <c r="G15" s="1025"/>
      <c r="H15" s="1025"/>
      <c r="I15" s="1025"/>
      <c r="J15" s="1025"/>
      <c r="K15" s="1025"/>
      <c r="L15" s="1025"/>
      <c r="M15" s="1025"/>
      <c r="N15" s="1025"/>
      <c r="O15" s="1025"/>
    </row>
    <row r="16" spans="1:15" ht="12.75" thickBot="1">
      <c r="B16" s="1041" t="s">
        <v>2018</v>
      </c>
      <c r="C16" s="1042">
        <v>0</v>
      </c>
      <c r="D16" s="1025"/>
      <c r="E16" s="1025"/>
      <c r="F16" s="1025"/>
      <c r="G16" s="1025"/>
      <c r="H16" s="1025"/>
      <c r="I16" s="1025"/>
      <c r="J16" s="1025"/>
      <c r="K16" s="1025"/>
      <c r="L16" s="1025"/>
      <c r="M16" s="1025"/>
      <c r="N16" s="1025"/>
      <c r="O16" s="1025"/>
    </row>
    <row r="17" spans="2:15" ht="12.75" thickBot="1">
      <c r="B17" s="1033" t="s">
        <v>2019</v>
      </c>
      <c r="C17" s="1034">
        <v>8.5678530205274122</v>
      </c>
      <c r="D17" s="1025"/>
      <c r="E17" s="1025"/>
      <c r="F17" s="1025"/>
      <c r="G17" s="1025"/>
      <c r="H17" s="1025"/>
      <c r="I17" s="1025"/>
      <c r="J17" s="1025"/>
      <c r="K17" s="1025"/>
      <c r="L17" s="1025"/>
      <c r="M17" s="1025"/>
      <c r="N17" s="1025"/>
      <c r="O17" s="1025"/>
    </row>
    <row r="18" spans="2:15">
      <c r="B18" s="1035" t="s">
        <v>2020</v>
      </c>
      <c r="C18" s="1036">
        <v>2.6216737758124249</v>
      </c>
      <c r="D18" s="1025"/>
      <c r="E18" s="1025"/>
      <c r="F18" s="1025"/>
      <c r="G18" s="1025"/>
      <c r="H18" s="1025"/>
      <c r="I18" s="1025"/>
      <c r="J18" s="1025"/>
      <c r="K18" s="1025"/>
      <c r="L18" s="1025"/>
      <c r="M18" s="1025"/>
      <c r="N18" s="1025"/>
      <c r="O18" s="1025"/>
    </row>
    <row r="19" spans="2:15">
      <c r="B19" s="1037" t="s">
        <v>2021</v>
      </c>
      <c r="C19" s="1038">
        <v>5.0891314471652942</v>
      </c>
      <c r="D19" s="1025"/>
      <c r="E19" s="1025"/>
      <c r="F19" s="1025"/>
      <c r="G19" s="1025"/>
      <c r="H19" s="1025"/>
      <c r="I19" s="1025"/>
      <c r="J19" s="1025"/>
      <c r="K19" s="1025"/>
      <c r="L19" s="1025"/>
      <c r="M19" s="1025"/>
      <c r="N19" s="1025"/>
      <c r="O19" s="1025"/>
    </row>
    <row r="20" spans="2:15" ht="12.75" thickBot="1">
      <c r="B20" s="1041" t="s">
        <v>2022</v>
      </c>
      <c r="C20" s="1042">
        <v>0.85704779754969362</v>
      </c>
      <c r="D20" s="1025"/>
      <c r="E20" s="1025"/>
      <c r="F20" s="1025"/>
      <c r="G20" s="1025"/>
      <c r="H20" s="1025"/>
      <c r="I20" s="1025"/>
      <c r="J20" s="1025"/>
      <c r="K20" s="1025"/>
      <c r="L20" s="1025"/>
      <c r="M20" s="1025"/>
      <c r="N20" s="1025"/>
      <c r="O20" s="1025"/>
    </row>
    <row r="21" spans="2:15" ht="12.75" thickBot="1">
      <c r="B21" s="1033" t="s">
        <v>2023</v>
      </c>
      <c r="C21" s="1034">
        <v>18.372901673319795</v>
      </c>
      <c r="D21" s="1025"/>
      <c r="E21" s="1025"/>
      <c r="F21" s="1025"/>
      <c r="G21" s="1025"/>
      <c r="H21" s="1025"/>
      <c r="I21" s="1025"/>
      <c r="J21" s="1025"/>
      <c r="K21" s="1025"/>
      <c r="L21" s="1025"/>
      <c r="M21" s="1025"/>
      <c r="N21" s="1025"/>
      <c r="O21" s="1025"/>
    </row>
    <row r="22" spans="2:15">
      <c r="B22" s="1035" t="s">
        <v>2024</v>
      </c>
      <c r="C22" s="1036">
        <v>14.141193081691839</v>
      </c>
      <c r="D22" s="1025"/>
      <c r="E22" s="1025"/>
      <c r="F22" s="1025"/>
      <c r="G22" s="1025"/>
      <c r="H22" s="1025"/>
      <c r="I22" s="1025"/>
      <c r="J22" s="1025"/>
      <c r="K22" s="1025"/>
      <c r="L22" s="1025"/>
      <c r="M22" s="1025"/>
      <c r="N22" s="1025"/>
      <c r="O22" s="1025"/>
    </row>
    <row r="23" spans="2:15" ht="12.75" thickBot="1">
      <c r="B23" s="1041" t="s">
        <v>2025</v>
      </c>
      <c r="C23" s="1042">
        <v>4.2317085916279575</v>
      </c>
      <c r="D23" s="1025"/>
      <c r="E23" s="1025"/>
      <c r="F23" s="1025"/>
      <c r="G23" s="1025"/>
      <c r="H23" s="1025"/>
      <c r="I23" s="1025"/>
      <c r="J23" s="1025"/>
      <c r="K23" s="1025"/>
      <c r="L23" s="1025"/>
      <c r="M23" s="1025"/>
      <c r="N23" s="1025"/>
      <c r="O23" s="1025"/>
    </row>
    <row r="24" spans="2:15" ht="12.75" thickBot="1">
      <c r="B24" s="1033" t="s">
        <v>2026</v>
      </c>
      <c r="C24" s="1034">
        <v>12.073959020831797</v>
      </c>
      <c r="D24" s="1025"/>
      <c r="E24" s="1025"/>
      <c r="F24" s="1025"/>
      <c r="G24" s="1025"/>
      <c r="H24" s="1025"/>
      <c r="I24" s="1025"/>
      <c r="J24" s="1025"/>
      <c r="K24" s="1025"/>
      <c r="L24" s="1025"/>
      <c r="M24" s="1025"/>
      <c r="N24" s="1025"/>
      <c r="O24" s="1025"/>
    </row>
    <row r="25" spans="2:15">
      <c r="B25" s="1035" t="s">
        <v>2027</v>
      </c>
      <c r="C25" s="1036">
        <v>0</v>
      </c>
      <c r="D25" s="1025"/>
      <c r="E25" s="1025"/>
      <c r="F25" s="1025"/>
      <c r="G25" s="1025"/>
      <c r="H25" s="1025"/>
      <c r="I25" s="1025"/>
      <c r="J25" s="1025"/>
      <c r="K25" s="1025"/>
      <c r="L25" s="1025"/>
      <c r="M25" s="1025"/>
      <c r="N25" s="1025"/>
      <c r="O25" s="1025"/>
    </row>
    <row r="26" spans="2:15">
      <c r="B26" s="1037" t="s">
        <v>2028</v>
      </c>
      <c r="C26" s="1038">
        <v>-1.177489068998035E-17</v>
      </c>
      <c r="D26" s="1025"/>
      <c r="E26" s="1025"/>
      <c r="F26" s="1025"/>
      <c r="G26" s="1025"/>
      <c r="H26" s="1025"/>
      <c r="I26" s="1025"/>
      <c r="J26" s="1025"/>
      <c r="K26" s="1025"/>
      <c r="L26" s="1025"/>
      <c r="M26" s="1025"/>
      <c r="N26" s="1025"/>
      <c r="O26" s="1025"/>
    </row>
    <row r="27" spans="2:15">
      <c r="B27" s="1039" t="s">
        <v>2029</v>
      </c>
      <c r="C27" s="1040">
        <v>0.79818517096036012</v>
      </c>
      <c r="D27" s="1025"/>
      <c r="E27" s="1025"/>
      <c r="F27" s="1025"/>
      <c r="G27" s="1025"/>
      <c r="H27" s="1025"/>
      <c r="I27" s="1025"/>
      <c r="J27" s="1025"/>
      <c r="K27" s="1025"/>
      <c r="L27" s="1025"/>
      <c r="M27" s="1025"/>
      <c r="N27" s="1025"/>
      <c r="O27" s="1025"/>
    </row>
    <row r="28" spans="2:15">
      <c r="B28" s="1039" t="s">
        <v>2030</v>
      </c>
      <c r="C28" s="1040">
        <v>4.9847629724300404E-3</v>
      </c>
      <c r="D28" s="1025"/>
      <c r="E28" s="1025"/>
      <c r="F28" s="1025"/>
      <c r="G28" s="1025"/>
      <c r="H28" s="1025"/>
      <c r="I28" s="1025"/>
      <c r="J28" s="1025"/>
      <c r="K28" s="1025"/>
      <c r="L28" s="1025"/>
      <c r="M28" s="1025"/>
      <c r="N28" s="1025"/>
      <c r="O28" s="1025"/>
    </row>
    <row r="29" spans="2:15">
      <c r="B29" s="1037" t="s">
        <v>2031</v>
      </c>
      <c r="C29" s="1038">
        <v>0</v>
      </c>
      <c r="D29" s="1025"/>
      <c r="E29" s="1025"/>
      <c r="F29" s="1025"/>
      <c r="G29" s="1025"/>
      <c r="H29" s="1025"/>
      <c r="I29" s="1025"/>
      <c r="J29" s="1025"/>
      <c r="K29" s="1025"/>
      <c r="L29" s="1025"/>
      <c r="M29" s="1025"/>
      <c r="N29" s="1025"/>
      <c r="O29" s="1025"/>
    </row>
    <row r="30" spans="2:15">
      <c r="B30" s="1037" t="s">
        <v>2032</v>
      </c>
      <c r="C30" s="1038">
        <v>10.67315970752424</v>
      </c>
      <c r="D30" s="1025"/>
      <c r="E30" s="1025"/>
      <c r="F30" s="1025"/>
      <c r="G30" s="1025"/>
      <c r="H30" s="1025"/>
      <c r="I30" s="1025"/>
      <c r="J30" s="1025"/>
      <c r="K30" s="1025"/>
      <c r="L30" s="1025"/>
      <c r="M30" s="1025"/>
      <c r="N30" s="1025"/>
      <c r="O30" s="1025"/>
    </row>
    <row r="31" spans="2:15">
      <c r="B31" s="1037" t="s">
        <v>2033</v>
      </c>
      <c r="C31" s="1038">
        <v>0.58071243863075672</v>
      </c>
      <c r="D31" s="1025"/>
      <c r="E31" s="1025"/>
      <c r="F31" s="1025"/>
      <c r="G31" s="1025"/>
      <c r="H31" s="1025"/>
      <c r="I31" s="1025"/>
      <c r="J31" s="1025"/>
      <c r="K31" s="1025"/>
      <c r="L31" s="1025"/>
      <c r="M31" s="1025"/>
      <c r="N31" s="1025"/>
      <c r="O31" s="1025"/>
    </row>
    <row r="32" spans="2:15" ht="12.75" thickBot="1">
      <c r="B32" s="1041" t="s">
        <v>2034</v>
      </c>
      <c r="C32" s="1042">
        <v>1.691694074401039E-2</v>
      </c>
      <c r="D32" s="1025"/>
      <c r="E32" s="1025"/>
      <c r="F32" s="1025"/>
      <c r="G32" s="1025"/>
      <c r="H32" s="1025"/>
      <c r="I32" s="1025"/>
      <c r="J32" s="1025"/>
      <c r="K32" s="1025"/>
      <c r="L32" s="1025"/>
      <c r="M32" s="1025"/>
      <c r="N32" s="1025"/>
      <c r="O32" s="1025"/>
    </row>
    <row r="33" spans="1:15" ht="12.75" thickBot="1">
      <c r="B33" s="1033" t="s">
        <v>794</v>
      </c>
      <c r="C33" s="1034">
        <v>0.64407407123559568</v>
      </c>
      <c r="D33" s="1025"/>
      <c r="E33" s="1025"/>
      <c r="F33" s="1025"/>
      <c r="G33" s="1025"/>
      <c r="H33" s="1025"/>
      <c r="I33" s="1025"/>
      <c r="J33" s="1025"/>
      <c r="K33" s="1025"/>
      <c r="L33" s="1025"/>
      <c r="M33" s="1025"/>
      <c r="N33" s="1025"/>
      <c r="O33" s="1025"/>
    </row>
    <row r="34" spans="1:15">
      <c r="B34" s="1035" t="s">
        <v>2035</v>
      </c>
      <c r="C34" s="1036">
        <v>0.48105627861149552</v>
      </c>
      <c r="D34" s="1025"/>
      <c r="E34" s="1025"/>
      <c r="F34" s="1025"/>
      <c r="G34" s="1025"/>
      <c r="H34" s="1025"/>
      <c r="I34" s="1025"/>
      <c r="J34" s="1025"/>
      <c r="K34" s="1025"/>
      <c r="L34" s="1025"/>
      <c r="M34" s="1025"/>
      <c r="N34" s="1025"/>
      <c r="O34" s="1025"/>
    </row>
    <row r="35" spans="1:15">
      <c r="B35" s="1037" t="s">
        <v>2036</v>
      </c>
      <c r="C35" s="1038">
        <v>0</v>
      </c>
      <c r="D35" s="1025"/>
      <c r="E35" s="1025"/>
      <c r="F35" s="1025"/>
      <c r="G35" s="1025"/>
      <c r="H35" s="1025"/>
      <c r="I35" s="1025"/>
      <c r="J35" s="1025"/>
      <c r="K35" s="1025"/>
      <c r="L35" s="1025"/>
      <c r="M35" s="1025"/>
      <c r="N35" s="1025"/>
      <c r="O35" s="1025"/>
    </row>
    <row r="36" spans="1:15" ht="12.75" thickBot="1">
      <c r="B36" s="1041" t="s">
        <v>2037</v>
      </c>
      <c r="C36" s="1042">
        <v>0.16301779262410013</v>
      </c>
      <c r="D36" s="1025"/>
      <c r="E36" s="1025"/>
      <c r="F36" s="1025"/>
      <c r="G36" s="1025"/>
      <c r="H36" s="1025"/>
      <c r="I36" s="1025"/>
      <c r="J36" s="1025"/>
      <c r="K36" s="1025"/>
      <c r="L36" s="1025"/>
      <c r="M36" s="1025"/>
      <c r="N36" s="1025"/>
      <c r="O36" s="1025"/>
    </row>
    <row r="37" spans="1:15" ht="12.75" thickBot="1">
      <c r="B37" s="1033" t="s">
        <v>2038</v>
      </c>
      <c r="C37" s="1034">
        <v>9.4427287425658007E-2</v>
      </c>
      <c r="D37" s="1025"/>
      <c r="E37" s="1025"/>
      <c r="F37" s="1025"/>
      <c r="G37" s="1025"/>
      <c r="H37" s="1025"/>
      <c r="I37" s="1025"/>
      <c r="J37" s="1025"/>
      <c r="K37" s="1025"/>
      <c r="L37" s="1025"/>
      <c r="M37" s="1025"/>
      <c r="N37" s="1025"/>
      <c r="O37" s="1025"/>
    </row>
    <row r="38" spans="1:15" ht="12.75" thickBot="1">
      <c r="B38" s="1033" t="s">
        <v>2039</v>
      </c>
      <c r="C38" s="1034">
        <v>98.050838361644878</v>
      </c>
      <c r="D38" s="1025"/>
      <c r="E38" s="1025"/>
      <c r="F38" s="1025"/>
      <c r="G38" s="1025"/>
      <c r="H38" s="1025"/>
      <c r="I38" s="1025"/>
      <c r="J38" s="1025"/>
      <c r="K38" s="1025"/>
      <c r="L38" s="1025"/>
      <c r="M38" s="1025"/>
      <c r="N38" s="1025"/>
      <c r="O38" s="1025"/>
    </row>
    <row r="39" spans="1:15" ht="12.75" thickBot="1">
      <c r="B39" s="1033" t="s">
        <v>2040</v>
      </c>
      <c r="C39" s="1034">
        <v>1.949161638355124</v>
      </c>
      <c r="D39" s="1025"/>
      <c r="E39" s="1025"/>
      <c r="F39" s="1025"/>
      <c r="G39" s="1025"/>
      <c r="H39" s="1025"/>
      <c r="I39" s="1025"/>
      <c r="J39" s="1025"/>
      <c r="K39" s="1025"/>
      <c r="L39" s="1025"/>
      <c r="M39" s="1025"/>
      <c r="N39" s="1025"/>
      <c r="O39" s="1025"/>
    </row>
    <row r="40" spans="1:15">
      <c r="B40" s="1035" t="s">
        <v>2067</v>
      </c>
      <c r="C40" s="1036">
        <v>1.508686240059943</v>
      </c>
      <c r="D40" s="1025"/>
      <c r="E40" s="1025"/>
      <c r="F40" s="1025"/>
      <c r="G40" s="1025"/>
      <c r="H40" s="1025"/>
      <c r="I40" s="1025"/>
      <c r="J40" s="1025"/>
      <c r="K40" s="1025"/>
      <c r="L40" s="1025"/>
      <c r="M40" s="1025"/>
      <c r="N40" s="1025"/>
      <c r="O40" s="1025"/>
    </row>
    <row r="41" spans="1:15" hidden="1" outlineLevel="1">
      <c r="A41" s="1044"/>
      <c r="B41" s="1035" t="s">
        <v>2068</v>
      </c>
      <c r="C41" s="1036">
        <v>4.9715056240991094E-3</v>
      </c>
      <c r="D41" s="1044"/>
      <c r="E41" s="1025"/>
      <c r="F41" s="1025"/>
      <c r="G41" s="1025"/>
      <c r="H41" s="1025"/>
      <c r="I41" s="1025"/>
      <c r="J41" s="1025"/>
      <c r="K41" s="1025"/>
      <c r="L41" s="1025"/>
      <c r="M41" s="1025"/>
      <c r="N41" s="1025"/>
      <c r="O41" s="1025"/>
    </row>
    <row r="42" spans="1:15" ht="12.75" collapsed="1" thickBot="1">
      <c r="A42" s="1044"/>
      <c r="B42" s="1035" t="s">
        <v>2069</v>
      </c>
      <c r="C42" s="1036">
        <v>0.43550389267108197</v>
      </c>
      <c r="D42" s="1044"/>
      <c r="E42" s="1025"/>
      <c r="F42" s="1025"/>
      <c r="G42" s="1025"/>
      <c r="H42" s="1025"/>
      <c r="I42" s="1025"/>
      <c r="J42" s="1025"/>
      <c r="K42" s="1025"/>
      <c r="L42" s="1025"/>
      <c r="M42" s="1025"/>
      <c r="N42" s="1025"/>
      <c r="O42" s="1025"/>
    </row>
    <row r="43" spans="1:15" ht="12.75" hidden="1" outlineLevel="1" thickBot="1">
      <c r="B43" s="1035" t="s">
        <v>2044</v>
      </c>
      <c r="C43" s="1036">
        <v>0</v>
      </c>
      <c r="D43" s="1025"/>
      <c r="E43" s="1025"/>
      <c r="F43" s="1025"/>
      <c r="G43" s="1025"/>
      <c r="H43" s="1025"/>
      <c r="I43" s="1025"/>
      <c r="J43" s="1025"/>
      <c r="K43" s="1025"/>
      <c r="L43" s="1025"/>
      <c r="M43" s="1025"/>
      <c r="N43" s="1025"/>
      <c r="O43" s="1025"/>
    </row>
    <row r="44" spans="1:15" ht="12.75" hidden="1" outlineLevel="1" thickBot="1">
      <c r="B44" s="1035" t="s">
        <v>2045</v>
      </c>
      <c r="C44" s="1036">
        <v>0</v>
      </c>
      <c r="E44" s="1025"/>
      <c r="F44" s="1025"/>
      <c r="G44" s="1025"/>
      <c r="H44" s="1025"/>
      <c r="I44" s="1025"/>
      <c r="J44" s="1025"/>
      <c r="K44" s="1025"/>
      <c r="L44" s="1025"/>
      <c r="M44" s="1025"/>
      <c r="N44" s="1025"/>
      <c r="O44" s="1025"/>
    </row>
    <row r="45" spans="1:15" ht="12.75" hidden="1" outlineLevel="1" thickBot="1">
      <c r="B45" s="1035" t="s">
        <v>2046</v>
      </c>
      <c r="C45" s="1036">
        <v>0</v>
      </c>
      <c r="E45" s="1025"/>
      <c r="F45" s="1025"/>
      <c r="G45" s="1025"/>
      <c r="H45" s="1025"/>
      <c r="I45" s="1025"/>
      <c r="J45" s="1025"/>
      <c r="K45" s="1025"/>
      <c r="L45" s="1025"/>
      <c r="M45" s="1025"/>
      <c r="N45" s="1025"/>
      <c r="O45" s="1025"/>
    </row>
    <row r="46" spans="1:15" ht="12.75" hidden="1" outlineLevel="1" thickBot="1">
      <c r="B46" s="1035" t="s">
        <v>2047</v>
      </c>
      <c r="C46" s="1036">
        <v>0</v>
      </c>
      <c r="E46" s="1025"/>
      <c r="F46" s="1025"/>
      <c r="G46" s="1025"/>
      <c r="H46" s="1025"/>
      <c r="I46" s="1025"/>
      <c r="J46" s="1025"/>
      <c r="K46" s="1025"/>
      <c r="L46" s="1025"/>
      <c r="M46" s="1025"/>
      <c r="N46" s="1025"/>
      <c r="O46" s="1025"/>
    </row>
    <row r="47" spans="1:15" ht="12.75" hidden="1" outlineLevel="1" thickBot="1">
      <c r="B47" s="1035" t="s">
        <v>2048</v>
      </c>
      <c r="C47" s="1036">
        <v>0</v>
      </c>
      <c r="E47" s="1025"/>
      <c r="F47" s="1025"/>
      <c r="G47" s="1025"/>
      <c r="H47" s="1025"/>
      <c r="I47" s="1025"/>
      <c r="J47" s="1025"/>
      <c r="K47" s="1025"/>
      <c r="L47" s="1025"/>
      <c r="M47" s="1025"/>
      <c r="N47" s="1025"/>
      <c r="O47" s="1025"/>
    </row>
    <row r="48" spans="1:15" ht="12.75" hidden="1" outlineLevel="1" thickBot="1">
      <c r="B48" s="1035" t="s">
        <v>2049</v>
      </c>
      <c r="C48" s="1036">
        <v>0</v>
      </c>
      <c r="E48" s="1025"/>
      <c r="F48" s="1025"/>
      <c r="G48" s="1025"/>
      <c r="H48" s="1025"/>
      <c r="I48" s="1025"/>
      <c r="J48" s="1025"/>
      <c r="K48" s="1025"/>
      <c r="L48" s="1025"/>
      <c r="M48" s="1025"/>
      <c r="N48" s="1025"/>
      <c r="O48" s="1025"/>
    </row>
    <row r="49" spans="2:15" ht="12.75" hidden="1" outlineLevel="1" thickBot="1">
      <c r="B49" s="1035" t="s">
        <v>2050</v>
      </c>
      <c r="C49" s="1036">
        <v>0</v>
      </c>
      <c r="E49" s="1025"/>
      <c r="F49" s="1025"/>
      <c r="G49" s="1025"/>
      <c r="H49" s="1025"/>
      <c r="I49" s="1025"/>
      <c r="J49" s="1025"/>
      <c r="K49" s="1025"/>
      <c r="L49" s="1025"/>
      <c r="M49" s="1025"/>
      <c r="N49" s="1025"/>
      <c r="O49" s="1025"/>
    </row>
    <row r="50" spans="2:15" ht="12.75" collapsed="1" thickBot="1">
      <c r="B50" s="1033" t="s">
        <v>390</v>
      </c>
      <c r="C50" s="1034">
        <f>SUM(C38:C39)</f>
        <v>100</v>
      </c>
      <c r="D50" s="1025"/>
      <c r="E50" s="1025"/>
      <c r="F50" s="1044"/>
      <c r="G50" s="1025"/>
      <c r="H50" s="1025"/>
      <c r="I50" s="1025"/>
      <c r="J50" s="1025"/>
      <c r="K50" s="1025"/>
      <c r="L50" s="1025"/>
      <c r="M50" s="1025"/>
      <c r="N50" s="1025"/>
      <c r="O50" s="1025"/>
    </row>
    <row r="51" spans="2:15">
      <c r="B51" s="1044"/>
      <c r="C51" s="1044"/>
      <c r="D51" s="1044"/>
      <c r="E51" s="1044"/>
      <c r="F51" s="1044"/>
      <c r="G51" s="1025"/>
      <c r="H51" s="1025"/>
      <c r="I51" s="1025"/>
      <c r="J51" s="1025"/>
      <c r="K51" s="1025"/>
      <c r="L51" s="1025"/>
      <c r="M51" s="1025"/>
      <c r="N51" s="1025"/>
      <c r="O51" s="1025"/>
    </row>
    <row r="52" spans="2:15">
      <c r="B52" s="1044"/>
      <c r="C52" s="1045"/>
      <c r="D52" s="1046" t="s">
        <v>2051</v>
      </c>
      <c r="E52" s="1047"/>
      <c r="F52" s="1048"/>
      <c r="G52" s="1025"/>
      <c r="H52" s="1025"/>
      <c r="I52" s="1025"/>
      <c r="J52" s="1025"/>
      <c r="K52" s="1025"/>
      <c r="L52" s="1025"/>
      <c r="M52" s="1025"/>
      <c r="N52" s="1025"/>
      <c r="O52" s="1025"/>
    </row>
    <row r="53" spans="2:15">
      <c r="B53" s="1025"/>
      <c r="C53" s="1025"/>
      <c r="D53" s="1025"/>
      <c r="E53" s="1025"/>
      <c r="F53" s="1025"/>
      <c r="G53" s="1025"/>
      <c r="H53" s="1025"/>
      <c r="I53" s="1025"/>
      <c r="J53" s="1025"/>
      <c r="K53" s="1025"/>
      <c r="L53" s="1025"/>
      <c r="M53" s="1025"/>
      <c r="N53" s="1025"/>
      <c r="O53" s="1025"/>
    </row>
    <row r="54" spans="2:15">
      <c r="B54" s="1025" t="s">
        <v>2052</v>
      </c>
      <c r="C54" s="1025"/>
      <c r="D54" s="1025"/>
      <c r="E54" s="1025"/>
      <c r="F54" s="1025"/>
      <c r="G54" s="1025"/>
      <c r="H54" s="1025"/>
      <c r="I54" s="1025"/>
      <c r="J54" s="1025"/>
      <c r="K54" s="1025"/>
      <c r="L54" s="1025"/>
      <c r="M54" s="1025"/>
      <c r="N54" s="1025"/>
      <c r="O54" s="1025"/>
    </row>
    <row r="55" spans="2:15">
      <c r="B55" s="1025"/>
      <c r="C55" s="1025"/>
      <c r="D55" s="1025"/>
      <c r="E55" s="1025"/>
      <c r="F55" s="1025"/>
      <c r="G55" s="1025"/>
      <c r="H55" s="1025"/>
      <c r="I55" s="1025"/>
      <c r="J55" s="1025"/>
      <c r="K55" s="1025"/>
      <c r="L55" s="1025"/>
      <c r="M55" s="1025"/>
      <c r="N55" s="1025"/>
      <c r="O55" s="1025"/>
    </row>
    <row r="56" spans="2:15">
      <c r="B56" s="1025" t="s">
        <v>2053</v>
      </c>
      <c r="C56" s="1025" t="s">
        <v>2054</v>
      </c>
      <c r="D56" s="1025"/>
      <c r="E56" s="1025"/>
      <c r="F56" s="1025"/>
      <c r="G56" s="1025"/>
      <c r="H56" s="1025"/>
      <c r="I56" s="1025"/>
      <c r="J56" s="1025"/>
      <c r="K56" s="1025"/>
      <c r="L56" s="1025"/>
      <c r="M56" s="1025"/>
      <c r="N56" s="1025"/>
      <c r="O56" s="1025"/>
    </row>
    <row r="57" spans="2:15">
      <c r="B57" s="1025"/>
      <c r="C57" s="1025"/>
      <c r="D57" s="1025"/>
      <c r="E57" s="1025"/>
      <c r="F57" s="1025"/>
      <c r="G57" s="1025"/>
      <c r="H57" s="1025"/>
      <c r="I57" s="1025"/>
      <c r="J57" s="1025"/>
      <c r="K57" s="1025"/>
      <c r="L57" s="1025"/>
      <c r="M57" s="1025"/>
      <c r="N57" s="1025"/>
      <c r="O57" s="1025"/>
    </row>
    <row r="58" spans="2:15">
      <c r="B58" s="1025"/>
      <c r="C58" s="1025"/>
      <c r="D58" s="1025"/>
      <c r="E58" s="1025"/>
      <c r="F58" s="1025"/>
      <c r="G58" s="1025"/>
      <c r="H58" s="1025"/>
      <c r="I58" s="1025"/>
      <c r="J58" s="1025"/>
      <c r="K58" s="1025"/>
      <c r="L58" s="1025"/>
      <c r="M58" s="1025"/>
      <c r="N58" s="1025"/>
      <c r="O58" s="1025"/>
    </row>
  </sheetData>
  <conditionalFormatting sqref="C9:C10 C12:C14">
    <cfRule type="cellIs" dxfId="3" priority="1" operator="equal">
      <formula>0</formula>
    </cfRule>
  </conditionalFormatting>
  <pageMargins left="0.78740157499999996" right="0.78740157499999996" top="0.984251969" bottom="0.984251969" header="0.4921259845" footer="0.4921259845"/>
  <pageSetup paperSize="9" fitToHeight="0" orientation="portrait" r:id="rId1"/>
  <headerFooter alignWithMargins="0">
    <oddHeader>&amp;L&amp;A&amp;CESU-services Ltd.&amp;R&amp;D</oddHeader>
    <oddFooter>&amp;L&amp;Z&amp;F</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
  <sheetViews>
    <sheetView zoomScale="80" zoomScaleNormal="80" workbookViewId="0">
      <selection activeCell="L67" sqref="L67"/>
    </sheetView>
  </sheetViews>
  <sheetFormatPr defaultColWidth="11.42578125" defaultRowHeight="12" outlineLevelRow="1"/>
  <cols>
    <col min="1" max="1" width="2.7109375" style="1025" customWidth="1"/>
    <col min="2" max="2" width="32" style="1032" customWidth="1"/>
    <col min="3" max="6" width="12.85546875" style="1032" customWidth="1"/>
    <col min="7" max="16384" width="11.42578125" style="1032"/>
  </cols>
  <sheetData>
    <row r="1" spans="1:15" s="1025" customFormat="1" ht="12.75" thickBot="1"/>
    <row r="2" spans="1:15" s="1029" customFormat="1" ht="12.75" thickBot="1">
      <c r="A2" s="1026"/>
      <c r="B2" s="1027" t="s">
        <v>2070</v>
      </c>
      <c r="C2" s="1028" t="s">
        <v>2006</v>
      </c>
      <c r="D2" s="1026"/>
      <c r="E2" s="1026"/>
      <c r="F2" s="1026"/>
      <c r="G2" s="1026"/>
      <c r="H2" s="1026"/>
      <c r="I2" s="1026"/>
      <c r="J2" s="1026"/>
      <c r="K2" s="1026"/>
      <c r="L2" s="1026"/>
      <c r="M2" s="1026"/>
      <c r="N2" s="1026"/>
      <c r="O2" s="1026"/>
    </row>
    <row r="3" spans="1:15" ht="12.75" thickBot="1">
      <c r="B3" s="1030"/>
      <c r="C3" s="1031" t="s">
        <v>403</v>
      </c>
      <c r="D3" s="1025"/>
      <c r="E3" s="1025"/>
      <c r="F3" s="1025"/>
      <c r="G3" s="1025"/>
      <c r="H3" s="1025"/>
      <c r="I3" s="1025"/>
      <c r="J3" s="1025"/>
      <c r="K3" s="1025"/>
      <c r="L3" s="1025"/>
      <c r="M3" s="1025"/>
      <c r="N3" s="1025"/>
      <c r="O3" s="1025"/>
    </row>
    <row r="4" spans="1:15" ht="12.75" thickBot="1">
      <c r="B4" s="1033" t="s">
        <v>2007</v>
      </c>
      <c r="C4" s="1034">
        <v>55.646867198932583</v>
      </c>
      <c r="D4" s="1025"/>
      <c r="E4" s="1025"/>
      <c r="F4" s="1025"/>
      <c r="G4" s="1025"/>
      <c r="H4" s="1025"/>
      <c r="I4" s="1025"/>
      <c r="J4" s="1025"/>
      <c r="K4" s="1025"/>
      <c r="L4" s="1025"/>
      <c r="M4" s="1025"/>
      <c r="N4" s="1025"/>
      <c r="O4" s="1025"/>
    </row>
    <row r="5" spans="1:15">
      <c r="B5" s="1035" t="s">
        <v>1718</v>
      </c>
      <c r="C5" s="1036">
        <v>18.068076557636402</v>
      </c>
      <c r="D5" s="1025"/>
      <c r="E5" s="1025"/>
      <c r="F5" s="1025"/>
      <c r="G5" s="1025"/>
      <c r="H5" s="1025"/>
      <c r="I5" s="1025"/>
      <c r="J5" s="1025"/>
      <c r="K5" s="1025"/>
      <c r="L5" s="1025"/>
      <c r="M5" s="1025"/>
      <c r="N5" s="1025"/>
      <c r="O5" s="1025"/>
    </row>
    <row r="6" spans="1:15">
      <c r="B6" s="1037" t="s">
        <v>2008</v>
      </c>
      <c r="C6" s="1038">
        <v>22.30552813825507</v>
      </c>
      <c r="D6" s="1025"/>
      <c r="E6" s="1025"/>
      <c r="F6" s="1025"/>
      <c r="G6" s="1025"/>
      <c r="H6" s="1025"/>
      <c r="I6" s="1025"/>
      <c r="J6" s="1025"/>
      <c r="K6" s="1025"/>
      <c r="L6" s="1025"/>
      <c r="M6" s="1025"/>
      <c r="N6" s="1025"/>
      <c r="O6" s="1025"/>
    </row>
    <row r="7" spans="1:15">
      <c r="B7" s="1037" t="s">
        <v>2009</v>
      </c>
      <c r="C7" s="1038">
        <v>0</v>
      </c>
      <c r="D7" s="1025"/>
      <c r="E7" s="1025"/>
      <c r="F7" s="1025"/>
      <c r="G7" s="1025"/>
      <c r="H7" s="1025"/>
      <c r="I7" s="1025"/>
      <c r="J7" s="1025"/>
      <c r="K7" s="1025"/>
      <c r="L7" s="1025"/>
      <c r="M7" s="1025"/>
      <c r="N7" s="1025"/>
      <c r="O7" s="1025"/>
    </row>
    <row r="8" spans="1:15">
      <c r="B8" s="1037" t="s">
        <v>2010</v>
      </c>
      <c r="C8" s="1038">
        <f>SUM(C9:C10)</f>
        <v>1.3597867394686309</v>
      </c>
      <c r="D8" s="1025"/>
      <c r="E8" s="1025"/>
      <c r="F8" s="1025"/>
      <c r="G8" s="1025"/>
      <c r="H8" s="1025"/>
      <c r="I8" s="1025"/>
      <c r="J8" s="1025"/>
      <c r="K8" s="1025"/>
      <c r="L8" s="1025"/>
      <c r="M8" s="1025"/>
      <c r="N8" s="1025"/>
      <c r="O8" s="1025"/>
    </row>
    <row r="9" spans="1:15">
      <c r="B9" s="1039" t="s">
        <v>2011</v>
      </c>
      <c r="C9" s="1040">
        <v>0.30268536925025064</v>
      </c>
      <c r="D9" s="1025"/>
      <c r="E9" s="1025"/>
      <c r="F9" s="1025"/>
      <c r="G9" s="1025"/>
      <c r="H9" s="1025"/>
      <c r="I9" s="1025"/>
      <c r="J9" s="1025"/>
      <c r="K9" s="1025"/>
      <c r="L9" s="1025"/>
      <c r="M9" s="1025"/>
      <c r="N9" s="1025"/>
      <c r="O9" s="1025"/>
    </row>
    <row r="10" spans="1:15">
      <c r="B10" s="1039" t="s">
        <v>2012</v>
      </c>
      <c r="C10" s="1040">
        <v>1.0571013702183802</v>
      </c>
      <c r="D10" s="1025"/>
      <c r="E10" s="1025"/>
      <c r="F10" s="1025"/>
      <c r="G10" s="1025"/>
      <c r="H10" s="1025"/>
      <c r="I10" s="1025"/>
      <c r="J10" s="1025"/>
      <c r="K10" s="1025"/>
      <c r="L10" s="1025"/>
      <c r="M10" s="1025"/>
      <c r="N10" s="1025"/>
      <c r="O10" s="1025"/>
    </row>
    <row r="11" spans="1:15">
      <c r="B11" s="1037" t="s">
        <v>2013</v>
      </c>
      <c r="C11" s="1038">
        <f>SUM(C12:C14)</f>
        <v>1.3273356514939834</v>
      </c>
      <c r="D11" s="1025"/>
      <c r="E11" s="1025"/>
      <c r="F11" s="1025"/>
      <c r="G11" s="1025"/>
      <c r="H11" s="1025"/>
      <c r="I11" s="1025"/>
      <c r="J11" s="1025"/>
      <c r="K11" s="1025"/>
      <c r="L11" s="1025"/>
      <c r="M11" s="1025"/>
      <c r="N11" s="1025"/>
      <c r="O11" s="1025"/>
    </row>
    <row r="12" spans="1:15">
      <c r="B12" s="1039" t="s">
        <v>2014</v>
      </c>
      <c r="C12" s="1040">
        <v>0.6243244712998528</v>
      </c>
      <c r="D12" s="1025"/>
      <c r="E12" s="1025"/>
      <c r="F12" s="1025"/>
      <c r="G12" s="1025"/>
      <c r="H12" s="1025"/>
      <c r="I12" s="1025"/>
      <c r="J12" s="1025"/>
      <c r="K12" s="1025"/>
      <c r="L12" s="1025"/>
      <c r="M12" s="1025"/>
      <c r="N12" s="1025"/>
      <c r="O12" s="1025"/>
    </row>
    <row r="13" spans="1:15">
      <c r="B13" s="1039" t="s">
        <v>2015</v>
      </c>
      <c r="C13" s="1040">
        <v>0.1066865414387743</v>
      </c>
      <c r="D13" s="1025"/>
      <c r="E13" s="1025"/>
      <c r="F13" s="1025"/>
      <c r="G13" s="1025"/>
      <c r="H13" s="1025"/>
      <c r="I13" s="1025"/>
      <c r="J13" s="1025"/>
      <c r="K13" s="1025"/>
      <c r="L13" s="1025"/>
      <c r="M13" s="1025"/>
      <c r="N13" s="1025"/>
      <c r="O13" s="1025"/>
    </row>
    <row r="14" spans="1:15">
      <c r="B14" s="1039" t="s">
        <v>2016</v>
      </c>
      <c r="C14" s="1040">
        <v>0.59632463875535624</v>
      </c>
      <c r="D14" s="1025"/>
      <c r="E14" s="1025"/>
      <c r="F14" s="1025"/>
      <c r="G14" s="1025"/>
      <c r="H14" s="1025"/>
      <c r="I14" s="1025"/>
      <c r="J14" s="1025"/>
      <c r="K14" s="1025"/>
      <c r="L14" s="1025"/>
      <c r="M14" s="1025"/>
      <c r="N14" s="1025"/>
      <c r="O14" s="1025"/>
    </row>
    <row r="15" spans="1:15">
      <c r="B15" s="1037" t="s">
        <v>2017</v>
      </c>
      <c r="C15" s="1038">
        <v>12.586140112078498</v>
      </c>
      <c r="D15" s="1025"/>
      <c r="E15" s="1025"/>
      <c r="F15" s="1025"/>
      <c r="G15" s="1025"/>
      <c r="H15" s="1025"/>
      <c r="I15" s="1025"/>
      <c r="J15" s="1025"/>
      <c r="K15" s="1025"/>
      <c r="L15" s="1025"/>
      <c r="M15" s="1025"/>
      <c r="N15" s="1025"/>
      <c r="O15" s="1025"/>
    </row>
    <row r="16" spans="1:15" ht="12.75" thickBot="1">
      <c r="B16" s="1041" t="s">
        <v>2018</v>
      </c>
      <c r="C16" s="1042">
        <v>0</v>
      </c>
      <c r="D16" s="1025"/>
      <c r="E16" s="1025"/>
      <c r="F16" s="1025"/>
      <c r="G16" s="1025"/>
      <c r="H16" s="1025"/>
      <c r="I16" s="1025"/>
      <c r="J16" s="1025"/>
      <c r="K16" s="1025"/>
      <c r="L16" s="1025"/>
      <c r="M16" s="1025"/>
      <c r="N16" s="1025"/>
      <c r="O16" s="1025"/>
    </row>
    <row r="17" spans="2:15" ht="12.75" thickBot="1">
      <c r="B17" s="1033" t="s">
        <v>2019</v>
      </c>
      <c r="C17" s="1034">
        <v>4.2420427017931601</v>
      </c>
      <c r="D17" s="1025"/>
      <c r="E17" s="1025"/>
      <c r="F17" s="1025"/>
      <c r="G17" s="1025"/>
      <c r="H17" s="1025"/>
      <c r="I17" s="1025"/>
      <c r="J17" s="1025"/>
      <c r="K17" s="1025"/>
      <c r="L17" s="1025"/>
      <c r="M17" s="1025"/>
      <c r="N17" s="1025"/>
      <c r="O17" s="1025"/>
    </row>
    <row r="18" spans="2:15">
      <c r="B18" s="1035" t="s">
        <v>2020</v>
      </c>
      <c r="C18" s="1036">
        <v>0.52716305017069232</v>
      </c>
      <c r="D18" s="1025"/>
      <c r="E18" s="1025"/>
      <c r="F18" s="1025"/>
      <c r="G18" s="1025"/>
      <c r="H18" s="1025"/>
      <c r="I18" s="1025"/>
      <c r="J18" s="1025"/>
      <c r="K18" s="1025"/>
      <c r="L18" s="1025"/>
      <c r="M18" s="1025"/>
      <c r="N18" s="1025"/>
      <c r="O18" s="1025"/>
    </row>
    <row r="19" spans="2:15">
      <c r="B19" s="1037" t="s">
        <v>2021</v>
      </c>
      <c r="C19" s="1038">
        <v>2.7676060133961347</v>
      </c>
      <c r="D19" s="1025"/>
      <c r="E19" s="1025"/>
      <c r="F19" s="1025"/>
      <c r="G19" s="1025"/>
      <c r="H19" s="1025"/>
      <c r="I19" s="1025"/>
      <c r="J19" s="1025"/>
      <c r="K19" s="1025"/>
      <c r="L19" s="1025"/>
      <c r="M19" s="1025"/>
      <c r="N19" s="1025"/>
      <c r="O19" s="1025"/>
    </row>
    <row r="20" spans="2:15" ht="12.75" thickBot="1">
      <c r="B20" s="1041" t="s">
        <v>2022</v>
      </c>
      <c r="C20" s="1042">
        <v>0.94727363822633315</v>
      </c>
      <c r="D20" s="1025"/>
      <c r="E20" s="1025"/>
      <c r="F20" s="1025"/>
      <c r="G20" s="1025"/>
      <c r="H20" s="1025"/>
      <c r="I20" s="1025"/>
      <c r="J20" s="1025"/>
      <c r="K20" s="1025"/>
      <c r="L20" s="1025"/>
      <c r="M20" s="1025"/>
      <c r="N20" s="1025"/>
      <c r="O20" s="1025"/>
    </row>
    <row r="21" spans="2:15" ht="12.75" thickBot="1">
      <c r="B21" s="1033" t="s">
        <v>2023</v>
      </c>
      <c r="C21" s="1034">
        <v>22.182542074777697</v>
      </c>
      <c r="D21" s="1025"/>
      <c r="E21" s="1025"/>
      <c r="F21" s="1025"/>
      <c r="G21" s="1025"/>
      <c r="H21" s="1025"/>
      <c r="I21" s="1025"/>
      <c r="J21" s="1025"/>
      <c r="K21" s="1025"/>
      <c r="L21" s="1025"/>
      <c r="M21" s="1025"/>
      <c r="N21" s="1025"/>
      <c r="O21" s="1025"/>
    </row>
    <row r="22" spans="2:15">
      <c r="B22" s="1035" t="s">
        <v>2024</v>
      </c>
      <c r="C22" s="1036">
        <v>17.454874009122388</v>
      </c>
      <c r="D22" s="1025"/>
      <c r="E22" s="1025"/>
      <c r="F22" s="1025"/>
      <c r="G22" s="1025"/>
      <c r="H22" s="1025"/>
      <c r="I22" s="1025"/>
      <c r="J22" s="1025"/>
      <c r="K22" s="1025"/>
      <c r="L22" s="1025"/>
      <c r="M22" s="1025"/>
      <c r="N22" s="1025"/>
      <c r="O22" s="1025"/>
    </row>
    <row r="23" spans="2:15" ht="12.75" thickBot="1">
      <c r="B23" s="1041" t="s">
        <v>2025</v>
      </c>
      <c r="C23" s="1042">
        <v>4.7276680656553074</v>
      </c>
      <c r="D23" s="1025"/>
      <c r="E23" s="1025"/>
      <c r="F23" s="1025"/>
      <c r="G23" s="1025"/>
      <c r="H23" s="1025"/>
      <c r="I23" s="1025"/>
      <c r="J23" s="1025"/>
      <c r="K23" s="1025"/>
      <c r="L23" s="1025"/>
      <c r="M23" s="1025"/>
      <c r="N23" s="1025"/>
      <c r="O23" s="1025"/>
    </row>
    <row r="24" spans="2:15" ht="12.75" thickBot="1">
      <c r="B24" s="1033" t="s">
        <v>2026</v>
      </c>
      <c r="C24" s="1034">
        <v>9.6795951784849095</v>
      </c>
      <c r="D24" s="1025"/>
      <c r="E24" s="1025"/>
      <c r="F24" s="1025"/>
      <c r="G24" s="1025"/>
      <c r="H24" s="1025"/>
      <c r="I24" s="1025"/>
      <c r="J24" s="1025"/>
      <c r="K24" s="1025"/>
      <c r="L24" s="1025"/>
      <c r="M24" s="1025"/>
      <c r="N24" s="1025"/>
      <c r="O24" s="1025"/>
    </row>
    <row r="25" spans="2:15">
      <c r="B25" s="1035" t="s">
        <v>2027</v>
      </c>
      <c r="C25" s="1036">
        <v>2.7460938010819094E-3</v>
      </c>
      <c r="D25" s="1025"/>
      <c r="E25" s="1025"/>
      <c r="F25" s="1025"/>
      <c r="G25" s="1025"/>
      <c r="H25" s="1025"/>
      <c r="I25" s="1025"/>
      <c r="J25" s="1025"/>
      <c r="K25" s="1025"/>
      <c r="L25" s="1025"/>
      <c r="M25" s="1025"/>
      <c r="N25" s="1025"/>
      <c r="O25" s="1025"/>
    </row>
    <row r="26" spans="2:15">
      <c r="B26" s="1037" t="s">
        <v>2028</v>
      </c>
      <c r="C26" s="1038">
        <f>SUM(C27:C28)</f>
        <v>0.66027028499624518</v>
      </c>
      <c r="D26" s="1025"/>
      <c r="E26" s="1025"/>
      <c r="F26" s="1025"/>
      <c r="G26" s="1025"/>
      <c r="H26" s="1025"/>
      <c r="I26" s="1025"/>
      <c r="J26" s="1025"/>
      <c r="K26" s="1025"/>
      <c r="L26" s="1025"/>
      <c r="M26" s="1025"/>
      <c r="N26" s="1025"/>
      <c r="O26" s="1025"/>
    </row>
    <row r="27" spans="2:15">
      <c r="B27" s="1039" t="s">
        <v>2029</v>
      </c>
      <c r="C27" s="1040">
        <v>0.66027028499624518</v>
      </c>
      <c r="D27" s="1025"/>
      <c r="E27" s="1025"/>
      <c r="F27" s="1025"/>
      <c r="G27" s="1025"/>
      <c r="H27" s="1025"/>
      <c r="I27" s="1025"/>
      <c r="J27" s="1025"/>
      <c r="K27" s="1025"/>
      <c r="L27" s="1025"/>
      <c r="M27" s="1025"/>
      <c r="N27" s="1025"/>
      <c r="O27" s="1025"/>
    </row>
    <row r="28" spans="2:15">
      <c r="B28" s="1039" t="s">
        <v>2030</v>
      </c>
      <c r="C28" s="1040">
        <v>0</v>
      </c>
      <c r="D28" s="1025"/>
      <c r="E28" s="1025"/>
      <c r="F28" s="1025"/>
      <c r="G28" s="1025"/>
      <c r="H28" s="1025"/>
      <c r="I28" s="1025"/>
      <c r="J28" s="1025"/>
      <c r="K28" s="1025"/>
      <c r="L28" s="1025"/>
      <c r="M28" s="1025"/>
      <c r="N28" s="1025"/>
      <c r="O28" s="1025"/>
    </row>
    <row r="29" spans="2:15">
      <c r="B29" s="1037" t="s">
        <v>2031</v>
      </c>
      <c r="C29" s="1038">
        <v>0</v>
      </c>
      <c r="D29" s="1025"/>
      <c r="E29" s="1025"/>
      <c r="F29" s="1025"/>
      <c r="G29" s="1025"/>
      <c r="H29" s="1025"/>
      <c r="I29" s="1025"/>
      <c r="J29" s="1025"/>
      <c r="K29" s="1025"/>
      <c r="L29" s="1025"/>
      <c r="M29" s="1025"/>
      <c r="N29" s="1025"/>
      <c r="O29" s="1025"/>
    </row>
    <row r="30" spans="2:15">
      <c r="B30" s="1037" t="s">
        <v>2032</v>
      </c>
      <c r="C30" s="1038">
        <v>6.4479172387209145</v>
      </c>
      <c r="D30" s="1025"/>
      <c r="E30" s="1025"/>
      <c r="F30" s="1025"/>
      <c r="G30" s="1025"/>
      <c r="H30" s="1025"/>
      <c r="I30" s="1025"/>
      <c r="J30" s="1025"/>
      <c r="K30" s="1025"/>
      <c r="L30" s="1025"/>
      <c r="M30" s="1025"/>
      <c r="N30" s="1025"/>
      <c r="O30" s="1025"/>
    </row>
    <row r="31" spans="2:15">
      <c r="B31" s="1037" t="s">
        <v>2033</v>
      </c>
      <c r="C31" s="1038">
        <v>1.2865564081984089</v>
      </c>
      <c r="D31" s="1025"/>
      <c r="E31" s="1025"/>
      <c r="F31" s="1025"/>
      <c r="G31" s="1025"/>
      <c r="H31" s="1025"/>
      <c r="I31" s="1025"/>
      <c r="J31" s="1025"/>
      <c r="K31" s="1025"/>
      <c r="L31" s="1025"/>
      <c r="M31" s="1025"/>
      <c r="N31" s="1025"/>
      <c r="O31" s="1025"/>
    </row>
    <row r="32" spans="2:15" ht="12.75" thickBot="1">
      <c r="B32" s="1041" t="s">
        <v>2034</v>
      </c>
      <c r="C32" s="1042">
        <v>1.2821051527682581</v>
      </c>
      <c r="D32" s="1025"/>
      <c r="E32" s="1025"/>
      <c r="F32" s="1025"/>
      <c r="G32" s="1025"/>
      <c r="H32" s="1025"/>
      <c r="I32" s="1025"/>
      <c r="J32" s="1025"/>
      <c r="K32" s="1025"/>
      <c r="L32" s="1025"/>
      <c r="M32" s="1025"/>
      <c r="N32" s="1025"/>
      <c r="O32" s="1025"/>
    </row>
    <row r="33" spans="1:15" ht="12.75" thickBot="1">
      <c r="B33" s="1033" t="s">
        <v>794</v>
      </c>
      <c r="C33" s="1034">
        <v>1.6268620652776757</v>
      </c>
      <c r="D33" s="1025"/>
      <c r="E33" s="1025"/>
      <c r="F33" s="1025"/>
      <c r="G33" s="1025"/>
      <c r="H33" s="1025"/>
      <c r="I33" s="1025"/>
      <c r="J33" s="1025"/>
      <c r="K33" s="1025"/>
      <c r="L33" s="1025"/>
      <c r="M33" s="1025"/>
      <c r="N33" s="1025"/>
      <c r="O33" s="1025"/>
    </row>
    <row r="34" spans="1:15">
      <c r="B34" s="1035" t="s">
        <v>2035</v>
      </c>
      <c r="C34" s="1036">
        <v>1.2940230302102746</v>
      </c>
      <c r="D34" s="1025"/>
      <c r="E34" s="1025"/>
      <c r="F34" s="1025"/>
      <c r="G34" s="1025"/>
      <c r="H34" s="1025"/>
      <c r="I34" s="1025"/>
      <c r="J34" s="1025"/>
      <c r="K34" s="1025"/>
      <c r="L34" s="1025"/>
      <c r="M34" s="1025"/>
      <c r="N34" s="1025"/>
      <c r="O34" s="1025"/>
    </row>
    <row r="35" spans="1:15">
      <c r="B35" s="1037" t="s">
        <v>2036</v>
      </c>
      <c r="C35" s="1038">
        <v>5.1117643004311777E-2</v>
      </c>
      <c r="D35" s="1025"/>
      <c r="E35" s="1025"/>
      <c r="F35" s="1025"/>
      <c r="G35" s="1025"/>
      <c r="H35" s="1025"/>
      <c r="I35" s="1025"/>
      <c r="J35" s="1025"/>
      <c r="K35" s="1025"/>
      <c r="L35" s="1025"/>
      <c r="M35" s="1025"/>
      <c r="N35" s="1025"/>
      <c r="O35" s="1025"/>
    </row>
    <row r="36" spans="1:15" ht="12.75" thickBot="1">
      <c r="B36" s="1041" t="s">
        <v>2037</v>
      </c>
      <c r="C36" s="1042">
        <v>0.2817213920630891</v>
      </c>
      <c r="D36" s="1025"/>
      <c r="E36" s="1025"/>
      <c r="F36" s="1025"/>
      <c r="G36" s="1025"/>
      <c r="H36" s="1025"/>
      <c r="I36" s="1025"/>
      <c r="J36" s="1025"/>
      <c r="K36" s="1025"/>
      <c r="L36" s="1025"/>
      <c r="M36" s="1025"/>
      <c r="N36" s="1025"/>
      <c r="O36" s="1025"/>
    </row>
    <row r="37" spans="1:15" ht="12.75" thickBot="1">
      <c r="B37" s="1033" t="s">
        <v>2038</v>
      </c>
      <c r="C37" s="1034">
        <v>0</v>
      </c>
      <c r="D37" s="1025"/>
      <c r="E37" s="1025"/>
      <c r="F37" s="1025"/>
      <c r="G37" s="1025"/>
      <c r="H37" s="1025"/>
      <c r="I37" s="1025"/>
      <c r="J37" s="1025"/>
      <c r="K37" s="1025"/>
      <c r="L37" s="1025"/>
      <c r="M37" s="1025"/>
      <c r="N37" s="1025"/>
      <c r="O37" s="1025"/>
    </row>
    <row r="38" spans="1:15" ht="12.75" thickBot="1">
      <c r="B38" s="1033" t="s">
        <v>2039</v>
      </c>
      <c r="C38" s="1034">
        <v>93.37790921926603</v>
      </c>
      <c r="D38" s="1025"/>
      <c r="E38" s="1025"/>
      <c r="F38" s="1025"/>
      <c r="G38" s="1025"/>
      <c r="H38" s="1025"/>
      <c r="I38" s="1025"/>
      <c r="J38" s="1025"/>
      <c r="K38" s="1025"/>
      <c r="L38" s="1025"/>
      <c r="M38" s="1025"/>
      <c r="N38" s="1025"/>
      <c r="O38" s="1025"/>
    </row>
    <row r="39" spans="1:15" ht="12.75" thickBot="1">
      <c r="B39" s="1033" t="s">
        <v>2040</v>
      </c>
      <c r="C39" s="1034">
        <v>6.6220907807339806</v>
      </c>
      <c r="D39" s="1025"/>
      <c r="E39" s="1025"/>
      <c r="F39" s="1025"/>
      <c r="G39" s="1025"/>
      <c r="H39" s="1025"/>
      <c r="I39" s="1025"/>
      <c r="J39" s="1025"/>
      <c r="K39" s="1025"/>
      <c r="L39" s="1025"/>
      <c r="M39" s="1025"/>
      <c r="N39" s="1025"/>
      <c r="O39" s="1025"/>
    </row>
    <row r="40" spans="1:15">
      <c r="B40" s="1035" t="s">
        <v>2071</v>
      </c>
      <c r="C40" s="1036">
        <v>1.1143292669668026</v>
      </c>
      <c r="D40" s="1025"/>
      <c r="E40" s="1025"/>
      <c r="F40" s="1025"/>
      <c r="G40" s="1025"/>
      <c r="H40" s="1025"/>
      <c r="I40" s="1025"/>
      <c r="J40" s="1025"/>
      <c r="K40" s="1025"/>
      <c r="L40" s="1025"/>
      <c r="M40" s="1025"/>
      <c r="N40" s="1025"/>
      <c r="O40" s="1025"/>
    </row>
    <row r="41" spans="1:15">
      <c r="A41" s="1044"/>
      <c r="B41" s="1035" t="s">
        <v>2072</v>
      </c>
      <c r="C41" s="1036">
        <v>1.2614868398720023</v>
      </c>
      <c r="D41" s="1044"/>
      <c r="E41" s="1025"/>
      <c r="F41" s="1025"/>
      <c r="G41" s="1025"/>
      <c r="H41" s="1025"/>
      <c r="I41" s="1025"/>
      <c r="J41" s="1025"/>
      <c r="K41" s="1025"/>
      <c r="L41" s="1025"/>
      <c r="M41" s="1025"/>
      <c r="N41" s="1025"/>
      <c r="O41" s="1025"/>
    </row>
    <row r="42" spans="1:15">
      <c r="A42" s="1044"/>
      <c r="B42" s="1035" t="s">
        <v>2073</v>
      </c>
      <c r="C42" s="1036">
        <v>1.4637887732503165</v>
      </c>
      <c r="D42" s="1044"/>
      <c r="E42" s="1025"/>
      <c r="F42" s="1025"/>
      <c r="G42" s="1025"/>
      <c r="H42" s="1025"/>
      <c r="I42" s="1025"/>
      <c r="J42" s="1025"/>
      <c r="K42" s="1025"/>
      <c r="L42" s="1025"/>
      <c r="M42" s="1025"/>
      <c r="N42" s="1025"/>
      <c r="O42" s="1025"/>
    </row>
    <row r="43" spans="1:15">
      <c r="B43" s="1035" t="s">
        <v>2067</v>
      </c>
      <c r="C43" s="1036">
        <v>1.680075443578585</v>
      </c>
      <c r="D43" s="1025"/>
      <c r="E43" s="1025"/>
      <c r="F43" s="1025"/>
      <c r="G43" s="1025"/>
      <c r="H43" s="1025"/>
      <c r="I43" s="1025"/>
      <c r="J43" s="1025"/>
      <c r="K43" s="1025"/>
      <c r="L43" s="1025"/>
      <c r="M43" s="1025"/>
      <c r="N43" s="1025"/>
      <c r="O43" s="1025"/>
    </row>
    <row r="44" spans="1:15">
      <c r="B44" s="1035" t="s">
        <v>2074</v>
      </c>
      <c r="C44" s="1036">
        <v>0.13158366130184151</v>
      </c>
      <c r="D44" s="1025"/>
      <c r="E44" s="1025"/>
      <c r="F44" s="1025"/>
      <c r="G44" s="1025"/>
      <c r="H44" s="1025"/>
      <c r="I44" s="1025"/>
      <c r="J44" s="1025"/>
      <c r="K44" s="1025"/>
      <c r="L44" s="1025"/>
      <c r="M44" s="1025"/>
      <c r="N44" s="1025"/>
      <c r="O44" s="1025"/>
    </row>
    <row r="45" spans="1:15" ht="11.25" customHeight="1">
      <c r="B45" s="1035" t="s">
        <v>2075</v>
      </c>
      <c r="C45" s="1036">
        <v>1.5097159207336886E-2</v>
      </c>
      <c r="D45" s="1025"/>
      <c r="E45" s="1025"/>
      <c r="F45" s="1025"/>
      <c r="G45" s="1025"/>
      <c r="H45" s="1025"/>
      <c r="I45" s="1025"/>
      <c r="J45" s="1025"/>
      <c r="K45" s="1025"/>
      <c r="L45" s="1025"/>
      <c r="M45" s="1025"/>
      <c r="N45" s="1025"/>
      <c r="O45" s="1025"/>
    </row>
    <row r="46" spans="1:15">
      <c r="B46" s="1035" t="s">
        <v>2076</v>
      </c>
      <c r="C46" s="1036">
        <v>0.40349144449924584</v>
      </c>
      <c r="D46" s="1025"/>
      <c r="E46" s="1025"/>
      <c r="F46" s="1025"/>
      <c r="G46" s="1025"/>
      <c r="H46" s="1025"/>
      <c r="I46" s="1025"/>
      <c r="J46" s="1025"/>
      <c r="K46" s="1025"/>
      <c r="L46" s="1025"/>
      <c r="M46" s="1025"/>
      <c r="N46" s="1025"/>
      <c r="O46" s="1025"/>
    </row>
    <row r="47" spans="1:15" ht="12.75" thickBot="1">
      <c r="B47" s="1035" t="s">
        <v>2077</v>
      </c>
      <c r="C47" s="1036">
        <v>0.5522381920578493</v>
      </c>
      <c r="D47" s="1025"/>
      <c r="E47" s="1025"/>
      <c r="F47" s="1025"/>
      <c r="G47" s="1025"/>
      <c r="H47" s="1025"/>
      <c r="I47" s="1025"/>
      <c r="J47" s="1025"/>
      <c r="K47" s="1025"/>
      <c r="L47" s="1025"/>
      <c r="M47" s="1025"/>
      <c r="N47" s="1025"/>
      <c r="O47" s="1025"/>
    </row>
    <row r="48" spans="1:15" ht="12.75" hidden="1" outlineLevel="1" thickBot="1">
      <c r="B48" s="1035" t="s">
        <v>2049</v>
      </c>
      <c r="C48" s="1036">
        <v>0</v>
      </c>
      <c r="D48" s="1025"/>
      <c r="E48" s="1025"/>
      <c r="F48" s="1025"/>
      <c r="G48" s="1025"/>
      <c r="H48" s="1025"/>
      <c r="I48" s="1025"/>
      <c r="J48" s="1025"/>
      <c r="K48" s="1025"/>
      <c r="L48" s="1025"/>
      <c r="M48" s="1025"/>
      <c r="N48" s="1025"/>
      <c r="O48" s="1025"/>
    </row>
    <row r="49" spans="2:15" ht="12.75" hidden="1" outlineLevel="1" thickBot="1">
      <c r="B49" s="1035" t="s">
        <v>2050</v>
      </c>
      <c r="C49" s="1036">
        <v>0</v>
      </c>
      <c r="D49" s="1025"/>
      <c r="E49" s="1025"/>
      <c r="F49" s="1025"/>
      <c r="G49" s="1025"/>
      <c r="H49" s="1025"/>
      <c r="I49" s="1025"/>
      <c r="J49" s="1025"/>
      <c r="K49" s="1025"/>
      <c r="L49" s="1025"/>
      <c r="M49" s="1025"/>
      <c r="N49" s="1025"/>
      <c r="O49" s="1025"/>
    </row>
    <row r="50" spans="2:15" ht="12.75" collapsed="1" thickBot="1">
      <c r="B50" s="1033" t="s">
        <v>390</v>
      </c>
      <c r="C50" s="1034">
        <f>SUM(C38:C39)</f>
        <v>100.00000000000001</v>
      </c>
      <c r="D50" s="1025"/>
      <c r="E50" s="1025"/>
      <c r="F50" s="1044"/>
      <c r="G50" s="1025"/>
      <c r="H50" s="1025"/>
      <c r="I50" s="1025"/>
      <c r="J50" s="1025"/>
      <c r="K50" s="1025"/>
      <c r="L50" s="1025"/>
      <c r="M50" s="1025"/>
      <c r="N50" s="1025"/>
      <c r="O50" s="1025"/>
    </row>
    <row r="51" spans="2:15">
      <c r="B51" s="1044"/>
      <c r="C51" s="1044"/>
      <c r="D51" s="1044"/>
      <c r="E51" s="1044"/>
      <c r="F51" s="1044"/>
      <c r="G51" s="1025"/>
      <c r="H51" s="1025"/>
      <c r="I51" s="1025"/>
      <c r="J51" s="1025"/>
      <c r="K51" s="1025"/>
      <c r="L51" s="1025"/>
      <c r="M51" s="1025"/>
      <c r="N51" s="1025"/>
      <c r="O51" s="1025"/>
    </row>
    <row r="52" spans="2:15">
      <c r="B52" s="1044"/>
      <c r="C52" s="1045"/>
      <c r="D52" s="1046" t="s">
        <v>2051</v>
      </c>
      <c r="E52" s="1047"/>
      <c r="F52" s="1048"/>
      <c r="G52" s="1025"/>
      <c r="H52" s="1025"/>
      <c r="I52" s="1025"/>
      <c r="J52" s="1025"/>
      <c r="K52" s="1025"/>
      <c r="L52" s="1025"/>
      <c r="M52" s="1025"/>
      <c r="N52" s="1025"/>
      <c r="O52" s="1025"/>
    </row>
    <row r="53" spans="2:15">
      <c r="C53" s="1025"/>
      <c r="D53" s="1025"/>
      <c r="E53" s="1025"/>
      <c r="F53" s="1025"/>
      <c r="G53" s="1025"/>
      <c r="H53" s="1025"/>
      <c r="I53" s="1025"/>
      <c r="J53" s="1025"/>
      <c r="K53" s="1025"/>
      <c r="L53" s="1025"/>
      <c r="M53" s="1025"/>
      <c r="N53" s="1025"/>
      <c r="O53" s="1025"/>
    </row>
    <row r="54" spans="2:15">
      <c r="B54" s="1025" t="s">
        <v>2052</v>
      </c>
      <c r="C54" s="1025"/>
      <c r="D54" s="1025"/>
      <c r="E54" s="1025"/>
      <c r="F54" s="1025"/>
      <c r="G54" s="1025"/>
      <c r="H54" s="1025"/>
      <c r="I54" s="1025"/>
      <c r="J54" s="1025"/>
      <c r="K54" s="1025"/>
      <c r="L54" s="1025"/>
      <c r="M54" s="1025"/>
      <c r="N54" s="1025"/>
      <c r="O54" s="1025"/>
    </row>
    <row r="55" spans="2:15">
      <c r="B55" s="1025"/>
      <c r="C55" s="1025"/>
      <c r="D55" s="1025"/>
      <c r="E55" s="1025"/>
      <c r="F55" s="1025"/>
      <c r="G55" s="1025"/>
      <c r="H55" s="1025"/>
      <c r="I55" s="1025"/>
      <c r="J55" s="1025"/>
      <c r="K55" s="1025"/>
      <c r="L55" s="1025"/>
      <c r="M55" s="1025"/>
      <c r="N55" s="1025"/>
      <c r="O55" s="1025"/>
    </row>
    <row r="56" spans="2:15">
      <c r="B56" s="1025" t="s">
        <v>2053</v>
      </c>
      <c r="C56" s="1025" t="s">
        <v>2054</v>
      </c>
      <c r="D56" s="1025"/>
      <c r="E56" s="1025"/>
      <c r="F56" s="1025"/>
      <c r="G56" s="1025"/>
      <c r="H56" s="1025"/>
      <c r="I56" s="1025"/>
      <c r="J56" s="1025"/>
      <c r="K56" s="1025"/>
      <c r="L56" s="1025"/>
      <c r="M56" s="1025"/>
      <c r="N56" s="1025"/>
      <c r="O56" s="1025"/>
    </row>
    <row r="57" spans="2:15">
      <c r="B57" s="1025"/>
      <c r="C57" s="1025"/>
      <c r="D57" s="1025"/>
      <c r="E57" s="1025"/>
      <c r="F57" s="1025"/>
      <c r="G57" s="1025"/>
      <c r="H57" s="1025"/>
      <c r="I57" s="1025"/>
      <c r="J57" s="1025"/>
      <c r="K57" s="1025"/>
      <c r="L57" s="1025"/>
      <c r="M57" s="1025"/>
      <c r="N57" s="1025"/>
      <c r="O57" s="1025"/>
    </row>
    <row r="58" spans="2:15">
      <c r="B58" s="1025"/>
      <c r="C58" s="1025"/>
      <c r="D58" s="1025"/>
      <c r="E58" s="1025"/>
      <c r="F58" s="1025"/>
      <c r="G58" s="1025"/>
      <c r="H58" s="1025"/>
      <c r="I58" s="1025"/>
      <c r="J58" s="1025"/>
      <c r="K58" s="1025"/>
      <c r="L58" s="1025"/>
      <c r="M58" s="1025"/>
      <c r="N58" s="1025"/>
      <c r="O58" s="1025"/>
    </row>
    <row r="59" spans="2:15">
      <c r="B59" s="1025"/>
      <c r="C59" s="1025"/>
      <c r="D59" s="1025"/>
      <c r="E59" s="1025"/>
      <c r="F59" s="1025"/>
      <c r="G59" s="1025"/>
      <c r="H59" s="1025"/>
      <c r="I59" s="1025"/>
      <c r="J59" s="1025"/>
      <c r="K59" s="1025"/>
      <c r="L59" s="1025"/>
      <c r="M59" s="1025"/>
      <c r="N59" s="1025"/>
      <c r="O59" s="1025"/>
    </row>
  </sheetData>
  <conditionalFormatting sqref="C9:C10 C12:C14">
    <cfRule type="cellIs" dxfId="2" priority="1" operator="equal">
      <formula>0</formula>
    </cfRule>
  </conditionalFormatting>
  <pageMargins left="0.78740157499999996" right="0.78740157499999996" top="0.984251969" bottom="0.984251969" header="0.4921259845" footer="0.4921259845"/>
  <pageSetup paperSize="9" fitToHeight="0" orientation="portrait" r:id="rId1"/>
  <headerFooter alignWithMargins="0">
    <oddHeader>&amp;L&amp;A&amp;CESU-services Ltd.&amp;R&amp;D</oddHeader>
    <oddFooter>&amp;L&amp;Z&amp;F</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
  <sheetViews>
    <sheetView zoomScale="80" zoomScaleNormal="80" workbookViewId="0">
      <selection activeCell="L67" sqref="L67"/>
    </sheetView>
  </sheetViews>
  <sheetFormatPr defaultColWidth="11.42578125" defaultRowHeight="12" outlineLevelRow="1"/>
  <cols>
    <col min="1" max="1" width="2.7109375" style="1025" customWidth="1"/>
    <col min="2" max="2" width="29.140625" style="1032" customWidth="1"/>
    <col min="3" max="6" width="12.85546875" style="1032" customWidth="1"/>
    <col min="7" max="16384" width="11.42578125" style="1032"/>
  </cols>
  <sheetData>
    <row r="1" spans="1:15" s="1025" customFormat="1" ht="12.75" thickBot="1"/>
    <row r="2" spans="1:15" s="1029" customFormat="1" ht="12.75" thickBot="1">
      <c r="A2" s="1026"/>
      <c r="B2" s="1027" t="s">
        <v>2042</v>
      </c>
      <c r="C2" s="1028" t="s">
        <v>2006</v>
      </c>
      <c r="D2" s="1026"/>
      <c r="E2" s="1026"/>
      <c r="F2" s="1026"/>
      <c r="G2" s="1026"/>
      <c r="H2" s="1026"/>
      <c r="I2" s="1026"/>
      <c r="J2" s="1026"/>
      <c r="K2" s="1026"/>
      <c r="L2" s="1026"/>
      <c r="M2" s="1026"/>
      <c r="N2" s="1026"/>
      <c r="O2" s="1026"/>
    </row>
    <row r="3" spans="1:15" ht="12.75" thickBot="1">
      <c r="B3" s="1030"/>
      <c r="C3" s="1031" t="s">
        <v>403</v>
      </c>
      <c r="D3" s="1025"/>
      <c r="E3" s="1025"/>
      <c r="F3" s="1025"/>
      <c r="G3" s="1025"/>
      <c r="H3" s="1025"/>
      <c r="I3" s="1025"/>
      <c r="J3" s="1025"/>
      <c r="K3" s="1025"/>
      <c r="L3" s="1025"/>
      <c r="M3" s="1025"/>
      <c r="N3" s="1025"/>
      <c r="O3" s="1025"/>
    </row>
    <row r="4" spans="1:15" ht="12.75" thickBot="1">
      <c r="B4" s="1033" t="s">
        <v>2007</v>
      </c>
      <c r="C4" s="1034">
        <v>77.219890298574313</v>
      </c>
      <c r="D4" s="1025"/>
      <c r="E4" s="1025"/>
      <c r="F4" s="1025"/>
      <c r="G4" s="1025"/>
      <c r="H4" s="1025"/>
      <c r="I4" s="1025"/>
      <c r="J4" s="1025"/>
      <c r="K4" s="1025"/>
      <c r="L4" s="1025"/>
      <c r="M4" s="1025"/>
      <c r="N4" s="1025"/>
      <c r="O4" s="1025"/>
    </row>
    <row r="5" spans="1:15">
      <c r="B5" s="1035" t="s">
        <v>1718</v>
      </c>
      <c r="C5" s="1036">
        <v>8.0006812111309475</v>
      </c>
      <c r="D5" s="1025"/>
      <c r="E5" s="1025"/>
      <c r="F5" s="1025"/>
      <c r="G5" s="1025"/>
      <c r="H5" s="1025"/>
      <c r="I5" s="1025"/>
      <c r="J5" s="1025"/>
      <c r="K5" s="1025"/>
      <c r="L5" s="1025"/>
      <c r="M5" s="1025"/>
      <c r="N5" s="1025"/>
      <c r="O5" s="1025"/>
    </row>
    <row r="6" spans="1:15">
      <c r="B6" s="1037" t="s">
        <v>2008</v>
      </c>
      <c r="C6" s="1038">
        <v>0</v>
      </c>
      <c r="D6" s="1025"/>
      <c r="E6" s="1025"/>
      <c r="F6" s="1025"/>
      <c r="G6" s="1025"/>
      <c r="H6" s="1025"/>
      <c r="I6" s="1025"/>
      <c r="J6" s="1025"/>
      <c r="K6" s="1025"/>
      <c r="L6" s="1025"/>
      <c r="M6" s="1025"/>
      <c r="N6" s="1025"/>
      <c r="O6" s="1025"/>
    </row>
    <row r="7" spans="1:15">
      <c r="B7" s="1037" t="s">
        <v>2009</v>
      </c>
      <c r="C7" s="1038">
        <v>0</v>
      </c>
      <c r="D7" s="1025"/>
      <c r="E7" s="1025"/>
      <c r="F7" s="1025"/>
      <c r="G7" s="1025"/>
      <c r="H7" s="1025"/>
      <c r="I7" s="1025"/>
      <c r="J7" s="1025"/>
      <c r="K7" s="1025"/>
      <c r="L7" s="1025"/>
      <c r="M7" s="1025"/>
      <c r="N7" s="1025"/>
      <c r="O7" s="1025"/>
    </row>
    <row r="8" spans="1:15">
      <c r="B8" s="1037" t="s">
        <v>2010</v>
      </c>
      <c r="C8" s="1043">
        <f>SUM(C9:C10)</f>
        <v>0.19209594260511453</v>
      </c>
      <c r="D8" s="1025"/>
      <c r="E8" s="1025"/>
      <c r="F8" s="1025"/>
      <c r="G8" s="1025"/>
      <c r="H8" s="1025"/>
      <c r="I8" s="1025"/>
      <c r="J8" s="1025"/>
      <c r="K8" s="1025"/>
      <c r="L8" s="1025"/>
      <c r="M8" s="1025"/>
      <c r="N8" s="1025"/>
      <c r="O8" s="1025"/>
    </row>
    <row r="9" spans="1:15">
      <c r="B9" s="1039" t="s">
        <v>2011</v>
      </c>
      <c r="C9" s="1040">
        <v>2.5638303096698553E-2</v>
      </c>
      <c r="D9" s="1025"/>
      <c r="E9" s="1025"/>
      <c r="F9" s="1025"/>
      <c r="G9" s="1025"/>
      <c r="H9" s="1025"/>
      <c r="I9" s="1025"/>
      <c r="J9" s="1025"/>
      <c r="K9" s="1025"/>
      <c r="L9" s="1025"/>
      <c r="M9" s="1025"/>
      <c r="N9" s="1025"/>
      <c r="O9" s="1025"/>
    </row>
    <row r="10" spans="1:15">
      <c r="B10" s="1039" t="s">
        <v>2012</v>
      </c>
      <c r="C10" s="1040">
        <v>0.16645763950841599</v>
      </c>
      <c r="D10" s="1025"/>
      <c r="E10" s="1025"/>
      <c r="F10" s="1025"/>
      <c r="G10" s="1025"/>
      <c r="H10" s="1025"/>
      <c r="I10" s="1025"/>
      <c r="J10" s="1025"/>
      <c r="K10" s="1025"/>
      <c r="L10" s="1025"/>
      <c r="M10" s="1025"/>
      <c r="N10" s="1025"/>
      <c r="O10" s="1025"/>
    </row>
    <row r="11" spans="1:15">
      <c r="B11" s="1037" t="s">
        <v>2013</v>
      </c>
      <c r="C11" s="1043">
        <f>SUM(C12:C14)</f>
        <v>18.869408417929886</v>
      </c>
      <c r="D11" s="1025"/>
      <c r="E11" s="1025"/>
      <c r="F11" s="1025"/>
      <c r="G11" s="1025"/>
      <c r="H11" s="1025"/>
      <c r="I11" s="1025"/>
      <c r="J11" s="1025"/>
      <c r="K11" s="1025"/>
      <c r="L11" s="1025"/>
      <c r="M11" s="1025"/>
      <c r="N11" s="1025"/>
      <c r="O11" s="1025"/>
    </row>
    <row r="12" spans="1:15">
      <c r="B12" s="1039" t="s">
        <v>2014</v>
      </c>
      <c r="C12" s="1040">
        <v>17.768109368492595</v>
      </c>
      <c r="D12" s="1025"/>
      <c r="E12" s="1025"/>
      <c r="F12" s="1025"/>
      <c r="G12" s="1025"/>
      <c r="H12" s="1025"/>
      <c r="I12" s="1025"/>
      <c r="J12" s="1025"/>
      <c r="K12" s="1025"/>
      <c r="L12" s="1025"/>
      <c r="M12" s="1025"/>
      <c r="N12" s="1025"/>
      <c r="O12" s="1025"/>
    </row>
    <row r="13" spans="1:15">
      <c r="B13" s="1039" t="s">
        <v>2015</v>
      </c>
      <c r="C13" s="1040">
        <v>0.32755802165334275</v>
      </c>
      <c r="D13" s="1025"/>
      <c r="E13" s="1025"/>
      <c r="F13" s="1025"/>
      <c r="G13" s="1025"/>
      <c r="H13" s="1025"/>
      <c r="I13" s="1025"/>
      <c r="J13" s="1025"/>
      <c r="K13" s="1025"/>
      <c r="L13" s="1025"/>
      <c r="M13" s="1025"/>
      <c r="N13" s="1025"/>
      <c r="O13" s="1025"/>
    </row>
    <row r="14" spans="1:15">
      <c r="B14" s="1039" t="s">
        <v>2016</v>
      </c>
      <c r="C14" s="1040">
        <v>0.77374102778394749</v>
      </c>
      <c r="D14" s="1025"/>
      <c r="E14" s="1025"/>
      <c r="F14" s="1025"/>
      <c r="G14" s="1025"/>
      <c r="H14" s="1025"/>
      <c r="I14" s="1025"/>
      <c r="J14" s="1025"/>
      <c r="K14" s="1025"/>
      <c r="L14" s="1025"/>
      <c r="M14" s="1025"/>
      <c r="N14" s="1025"/>
      <c r="O14" s="1025"/>
    </row>
    <row r="15" spans="1:15">
      <c r="B15" s="1037" t="s">
        <v>2017</v>
      </c>
      <c r="C15" s="1038">
        <v>50.157704726908356</v>
      </c>
      <c r="D15" s="1025"/>
      <c r="E15" s="1025"/>
      <c r="F15" s="1025"/>
      <c r="G15" s="1025"/>
      <c r="H15" s="1025"/>
      <c r="I15" s="1025"/>
      <c r="J15" s="1025"/>
      <c r="K15" s="1025"/>
      <c r="L15" s="1025"/>
      <c r="M15" s="1025"/>
      <c r="N15" s="1025"/>
      <c r="O15" s="1025"/>
    </row>
    <row r="16" spans="1:15" ht="12.75" thickBot="1">
      <c r="B16" s="1041" t="s">
        <v>2018</v>
      </c>
      <c r="C16" s="1042">
        <v>0</v>
      </c>
      <c r="D16" s="1025"/>
      <c r="E16" s="1025"/>
      <c r="F16" s="1025"/>
      <c r="G16" s="1025"/>
      <c r="H16" s="1025"/>
      <c r="I16" s="1025"/>
      <c r="J16" s="1025"/>
      <c r="K16" s="1025"/>
      <c r="L16" s="1025"/>
      <c r="M16" s="1025"/>
      <c r="N16" s="1025"/>
      <c r="O16" s="1025"/>
    </row>
    <row r="17" spans="2:15" ht="12.75" thickBot="1">
      <c r="B17" s="1033" t="s">
        <v>2019</v>
      </c>
      <c r="C17" s="1034">
        <v>15.73311698506264</v>
      </c>
      <c r="D17" s="1025"/>
      <c r="E17" s="1025"/>
      <c r="F17" s="1025"/>
      <c r="G17" s="1025"/>
      <c r="H17" s="1025"/>
      <c r="I17" s="1025"/>
      <c r="J17" s="1025"/>
      <c r="K17" s="1025"/>
      <c r="L17" s="1025"/>
      <c r="M17" s="1025"/>
      <c r="N17" s="1025"/>
      <c r="O17" s="1025"/>
    </row>
    <row r="18" spans="2:15">
      <c r="B18" s="1035" t="s">
        <v>2020</v>
      </c>
      <c r="C18" s="1036">
        <v>0</v>
      </c>
      <c r="D18" s="1025"/>
      <c r="E18" s="1025"/>
      <c r="F18" s="1025"/>
      <c r="G18" s="1025"/>
      <c r="H18" s="1025"/>
      <c r="I18" s="1025"/>
      <c r="J18" s="1025"/>
      <c r="K18" s="1025"/>
      <c r="L18" s="1025"/>
      <c r="M18" s="1025"/>
      <c r="N18" s="1025"/>
      <c r="O18" s="1025"/>
    </row>
    <row r="19" spans="2:15">
      <c r="B19" s="1037" t="s">
        <v>2021</v>
      </c>
      <c r="C19" s="1038">
        <v>15.73311698506264</v>
      </c>
      <c r="D19" s="1025"/>
      <c r="E19" s="1025"/>
      <c r="F19" s="1025"/>
      <c r="G19" s="1025"/>
      <c r="H19" s="1025"/>
      <c r="I19" s="1025"/>
      <c r="J19" s="1025"/>
      <c r="K19" s="1025"/>
      <c r="L19" s="1025"/>
      <c r="M19" s="1025"/>
      <c r="N19" s="1025"/>
      <c r="O19" s="1025"/>
    </row>
    <row r="20" spans="2:15" ht="12.75" thickBot="1">
      <c r="B20" s="1041" t="s">
        <v>2022</v>
      </c>
      <c r="C20" s="1042">
        <v>0</v>
      </c>
      <c r="D20" s="1025"/>
      <c r="E20" s="1025"/>
      <c r="F20" s="1025"/>
      <c r="G20" s="1025"/>
      <c r="H20" s="1025"/>
      <c r="I20" s="1025"/>
      <c r="J20" s="1025"/>
      <c r="K20" s="1025"/>
      <c r="L20" s="1025"/>
      <c r="M20" s="1025"/>
      <c r="N20" s="1025"/>
      <c r="O20" s="1025"/>
    </row>
    <row r="21" spans="2:15" ht="12.75" thickBot="1">
      <c r="B21" s="1033" t="s">
        <v>2023</v>
      </c>
      <c r="C21" s="1034">
        <v>3.7382511156349052</v>
      </c>
      <c r="D21" s="1025"/>
      <c r="E21" s="1025"/>
      <c r="F21" s="1025"/>
      <c r="G21" s="1025"/>
      <c r="H21" s="1025"/>
      <c r="I21" s="1025"/>
      <c r="J21" s="1025"/>
      <c r="K21" s="1025"/>
      <c r="L21" s="1025"/>
      <c r="M21" s="1025"/>
      <c r="N21" s="1025"/>
      <c r="O21" s="1025"/>
    </row>
    <row r="22" spans="2:15">
      <c r="B22" s="1035" t="s">
        <v>2024</v>
      </c>
      <c r="C22" s="1036">
        <v>0</v>
      </c>
      <c r="D22" s="1025"/>
      <c r="E22" s="1025"/>
      <c r="F22" s="1025"/>
      <c r="G22" s="1025"/>
      <c r="H22" s="1025"/>
      <c r="I22" s="1025"/>
      <c r="J22" s="1025"/>
      <c r="K22" s="1025"/>
      <c r="L22" s="1025"/>
      <c r="M22" s="1025"/>
      <c r="N22" s="1025"/>
      <c r="O22" s="1025"/>
    </row>
    <row r="23" spans="2:15" ht="12.75" thickBot="1">
      <c r="B23" s="1041" t="s">
        <v>2025</v>
      </c>
      <c r="C23" s="1042">
        <v>3.7382511156349052</v>
      </c>
      <c r="D23" s="1025"/>
      <c r="E23" s="1025"/>
      <c r="F23" s="1025"/>
      <c r="G23" s="1025"/>
      <c r="H23" s="1025"/>
      <c r="I23" s="1025"/>
      <c r="J23" s="1025"/>
      <c r="K23" s="1025"/>
      <c r="L23" s="1025"/>
      <c r="M23" s="1025"/>
      <c r="N23" s="1025"/>
      <c r="O23" s="1025"/>
    </row>
    <row r="24" spans="2:15" ht="12.75" thickBot="1">
      <c r="B24" s="1033" t="s">
        <v>2026</v>
      </c>
      <c r="C24" s="1034">
        <v>3.1407247915084735</v>
      </c>
      <c r="D24" s="1025"/>
      <c r="E24" s="1025"/>
      <c r="F24" s="1025"/>
      <c r="G24" s="1025"/>
      <c r="H24" s="1025"/>
      <c r="I24" s="1025"/>
      <c r="J24" s="1025"/>
      <c r="K24" s="1025"/>
      <c r="L24" s="1025"/>
      <c r="M24" s="1025"/>
      <c r="N24" s="1025"/>
      <c r="O24" s="1025"/>
    </row>
    <row r="25" spans="2:15">
      <c r="B25" s="1035" t="s">
        <v>2027</v>
      </c>
      <c r="C25" s="1036">
        <v>2.7476861243178088</v>
      </c>
      <c r="D25" s="1025"/>
      <c r="E25" s="1025"/>
      <c r="F25" s="1025"/>
      <c r="G25" s="1025"/>
      <c r="H25" s="1025"/>
      <c r="I25" s="1025"/>
      <c r="J25" s="1025"/>
      <c r="K25" s="1025"/>
      <c r="L25" s="1025"/>
      <c r="M25" s="1025"/>
      <c r="N25" s="1025"/>
      <c r="O25" s="1025"/>
    </row>
    <row r="26" spans="2:15">
      <c r="B26" s="1037" t="s">
        <v>2028</v>
      </c>
      <c r="C26" s="1043">
        <f>SUM(C27:C28)</f>
        <v>3.4316870706562765E-3</v>
      </c>
      <c r="D26" s="1025"/>
      <c r="E26" s="1025"/>
      <c r="F26" s="1025"/>
      <c r="G26" s="1025"/>
      <c r="H26" s="1025"/>
      <c r="I26" s="1025"/>
      <c r="J26" s="1025"/>
      <c r="K26" s="1025"/>
      <c r="L26" s="1025"/>
      <c r="M26" s="1025"/>
      <c r="N26" s="1025"/>
      <c r="O26" s="1025"/>
    </row>
    <row r="27" spans="2:15">
      <c r="B27" s="1039" t="s">
        <v>2029</v>
      </c>
      <c r="C27" s="1040">
        <v>3.4316870706562765E-3</v>
      </c>
      <c r="D27" s="1025"/>
      <c r="E27" s="1025"/>
      <c r="F27" s="1025"/>
      <c r="G27" s="1025"/>
      <c r="H27" s="1025"/>
      <c r="I27" s="1025"/>
      <c r="J27" s="1025"/>
      <c r="K27" s="1025"/>
      <c r="L27" s="1025"/>
      <c r="M27" s="1025"/>
      <c r="N27" s="1025"/>
      <c r="O27" s="1025"/>
    </row>
    <row r="28" spans="2:15">
      <c r="B28" s="1039" t="s">
        <v>2030</v>
      </c>
      <c r="C28" s="1040">
        <v>0</v>
      </c>
      <c r="D28" s="1025"/>
      <c r="E28" s="1025"/>
      <c r="F28" s="1025"/>
      <c r="G28" s="1025"/>
      <c r="H28" s="1025"/>
      <c r="I28" s="1025"/>
      <c r="J28" s="1025"/>
      <c r="K28" s="1025"/>
      <c r="L28" s="1025"/>
      <c r="M28" s="1025"/>
      <c r="N28" s="1025"/>
      <c r="O28" s="1025"/>
    </row>
    <row r="29" spans="2:15">
      <c r="B29" s="1037" t="s">
        <v>2031</v>
      </c>
      <c r="C29" s="1038">
        <v>0</v>
      </c>
      <c r="D29" s="1025"/>
      <c r="E29" s="1025"/>
      <c r="F29" s="1025"/>
      <c r="G29" s="1025"/>
      <c r="H29" s="1025"/>
      <c r="I29" s="1025"/>
      <c r="J29" s="1025"/>
      <c r="K29" s="1025"/>
      <c r="L29" s="1025"/>
      <c r="M29" s="1025"/>
      <c r="N29" s="1025"/>
      <c r="O29" s="1025"/>
    </row>
    <row r="30" spans="2:15">
      <c r="B30" s="1037" t="s">
        <v>2032</v>
      </c>
      <c r="C30" s="1038">
        <v>0.10911629101732134</v>
      </c>
      <c r="D30" s="1025"/>
      <c r="E30" s="1025"/>
      <c r="F30" s="1025"/>
      <c r="G30" s="1025"/>
      <c r="H30" s="1025"/>
      <c r="I30" s="1025"/>
      <c r="J30" s="1025"/>
      <c r="K30" s="1025"/>
      <c r="L30" s="1025"/>
      <c r="M30" s="1025"/>
      <c r="N30" s="1025"/>
      <c r="O30" s="1025"/>
    </row>
    <row r="31" spans="2:15">
      <c r="B31" s="1037" t="s">
        <v>2033</v>
      </c>
      <c r="C31" s="1038">
        <v>0.28049068910268721</v>
      </c>
      <c r="D31" s="1025"/>
      <c r="E31" s="1025"/>
      <c r="F31" s="1025"/>
      <c r="G31" s="1025"/>
      <c r="H31" s="1025"/>
      <c r="I31" s="1025"/>
      <c r="J31" s="1025"/>
      <c r="K31" s="1025"/>
      <c r="L31" s="1025"/>
      <c r="M31" s="1025"/>
      <c r="N31" s="1025"/>
      <c r="O31" s="1025"/>
    </row>
    <row r="32" spans="2:15" ht="12.75" thickBot="1">
      <c r="B32" s="1041" t="s">
        <v>2034</v>
      </c>
      <c r="C32" s="1042">
        <v>0</v>
      </c>
      <c r="D32" s="1025"/>
      <c r="E32" s="1025"/>
      <c r="F32" s="1025"/>
      <c r="G32" s="1025"/>
      <c r="H32" s="1025"/>
      <c r="I32" s="1025"/>
      <c r="J32" s="1025"/>
      <c r="K32" s="1025"/>
      <c r="L32" s="1025"/>
      <c r="M32" s="1025"/>
      <c r="N32" s="1025"/>
      <c r="O32" s="1025"/>
    </row>
    <row r="33" spans="1:15" ht="12.75" thickBot="1">
      <c r="B33" s="1033" t="s">
        <v>794</v>
      </c>
      <c r="C33" s="1034">
        <v>2.5638303096698553E-2</v>
      </c>
      <c r="D33" s="1025"/>
      <c r="E33" s="1025"/>
      <c r="F33" s="1025"/>
      <c r="G33" s="1025"/>
      <c r="H33" s="1025"/>
      <c r="I33" s="1025"/>
      <c r="J33" s="1025"/>
      <c r="K33" s="1025"/>
      <c r="L33" s="1025"/>
      <c r="M33" s="1025"/>
      <c r="N33" s="1025"/>
      <c r="O33" s="1025"/>
    </row>
    <row r="34" spans="1:15">
      <c r="B34" s="1035" t="s">
        <v>2035</v>
      </c>
      <c r="C34" s="1036">
        <v>0</v>
      </c>
      <c r="D34" s="1025"/>
      <c r="E34" s="1025"/>
      <c r="F34" s="1025"/>
      <c r="G34" s="1025"/>
      <c r="H34" s="1025"/>
      <c r="I34" s="1025"/>
      <c r="J34" s="1025"/>
      <c r="K34" s="1025"/>
      <c r="L34" s="1025"/>
      <c r="M34" s="1025"/>
      <c r="N34" s="1025"/>
      <c r="O34" s="1025"/>
    </row>
    <row r="35" spans="1:15">
      <c r="B35" s="1037" t="s">
        <v>2036</v>
      </c>
      <c r="C35" s="1038">
        <v>0</v>
      </c>
      <c r="D35" s="1025"/>
      <c r="E35" s="1025"/>
      <c r="F35" s="1025"/>
      <c r="G35" s="1025"/>
      <c r="H35" s="1025"/>
      <c r="I35" s="1025"/>
      <c r="J35" s="1025"/>
      <c r="K35" s="1025"/>
      <c r="L35" s="1025"/>
      <c r="M35" s="1025"/>
      <c r="N35" s="1025"/>
      <c r="O35" s="1025"/>
    </row>
    <row r="36" spans="1:15" ht="12.75" thickBot="1">
      <c r="B36" s="1041" t="s">
        <v>2037</v>
      </c>
      <c r="C36" s="1042">
        <v>2.5638303096698553E-2</v>
      </c>
      <c r="D36" s="1025"/>
      <c r="E36" s="1025"/>
      <c r="F36" s="1025"/>
      <c r="G36" s="1025"/>
      <c r="H36" s="1025"/>
      <c r="I36" s="1025"/>
      <c r="J36" s="1025"/>
      <c r="K36" s="1025"/>
      <c r="L36" s="1025"/>
      <c r="M36" s="1025"/>
      <c r="N36" s="1025"/>
      <c r="O36" s="1025"/>
    </row>
    <row r="37" spans="1:15" ht="12.75" thickBot="1">
      <c r="B37" s="1033" t="s">
        <v>2038</v>
      </c>
      <c r="C37" s="1034">
        <v>0</v>
      </c>
      <c r="D37" s="1025"/>
      <c r="E37" s="1025"/>
      <c r="F37" s="1025"/>
      <c r="G37" s="1025"/>
      <c r="H37" s="1025"/>
      <c r="I37" s="1025"/>
      <c r="J37" s="1025"/>
      <c r="K37" s="1025"/>
      <c r="L37" s="1025"/>
      <c r="M37" s="1025"/>
      <c r="N37" s="1025"/>
      <c r="O37" s="1025"/>
    </row>
    <row r="38" spans="1:15" ht="12.75" thickBot="1">
      <c r="B38" s="1033" t="s">
        <v>2039</v>
      </c>
      <c r="C38" s="1034">
        <v>99.857621493877033</v>
      </c>
      <c r="D38" s="1025"/>
      <c r="E38" s="1025"/>
      <c r="F38" s="1025"/>
      <c r="G38" s="1025"/>
      <c r="H38" s="1025"/>
      <c r="I38" s="1025"/>
      <c r="J38" s="1025"/>
      <c r="K38" s="1025"/>
      <c r="L38" s="1025"/>
      <c r="M38" s="1025"/>
      <c r="N38" s="1025"/>
      <c r="O38" s="1025"/>
    </row>
    <row r="39" spans="1:15" ht="12.75" thickBot="1">
      <c r="B39" s="1033" t="s">
        <v>2040</v>
      </c>
      <c r="C39" s="1034">
        <v>0.1423785061229732</v>
      </c>
      <c r="D39" s="1025"/>
      <c r="E39" s="1025"/>
      <c r="F39" s="1025"/>
      <c r="G39" s="1025"/>
      <c r="H39" s="1025"/>
      <c r="I39" s="1025"/>
      <c r="J39" s="1025"/>
      <c r="K39" s="1025"/>
      <c r="L39" s="1025"/>
      <c r="M39" s="1025"/>
      <c r="N39" s="1025"/>
      <c r="O39" s="1025"/>
    </row>
    <row r="40" spans="1:15" ht="12.75" thickBot="1">
      <c r="B40" s="1035" t="s">
        <v>2078</v>
      </c>
      <c r="C40" s="1036">
        <v>0.1423785061229732</v>
      </c>
      <c r="D40" s="1025"/>
      <c r="E40" s="1025"/>
      <c r="F40" s="1025"/>
      <c r="G40" s="1025"/>
      <c r="H40" s="1025"/>
      <c r="I40" s="1025"/>
      <c r="J40" s="1025"/>
      <c r="K40" s="1025"/>
      <c r="L40" s="1025"/>
      <c r="M40" s="1025"/>
      <c r="N40" s="1025"/>
      <c r="O40" s="1025"/>
    </row>
    <row r="41" spans="1:15" ht="12.75" hidden="1" outlineLevel="1" thickBot="1">
      <c r="A41" s="1044"/>
      <c r="B41" s="1035" t="s">
        <v>2057</v>
      </c>
      <c r="C41" s="1036">
        <v>0</v>
      </c>
      <c r="D41" s="1044"/>
      <c r="E41" s="1025"/>
      <c r="F41" s="1025"/>
      <c r="G41" s="1025"/>
      <c r="H41" s="1025"/>
      <c r="I41" s="1025"/>
      <c r="J41" s="1025"/>
      <c r="K41" s="1025"/>
      <c r="L41" s="1025"/>
      <c r="M41" s="1025"/>
      <c r="N41" s="1025"/>
      <c r="O41" s="1025"/>
    </row>
    <row r="42" spans="1:15" ht="12.75" hidden="1" outlineLevel="1" thickBot="1">
      <c r="A42" s="1044"/>
      <c r="B42" s="1035" t="s">
        <v>2043</v>
      </c>
      <c r="C42" s="1036">
        <v>0</v>
      </c>
      <c r="D42" s="1044"/>
      <c r="E42" s="1025"/>
      <c r="F42" s="1025"/>
      <c r="G42" s="1025"/>
      <c r="H42" s="1025"/>
      <c r="I42" s="1025"/>
      <c r="J42" s="1025"/>
      <c r="K42" s="1025"/>
      <c r="L42" s="1025"/>
      <c r="M42" s="1025"/>
      <c r="N42" s="1025"/>
      <c r="O42" s="1025"/>
    </row>
    <row r="43" spans="1:15" ht="12.75" hidden="1" outlineLevel="1" thickBot="1">
      <c r="B43" s="1035" t="s">
        <v>2044</v>
      </c>
      <c r="C43" s="1036">
        <v>0</v>
      </c>
      <c r="D43" s="1025"/>
      <c r="E43" s="1025"/>
      <c r="F43" s="1025"/>
      <c r="G43" s="1025"/>
      <c r="H43" s="1025"/>
      <c r="I43" s="1025"/>
      <c r="J43" s="1025"/>
      <c r="K43" s="1025"/>
      <c r="L43" s="1025"/>
      <c r="M43" s="1025"/>
      <c r="N43" s="1025"/>
      <c r="O43" s="1025"/>
    </row>
    <row r="44" spans="1:15" ht="12.75" hidden="1" outlineLevel="1" thickBot="1">
      <c r="B44" s="1035" t="s">
        <v>2045</v>
      </c>
      <c r="C44" s="1036">
        <v>0</v>
      </c>
      <c r="D44" s="1025"/>
      <c r="E44" s="1025"/>
      <c r="F44" s="1025"/>
      <c r="G44" s="1025"/>
      <c r="H44" s="1025"/>
      <c r="I44" s="1025"/>
      <c r="J44" s="1025"/>
      <c r="K44" s="1025"/>
      <c r="L44" s="1025"/>
      <c r="M44" s="1025"/>
      <c r="N44" s="1025"/>
      <c r="O44" s="1025"/>
    </row>
    <row r="45" spans="1:15" ht="12.75" hidden="1" outlineLevel="1" thickBot="1">
      <c r="B45" s="1035" t="s">
        <v>2046</v>
      </c>
      <c r="C45" s="1036">
        <v>0</v>
      </c>
      <c r="D45" s="1025"/>
      <c r="E45" s="1025"/>
      <c r="F45" s="1025"/>
      <c r="G45" s="1025"/>
      <c r="H45" s="1025"/>
      <c r="I45" s="1025"/>
      <c r="J45" s="1025"/>
      <c r="K45" s="1025"/>
      <c r="L45" s="1025"/>
      <c r="M45" s="1025"/>
      <c r="N45" s="1025"/>
      <c r="O45" s="1025"/>
    </row>
    <row r="46" spans="1:15" ht="12.75" hidden="1" outlineLevel="1" thickBot="1">
      <c r="B46" s="1035" t="s">
        <v>2047</v>
      </c>
      <c r="C46" s="1036">
        <v>0</v>
      </c>
      <c r="D46" s="1025"/>
      <c r="E46" s="1025"/>
      <c r="F46" s="1025"/>
      <c r="G46" s="1025"/>
      <c r="H46" s="1025"/>
      <c r="I46" s="1025"/>
      <c r="J46" s="1025"/>
      <c r="K46" s="1025"/>
      <c r="L46" s="1025"/>
      <c r="M46" s="1025"/>
      <c r="N46" s="1025"/>
      <c r="O46" s="1025"/>
    </row>
    <row r="47" spans="1:15" ht="12.75" hidden="1" outlineLevel="1" thickBot="1">
      <c r="B47" s="1035" t="s">
        <v>2048</v>
      </c>
      <c r="C47" s="1036">
        <v>0</v>
      </c>
      <c r="D47" s="1025"/>
      <c r="E47" s="1025"/>
      <c r="F47" s="1025"/>
      <c r="G47" s="1025"/>
      <c r="H47" s="1025"/>
      <c r="I47" s="1025"/>
      <c r="J47" s="1025"/>
      <c r="K47" s="1025"/>
      <c r="L47" s="1025"/>
      <c r="M47" s="1025"/>
      <c r="N47" s="1025"/>
      <c r="O47" s="1025"/>
    </row>
    <row r="48" spans="1:15" ht="12.75" hidden="1" outlineLevel="1" thickBot="1">
      <c r="B48" s="1035" t="s">
        <v>2049</v>
      </c>
      <c r="C48" s="1036">
        <v>0</v>
      </c>
      <c r="D48" s="1025"/>
      <c r="E48" s="1025"/>
      <c r="F48" s="1025"/>
      <c r="G48" s="1025"/>
      <c r="H48" s="1025"/>
      <c r="I48" s="1025"/>
      <c r="J48" s="1025"/>
      <c r="K48" s="1025"/>
      <c r="L48" s="1025"/>
      <c r="M48" s="1025"/>
      <c r="N48" s="1025"/>
      <c r="O48" s="1025"/>
    </row>
    <row r="49" spans="2:15" ht="12.75" hidden="1" outlineLevel="1" thickBot="1">
      <c r="B49" s="1035" t="s">
        <v>2050</v>
      </c>
      <c r="C49" s="1036">
        <v>0</v>
      </c>
      <c r="D49" s="1025"/>
      <c r="E49" s="1025"/>
      <c r="F49" s="1025"/>
      <c r="G49" s="1025"/>
      <c r="H49" s="1025"/>
      <c r="I49" s="1025"/>
      <c r="J49" s="1025"/>
      <c r="K49" s="1025"/>
      <c r="L49" s="1025"/>
      <c r="M49" s="1025"/>
      <c r="N49" s="1025"/>
      <c r="O49" s="1025"/>
    </row>
    <row r="50" spans="2:15" ht="12.75" collapsed="1" thickBot="1">
      <c r="B50" s="1033" t="s">
        <v>390</v>
      </c>
      <c r="C50" s="1034">
        <f>SUM(C38:C39)</f>
        <v>100</v>
      </c>
      <c r="D50" s="1025"/>
      <c r="E50" s="1025"/>
      <c r="F50" s="1044"/>
      <c r="G50" s="1025"/>
      <c r="H50" s="1025"/>
      <c r="I50" s="1025"/>
      <c r="J50" s="1025"/>
      <c r="K50" s="1025"/>
      <c r="L50" s="1025"/>
      <c r="M50" s="1025"/>
      <c r="N50" s="1025"/>
      <c r="O50" s="1025"/>
    </row>
    <row r="51" spans="2:15">
      <c r="B51" s="1044"/>
      <c r="C51" s="1044"/>
      <c r="D51" s="1044"/>
      <c r="E51" s="1044"/>
      <c r="F51" s="1044"/>
      <c r="G51" s="1025"/>
      <c r="H51" s="1025"/>
      <c r="I51" s="1025"/>
      <c r="J51" s="1025"/>
      <c r="K51" s="1025"/>
      <c r="L51" s="1025"/>
      <c r="M51" s="1025"/>
      <c r="N51" s="1025"/>
      <c r="O51" s="1025"/>
    </row>
    <row r="52" spans="2:15">
      <c r="B52" s="1044"/>
      <c r="C52" s="1045"/>
      <c r="D52" s="1046" t="s">
        <v>2051</v>
      </c>
      <c r="E52" s="1047"/>
      <c r="F52" s="1048"/>
      <c r="G52" s="1025"/>
      <c r="H52" s="1025"/>
      <c r="I52" s="1025"/>
      <c r="J52" s="1025"/>
      <c r="K52" s="1025"/>
      <c r="L52" s="1025"/>
      <c r="M52" s="1025"/>
      <c r="N52" s="1025"/>
      <c r="O52" s="1025"/>
    </row>
    <row r="53" spans="2:15">
      <c r="B53" s="1044"/>
      <c r="C53" s="1046"/>
      <c r="D53" s="1046"/>
      <c r="E53" s="1047"/>
      <c r="F53" s="1048"/>
      <c r="G53" s="1025"/>
      <c r="H53" s="1025"/>
      <c r="I53" s="1025"/>
      <c r="J53" s="1025"/>
      <c r="K53" s="1025"/>
      <c r="L53" s="1025"/>
      <c r="M53" s="1025"/>
      <c r="N53" s="1025"/>
      <c r="O53" s="1025"/>
    </row>
    <row r="54" spans="2:15">
      <c r="B54" s="1025" t="s">
        <v>2052</v>
      </c>
      <c r="C54" s="1025"/>
      <c r="D54" s="1025"/>
      <c r="E54" s="1025"/>
      <c r="F54" s="1025"/>
      <c r="G54" s="1025"/>
      <c r="H54" s="1025"/>
      <c r="I54" s="1025"/>
      <c r="J54" s="1025"/>
      <c r="K54" s="1025"/>
      <c r="L54" s="1025"/>
      <c r="M54" s="1025"/>
      <c r="N54" s="1025"/>
      <c r="O54" s="1025"/>
    </row>
    <row r="55" spans="2:15">
      <c r="B55" s="1025"/>
      <c r="C55" s="1025"/>
      <c r="D55" s="1025"/>
      <c r="E55" s="1025"/>
      <c r="F55" s="1025"/>
      <c r="G55" s="1025"/>
      <c r="H55" s="1025"/>
      <c r="I55" s="1025"/>
      <c r="J55" s="1025"/>
      <c r="K55" s="1025"/>
      <c r="L55" s="1025"/>
      <c r="M55" s="1025"/>
      <c r="N55" s="1025"/>
      <c r="O55" s="1025"/>
    </row>
    <row r="56" spans="2:15">
      <c r="B56" s="1025" t="s">
        <v>2053</v>
      </c>
      <c r="C56" s="1025" t="s">
        <v>2054</v>
      </c>
      <c r="D56" s="1025"/>
      <c r="E56" s="1025"/>
      <c r="F56" s="1025"/>
      <c r="G56" s="1025"/>
      <c r="H56" s="1025"/>
      <c r="I56" s="1025"/>
      <c r="J56" s="1025"/>
      <c r="K56" s="1025"/>
      <c r="L56" s="1025"/>
      <c r="M56" s="1025"/>
      <c r="N56" s="1025"/>
      <c r="O56" s="1025"/>
    </row>
    <row r="57" spans="2:15">
      <c r="B57" s="1025"/>
      <c r="C57" s="1025"/>
      <c r="D57" s="1025"/>
      <c r="E57" s="1025"/>
      <c r="F57" s="1025"/>
      <c r="G57" s="1025"/>
      <c r="H57" s="1025"/>
      <c r="I57" s="1025"/>
      <c r="J57" s="1025"/>
      <c r="K57" s="1025"/>
      <c r="L57" s="1025"/>
      <c r="M57" s="1025"/>
      <c r="N57" s="1025"/>
      <c r="O57" s="1025"/>
    </row>
    <row r="58" spans="2:15">
      <c r="B58" s="1025"/>
      <c r="C58" s="1025"/>
      <c r="D58" s="1025"/>
      <c r="E58" s="1025"/>
      <c r="F58" s="1025"/>
      <c r="G58" s="1025"/>
      <c r="H58" s="1025"/>
      <c r="I58" s="1025"/>
      <c r="J58" s="1025"/>
      <c r="K58" s="1025"/>
      <c r="L58" s="1025"/>
      <c r="M58" s="1025"/>
      <c r="N58" s="1025"/>
      <c r="O58" s="1025"/>
    </row>
    <row r="59" spans="2:15">
      <c r="B59" s="1025"/>
      <c r="C59" s="1025"/>
      <c r="D59" s="1025"/>
      <c r="E59" s="1025"/>
      <c r="F59" s="1025"/>
      <c r="G59" s="1025"/>
      <c r="H59" s="1025"/>
      <c r="I59" s="1025"/>
      <c r="J59" s="1025"/>
      <c r="K59" s="1025"/>
      <c r="L59" s="1025"/>
      <c r="M59" s="1025"/>
      <c r="N59" s="1025"/>
      <c r="O59" s="1025"/>
    </row>
  </sheetData>
  <conditionalFormatting sqref="C9:C10 C12:C14">
    <cfRule type="cellIs" dxfId="1" priority="1" operator="equal">
      <formula>0</formula>
    </cfRule>
  </conditionalFormatting>
  <pageMargins left="0.78740157499999996" right="0.78740157499999996" top="0.984251969" bottom="0.984251969" header="0.4921259845" footer="0.4921259845"/>
  <pageSetup paperSize="9" fitToHeight="0" orientation="portrait" r:id="rId1"/>
  <headerFooter alignWithMargins="0">
    <oddHeader>&amp;L&amp;A&amp;CESU-services Ltd.&amp;R&amp;D</oddHeader>
    <oddFooter>&amp;L&amp;Z&amp;F</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
  <sheetViews>
    <sheetView zoomScale="80" zoomScaleNormal="80" workbookViewId="0">
      <selection activeCell="L67" sqref="L67"/>
    </sheetView>
  </sheetViews>
  <sheetFormatPr defaultColWidth="11.42578125" defaultRowHeight="12" outlineLevelRow="1"/>
  <cols>
    <col min="1" max="1" width="2.7109375" style="1025" customWidth="1"/>
    <col min="2" max="2" width="29.140625" style="1032" customWidth="1"/>
    <col min="3" max="6" width="12.85546875" style="1032" customWidth="1"/>
    <col min="7" max="16384" width="11.42578125" style="1032"/>
  </cols>
  <sheetData>
    <row r="1" spans="1:15" s="1025" customFormat="1" ht="12.75" thickBot="1"/>
    <row r="2" spans="1:15" s="1029" customFormat="1" ht="12.75" thickBot="1">
      <c r="A2" s="1026"/>
      <c r="B2" s="1027" t="s">
        <v>2078</v>
      </c>
      <c r="C2" s="1028" t="s">
        <v>2006</v>
      </c>
      <c r="D2" s="1026"/>
      <c r="E2" s="1026"/>
      <c r="F2" s="1026"/>
      <c r="G2" s="1026"/>
      <c r="H2" s="1026"/>
      <c r="I2" s="1026"/>
      <c r="J2" s="1026"/>
      <c r="K2" s="1026"/>
      <c r="L2" s="1026"/>
      <c r="M2" s="1026"/>
      <c r="N2" s="1026"/>
      <c r="O2" s="1026"/>
    </row>
    <row r="3" spans="1:15" ht="12.75" thickBot="1">
      <c r="B3" s="1030"/>
      <c r="C3" s="1031" t="s">
        <v>403</v>
      </c>
      <c r="D3" s="1025"/>
      <c r="E3" s="1025"/>
      <c r="F3" s="1025"/>
      <c r="G3" s="1025"/>
      <c r="H3" s="1025"/>
      <c r="I3" s="1025"/>
      <c r="J3" s="1025"/>
      <c r="K3" s="1025"/>
      <c r="L3" s="1025"/>
      <c r="M3" s="1025"/>
      <c r="N3" s="1025"/>
      <c r="O3" s="1025"/>
    </row>
    <row r="4" spans="1:15" ht="12.75" thickBot="1">
      <c r="B4" s="1033" t="s">
        <v>2007</v>
      </c>
      <c r="C4" s="1034">
        <v>69.310351179985929</v>
      </c>
      <c r="D4" s="1025"/>
      <c r="E4" s="1025"/>
      <c r="F4" s="1025"/>
      <c r="G4" s="1025"/>
      <c r="H4" s="1025"/>
      <c r="I4" s="1025"/>
      <c r="J4" s="1025"/>
      <c r="K4" s="1025"/>
      <c r="L4" s="1025"/>
      <c r="M4" s="1025"/>
      <c r="N4" s="1025"/>
      <c r="O4" s="1025"/>
    </row>
    <row r="5" spans="1:15">
      <c r="B5" s="1035" t="s">
        <v>1718</v>
      </c>
      <c r="C5" s="1036">
        <v>45.624017467092131</v>
      </c>
      <c r="D5" s="1025"/>
      <c r="E5" s="1025"/>
      <c r="F5" s="1025"/>
      <c r="G5" s="1025"/>
      <c r="H5" s="1025"/>
      <c r="I5" s="1025"/>
      <c r="J5" s="1025"/>
      <c r="K5" s="1025"/>
      <c r="L5" s="1025"/>
      <c r="M5" s="1025"/>
      <c r="N5" s="1025"/>
      <c r="O5" s="1025"/>
    </row>
    <row r="6" spans="1:15">
      <c r="B6" s="1037" t="s">
        <v>2008</v>
      </c>
      <c r="C6" s="1038">
        <v>1.9469278878011864</v>
      </c>
      <c r="D6" s="1025"/>
      <c r="E6" s="1025"/>
      <c r="F6" s="1025"/>
      <c r="G6" s="1025"/>
      <c r="H6" s="1025"/>
      <c r="I6" s="1025"/>
      <c r="J6" s="1025"/>
      <c r="K6" s="1025"/>
      <c r="L6" s="1025"/>
      <c r="M6" s="1025"/>
      <c r="N6" s="1025"/>
      <c r="O6" s="1025"/>
    </row>
    <row r="7" spans="1:15">
      <c r="B7" s="1037" t="s">
        <v>2009</v>
      </c>
      <c r="C7" s="1038">
        <v>0</v>
      </c>
      <c r="D7" s="1025"/>
      <c r="E7" s="1025"/>
      <c r="F7" s="1025"/>
      <c r="G7" s="1025"/>
      <c r="H7" s="1025"/>
      <c r="I7" s="1025"/>
      <c r="J7" s="1025"/>
      <c r="K7" s="1025"/>
      <c r="L7" s="1025"/>
      <c r="M7" s="1025"/>
      <c r="N7" s="1025"/>
      <c r="O7" s="1025"/>
    </row>
    <row r="8" spans="1:15">
      <c r="B8" s="1037" t="s">
        <v>2010</v>
      </c>
      <c r="C8" s="1043">
        <f>SUM(C9:C10)</f>
        <v>8.620876705679488E-2</v>
      </c>
      <c r="D8" s="1025"/>
      <c r="E8" s="1025"/>
      <c r="F8" s="1025"/>
      <c r="G8" s="1025"/>
      <c r="H8" s="1025"/>
      <c r="I8" s="1025"/>
      <c r="J8" s="1025"/>
      <c r="K8" s="1025"/>
      <c r="L8" s="1025"/>
      <c r="M8" s="1025"/>
      <c r="N8" s="1025"/>
      <c r="O8" s="1025"/>
    </row>
    <row r="9" spans="1:15">
      <c r="B9" s="1039" t="s">
        <v>2011</v>
      </c>
      <c r="C9" s="1040">
        <v>1.3298993103135327E-2</v>
      </c>
      <c r="D9" s="1025"/>
      <c r="E9" s="1025"/>
      <c r="F9" s="1025"/>
      <c r="G9" s="1025"/>
      <c r="H9" s="1025"/>
      <c r="I9" s="1025"/>
      <c r="J9" s="1025"/>
      <c r="K9" s="1025"/>
      <c r="L9" s="1025"/>
      <c r="M9" s="1025"/>
      <c r="N9" s="1025"/>
      <c r="O9" s="1025"/>
    </row>
    <row r="10" spans="1:15">
      <c r="B10" s="1039" t="s">
        <v>2012</v>
      </c>
      <c r="C10" s="1040">
        <v>7.2909773953659551E-2</v>
      </c>
      <c r="D10" s="1025"/>
      <c r="E10" s="1025"/>
      <c r="F10" s="1025"/>
      <c r="G10" s="1025"/>
      <c r="H10" s="1025"/>
      <c r="I10" s="1025"/>
      <c r="J10" s="1025"/>
      <c r="K10" s="1025"/>
      <c r="L10" s="1025"/>
      <c r="M10" s="1025"/>
      <c r="N10" s="1025"/>
      <c r="O10" s="1025"/>
    </row>
    <row r="11" spans="1:15">
      <c r="B11" s="1037" t="s">
        <v>2013</v>
      </c>
      <c r="C11" s="1043">
        <f>SUM(C12:C14)</f>
        <v>1.3003956617485937</v>
      </c>
      <c r="D11" s="1025"/>
      <c r="E11" s="1025"/>
      <c r="F11" s="1025"/>
      <c r="G11" s="1025"/>
      <c r="H11" s="1025"/>
      <c r="I11" s="1025"/>
      <c r="J11" s="1025"/>
      <c r="K11" s="1025"/>
      <c r="L11" s="1025"/>
      <c r="M11" s="1025"/>
      <c r="N11" s="1025"/>
      <c r="O11" s="1025"/>
    </row>
    <row r="12" spans="1:15">
      <c r="B12" s="1039" t="s">
        <v>2014</v>
      </c>
      <c r="C12" s="1040">
        <v>0.55538383298606142</v>
      </c>
      <c r="D12" s="1025"/>
      <c r="E12" s="1025"/>
      <c r="F12" s="1025"/>
      <c r="G12" s="1025"/>
      <c r="H12" s="1025"/>
      <c r="I12" s="1025"/>
      <c r="J12" s="1025"/>
      <c r="K12" s="1025"/>
      <c r="L12" s="1025"/>
      <c r="M12" s="1025"/>
      <c r="N12" s="1025"/>
      <c r="O12" s="1025"/>
    </row>
    <row r="13" spans="1:15">
      <c r="B13" s="1039" t="s">
        <v>2015</v>
      </c>
      <c r="C13" s="1040">
        <v>0.19226544314818503</v>
      </c>
      <c r="D13" s="1025"/>
      <c r="E13" s="1025"/>
      <c r="F13" s="1025"/>
      <c r="G13" s="1025"/>
      <c r="H13" s="1025"/>
      <c r="I13" s="1025"/>
      <c r="J13" s="1025"/>
      <c r="K13" s="1025"/>
      <c r="L13" s="1025"/>
      <c r="M13" s="1025"/>
      <c r="N13" s="1025"/>
      <c r="O13" s="1025"/>
    </row>
    <row r="14" spans="1:15">
      <c r="B14" s="1039" t="s">
        <v>2016</v>
      </c>
      <c r="C14" s="1040">
        <v>0.5527463856143473</v>
      </c>
      <c r="D14" s="1025"/>
      <c r="E14" s="1025"/>
      <c r="F14" s="1025"/>
      <c r="G14" s="1025"/>
      <c r="H14" s="1025"/>
      <c r="I14" s="1025"/>
      <c r="J14" s="1025"/>
      <c r="K14" s="1025"/>
      <c r="L14" s="1025"/>
      <c r="M14" s="1025"/>
      <c r="N14" s="1025"/>
      <c r="O14" s="1025"/>
    </row>
    <row r="15" spans="1:15">
      <c r="B15" s="1037" t="s">
        <v>2017</v>
      </c>
      <c r="C15" s="1038">
        <v>20.352801396287219</v>
      </c>
      <c r="D15" s="1025"/>
      <c r="E15" s="1025"/>
      <c r="F15" s="1025"/>
      <c r="G15" s="1025"/>
      <c r="H15" s="1025"/>
      <c r="I15" s="1025"/>
      <c r="J15" s="1025"/>
      <c r="K15" s="1025"/>
      <c r="L15" s="1025"/>
      <c r="M15" s="1025"/>
      <c r="N15" s="1025"/>
      <c r="O15" s="1025"/>
    </row>
    <row r="16" spans="1:15" ht="12.75" thickBot="1">
      <c r="B16" s="1041" t="s">
        <v>2018</v>
      </c>
      <c r="C16" s="1042">
        <v>0</v>
      </c>
      <c r="D16" s="1025"/>
      <c r="E16" s="1025"/>
      <c r="F16" s="1025"/>
      <c r="G16" s="1025"/>
      <c r="H16" s="1025"/>
      <c r="I16" s="1025"/>
      <c r="J16" s="1025"/>
      <c r="K16" s="1025"/>
      <c r="L16" s="1025"/>
      <c r="M16" s="1025"/>
      <c r="N16" s="1025"/>
      <c r="O16" s="1025"/>
    </row>
    <row r="17" spans="2:15" ht="12.75" thickBot="1">
      <c r="B17" s="1033" t="s">
        <v>2019</v>
      </c>
      <c r="C17" s="1034">
        <v>6.7702216843229452</v>
      </c>
      <c r="D17" s="1025"/>
      <c r="E17" s="1025"/>
      <c r="F17" s="1025"/>
      <c r="G17" s="1025"/>
      <c r="H17" s="1025"/>
      <c r="I17" s="1025"/>
      <c r="J17" s="1025"/>
      <c r="K17" s="1025"/>
      <c r="L17" s="1025"/>
      <c r="M17" s="1025"/>
      <c r="N17" s="1025"/>
      <c r="O17" s="1025"/>
    </row>
    <row r="18" spans="2:15">
      <c r="B18" s="1035" t="s">
        <v>2020</v>
      </c>
      <c r="C18" s="1036">
        <v>1.2326535502184652</v>
      </c>
      <c r="D18" s="1025"/>
      <c r="E18" s="1025"/>
      <c r="F18" s="1025"/>
      <c r="G18" s="1025"/>
      <c r="H18" s="1025"/>
      <c r="I18" s="1025"/>
      <c r="J18" s="1025"/>
      <c r="K18" s="1025"/>
      <c r="L18" s="1025"/>
      <c r="M18" s="1025"/>
      <c r="N18" s="1025"/>
      <c r="O18" s="1025"/>
    </row>
    <row r="19" spans="2:15">
      <c r="B19" s="1037" t="s">
        <v>2021</v>
      </c>
      <c r="C19" s="1038">
        <v>4.9306142008738609</v>
      </c>
      <c r="D19" s="1025"/>
      <c r="E19" s="1025"/>
      <c r="F19" s="1025"/>
      <c r="G19" s="1025"/>
      <c r="H19" s="1025"/>
      <c r="I19" s="1025"/>
      <c r="J19" s="1025"/>
      <c r="K19" s="1025"/>
      <c r="L19" s="1025"/>
      <c r="M19" s="1025"/>
      <c r="N19" s="1025"/>
      <c r="O19" s="1025"/>
    </row>
    <row r="20" spans="2:15" ht="12.75" thickBot="1">
      <c r="B20" s="1041" t="s">
        <v>2022</v>
      </c>
      <c r="C20" s="1042">
        <v>0.60695393323061886</v>
      </c>
      <c r="D20" s="1025"/>
      <c r="E20" s="1025"/>
      <c r="F20" s="1025"/>
      <c r="G20" s="1025"/>
      <c r="H20" s="1025"/>
      <c r="I20" s="1025"/>
      <c r="J20" s="1025"/>
      <c r="K20" s="1025"/>
      <c r="L20" s="1025"/>
      <c r="M20" s="1025"/>
      <c r="N20" s="1025"/>
      <c r="O20" s="1025"/>
    </row>
    <row r="21" spans="2:15" ht="12.75" thickBot="1">
      <c r="B21" s="1033" t="s">
        <v>2023</v>
      </c>
      <c r="C21" s="1034">
        <v>19.098381748411079</v>
      </c>
      <c r="D21" s="1025"/>
      <c r="E21" s="1025"/>
      <c r="F21" s="1025"/>
      <c r="G21" s="1025"/>
      <c r="H21" s="1025"/>
      <c r="I21" s="1025"/>
      <c r="J21" s="1025"/>
      <c r="K21" s="1025"/>
      <c r="L21" s="1025"/>
      <c r="M21" s="1025"/>
      <c r="N21" s="1025"/>
      <c r="O21" s="1025"/>
    </row>
    <row r="22" spans="2:15">
      <c r="B22" s="1035" t="s">
        <v>2024</v>
      </c>
      <c r="C22" s="1036">
        <v>12.677861965645659</v>
      </c>
      <c r="D22" s="1025"/>
      <c r="E22" s="1025"/>
      <c r="F22" s="1025"/>
      <c r="G22" s="1025"/>
      <c r="H22" s="1025"/>
      <c r="I22" s="1025"/>
      <c r="J22" s="1025"/>
      <c r="K22" s="1025"/>
      <c r="L22" s="1025"/>
      <c r="M22" s="1025"/>
      <c r="N22" s="1025"/>
      <c r="O22" s="1025"/>
    </row>
    <row r="23" spans="2:15" ht="12.75" thickBot="1">
      <c r="B23" s="1041" t="s">
        <v>2025</v>
      </c>
      <c r="C23" s="1042">
        <v>6.4205197827654201</v>
      </c>
      <c r="D23" s="1025"/>
      <c r="E23" s="1025"/>
      <c r="F23" s="1025"/>
      <c r="G23" s="1025"/>
      <c r="H23" s="1025"/>
      <c r="I23" s="1025"/>
      <c r="J23" s="1025"/>
      <c r="K23" s="1025"/>
      <c r="L23" s="1025"/>
      <c r="M23" s="1025"/>
      <c r="N23" s="1025"/>
      <c r="O23" s="1025"/>
    </row>
    <row r="24" spans="2:15" ht="12.75" thickBot="1">
      <c r="B24" s="1033" t="s">
        <v>2026</v>
      </c>
      <c r="C24" s="1034">
        <v>2.7498232628049557</v>
      </c>
      <c r="D24" s="1025"/>
      <c r="E24" s="1025"/>
      <c r="F24" s="1025"/>
      <c r="G24" s="1025"/>
      <c r="H24" s="1025"/>
      <c r="I24" s="1025"/>
      <c r="J24" s="1025"/>
      <c r="K24" s="1025"/>
      <c r="L24" s="1025"/>
      <c r="M24" s="1025"/>
      <c r="N24" s="1025"/>
      <c r="O24" s="1025"/>
    </row>
    <row r="25" spans="2:15">
      <c r="B25" s="1035" t="s">
        <v>2027</v>
      </c>
      <c r="C25" s="1036">
        <v>0.39609918460689003</v>
      </c>
      <c r="D25" s="1025"/>
      <c r="E25" s="1025"/>
      <c r="F25" s="1025"/>
      <c r="G25" s="1025"/>
      <c r="H25" s="1025"/>
      <c r="I25" s="1025"/>
      <c r="J25" s="1025"/>
      <c r="K25" s="1025"/>
      <c r="L25" s="1025"/>
      <c r="M25" s="1025"/>
      <c r="N25" s="1025"/>
      <c r="O25" s="1025"/>
    </row>
    <row r="26" spans="2:15">
      <c r="B26" s="1037" t="s">
        <v>2028</v>
      </c>
      <c r="C26" s="1043">
        <f>SUM(C27:C28)</f>
        <v>5.5849620297357308E-2</v>
      </c>
      <c r="D26" s="1025"/>
      <c r="E26" s="1025"/>
      <c r="F26" s="1025"/>
      <c r="G26" s="1025"/>
      <c r="H26" s="1025"/>
      <c r="I26" s="1025"/>
      <c r="J26" s="1025"/>
      <c r="K26" s="1025"/>
      <c r="L26" s="1025"/>
      <c r="M26" s="1025"/>
      <c r="N26" s="1025"/>
      <c r="O26" s="1025"/>
    </row>
    <row r="27" spans="2:15">
      <c r="B27" s="1039" t="s">
        <v>2029</v>
      </c>
      <c r="C27" s="1040">
        <v>3.583494004385538E-2</v>
      </c>
      <c r="D27" s="1025"/>
      <c r="E27" s="1025"/>
      <c r="F27" s="1025"/>
      <c r="G27" s="1025"/>
      <c r="H27" s="1025"/>
      <c r="I27" s="1025"/>
      <c r="J27" s="1025"/>
      <c r="K27" s="1025"/>
      <c r="L27" s="1025"/>
      <c r="M27" s="1025"/>
      <c r="N27" s="1025"/>
      <c r="O27" s="1025"/>
    </row>
    <row r="28" spans="2:15">
      <c r="B28" s="1039" t="s">
        <v>2030</v>
      </c>
      <c r="C28" s="1040">
        <v>2.0014680253501924E-2</v>
      </c>
      <c r="D28" s="1025"/>
      <c r="E28" s="1025"/>
      <c r="F28" s="1025"/>
      <c r="G28" s="1025"/>
      <c r="H28" s="1025"/>
      <c r="I28" s="1025"/>
      <c r="J28" s="1025"/>
      <c r="K28" s="1025"/>
      <c r="L28" s="1025"/>
      <c r="M28" s="1025"/>
      <c r="N28" s="1025"/>
      <c r="O28" s="1025"/>
    </row>
    <row r="29" spans="2:15">
      <c r="B29" s="1037" t="s">
        <v>2031</v>
      </c>
      <c r="C29" s="1038">
        <v>0</v>
      </c>
      <c r="D29" s="1025"/>
      <c r="E29" s="1025"/>
      <c r="F29" s="1025"/>
      <c r="G29" s="1025"/>
      <c r="H29" s="1025"/>
      <c r="I29" s="1025"/>
      <c r="J29" s="1025"/>
      <c r="K29" s="1025"/>
      <c r="L29" s="1025"/>
      <c r="M29" s="1025"/>
      <c r="N29" s="1025"/>
      <c r="O29" s="1025"/>
    </row>
    <row r="30" spans="2:15">
      <c r="B30" s="1037" t="s">
        <v>2032</v>
      </c>
      <c r="C30" s="1038">
        <v>1.3506732314726932</v>
      </c>
      <c r="D30" s="1025"/>
      <c r="E30" s="1025"/>
      <c r="F30" s="1025"/>
      <c r="G30" s="1025"/>
      <c r="H30" s="1025"/>
      <c r="I30" s="1025"/>
      <c r="J30" s="1025"/>
      <c r="K30" s="1025"/>
      <c r="L30" s="1025"/>
      <c r="M30" s="1025"/>
      <c r="N30" s="1025"/>
      <c r="O30" s="1025"/>
    </row>
    <row r="31" spans="2:15">
      <c r="B31" s="1037" t="s">
        <v>2033</v>
      </c>
      <c r="C31" s="1038">
        <v>0.9302366285031749</v>
      </c>
      <c r="D31" s="1025"/>
      <c r="E31" s="1025"/>
      <c r="F31" s="1025"/>
      <c r="G31" s="1025"/>
      <c r="H31" s="1025"/>
      <c r="I31" s="1025"/>
      <c r="J31" s="1025"/>
      <c r="K31" s="1025"/>
      <c r="L31" s="1025"/>
      <c r="M31" s="1025"/>
      <c r="N31" s="1025"/>
      <c r="O31" s="1025"/>
    </row>
    <row r="32" spans="2:15" ht="12.75" thickBot="1">
      <c r="B32" s="1041" t="s">
        <v>2034</v>
      </c>
      <c r="C32" s="1042">
        <v>1.6964597924839852E-2</v>
      </c>
      <c r="D32" s="1025"/>
      <c r="E32" s="1025"/>
      <c r="F32" s="1025"/>
      <c r="G32" s="1025"/>
      <c r="H32" s="1025"/>
      <c r="I32" s="1025"/>
      <c r="J32" s="1025"/>
      <c r="K32" s="1025"/>
      <c r="L32" s="1025"/>
      <c r="M32" s="1025"/>
      <c r="N32" s="1025"/>
      <c r="O32" s="1025"/>
    </row>
    <row r="33" spans="1:15" ht="12.75" thickBot="1">
      <c r="B33" s="1033" t="s">
        <v>794</v>
      </c>
      <c r="C33" s="1034">
        <v>0.6708280336208412</v>
      </c>
      <c r="D33" s="1025"/>
      <c r="E33" s="1025"/>
      <c r="F33" s="1025"/>
      <c r="G33" s="1025"/>
      <c r="H33" s="1025"/>
      <c r="I33" s="1025"/>
      <c r="J33" s="1025"/>
      <c r="K33" s="1025"/>
      <c r="L33" s="1025"/>
      <c r="M33" s="1025"/>
      <c r="N33" s="1025"/>
      <c r="O33" s="1025"/>
    </row>
    <row r="34" spans="1:15">
      <c r="B34" s="1035" t="s">
        <v>2035</v>
      </c>
      <c r="C34" s="1036">
        <v>0.37968066528228539</v>
      </c>
      <c r="D34" s="1025"/>
      <c r="E34" s="1025"/>
      <c r="F34" s="1025"/>
      <c r="G34" s="1025"/>
      <c r="H34" s="1025"/>
      <c r="I34" s="1025"/>
      <c r="J34" s="1025"/>
      <c r="K34" s="1025"/>
      <c r="L34" s="1025"/>
      <c r="M34" s="1025"/>
      <c r="N34" s="1025"/>
      <c r="O34" s="1025"/>
    </row>
    <row r="35" spans="1:15">
      <c r="B35" s="1037" t="s">
        <v>2036</v>
      </c>
      <c r="C35" s="1038">
        <v>0.1162935480934674</v>
      </c>
      <c r="D35" s="1025"/>
      <c r="E35" s="1025"/>
      <c r="F35" s="1025"/>
      <c r="G35" s="1025"/>
      <c r="H35" s="1025"/>
      <c r="I35" s="1025"/>
      <c r="J35" s="1025"/>
      <c r="K35" s="1025"/>
      <c r="L35" s="1025"/>
      <c r="M35" s="1025"/>
      <c r="N35" s="1025"/>
      <c r="O35" s="1025"/>
    </row>
    <row r="36" spans="1:15" ht="12.75" thickBot="1">
      <c r="B36" s="1041" t="s">
        <v>2037</v>
      </c>
      <c r="C36" s="1042">
        <v>0.1748538202450885</v>
      </c>
      <c r="D36" s="1025"/>
      <c r="E36" s="1025"/>
      <c r="F36" s="1025"/>
      <c r="G36" s="1025"/>
      <c r="H36" s="1025"/>
      <c r="I36" s="1025"/>
      <c r="J36" s="1025"/>
      <c r="K36" s="1025"/>
      <c r="L36" s="1025"/>
      <c r="M36" s="1025"/>
      <c r="N36" s="1025"/>
      <c r="O36" s="1025"/>
    </row>
    <row r="37" spans="1:15" ht="12.75" thickBot="1">
      <c r="B37" s="1033" t="s">
        <v>2038</v>
      </c>
      <c r="C37" s="1034">
        <v>1.7612784143311994E-2</v>
      </c>
      <c r="D37" s="1025"/>
      <c r="E37" s="1025"/>
      <c r="F37" s="1025"/>
      <c r="G37" s="1025"/>
      <c r="H37" s="1025"/>
      <c r="I37" s="1025"/>
      <c r="J37" s="1025"/>
      <c r="K37" s="1025"/>
      <c r="L37" s="1025"/>
      <c r="M37" s="1025"/>
      <c r="N37" s="1025"/>
      <c r="O37" s="1025"/>
    </row>
    <row r="38" spans="1:15" ht="12.75" thickBot="1">
      <c r="B38" s="1033" t="s">
        <v>2039</v>
      </c>
      <c r="C38" s="1034">
        <v>98.617218693289061</v>
      </c>
      <c r="D38" s="1025"/>
      <c r="E38" s="1025"/>
      <c r="F38" s="1025"/>
      <c r="G38" s="1025"/>
      <c r="H38" s="1025"/>
      <c r="I38" s="1025"/>
      <c r="J38" s="1025"/>
      <c r="K38" s="1025"/>
      <c r="L38" s="1025"/>
      <c r="M38" s="1025"/>
      <c r="N38" s="1025"/>
      <c r="O38" s="1025"/>
    </row>
    <row r="39" spans="1:15" ht="12.75" thickBot="1">
      <c r="B39" s="1033" t="s">
        <v>2040</v>
      </c>
      <c r="C39" s="1034">
        <v>1.3827813067109482</v>
      </c>
      <c r="D39" s="1025"/>
      <c r="E39" s="1025"/>
      <c r="F39" s="1025"/>
      <c r="G39" s="1025"/>
      <c r="H39" s="1025"/>
      <c r="I39" s="1025"/>
      <c r="J39" s="1025"/>
      <c r="K39" s="1025"/>
      <c r="L39" s="1025"/>
      <c r="M39" s="1025"/>
      <c r="N39" s="1025"/>
      <c r="O39" s="1025"/>
    </row>
    <row r="40" spans="1:15">
      <c r="B40" s="1035" t="s">
        <v>2041</v>
      </c>
      <c r="C40" s="1036">
        <v>1.3515462607087789</v>
      </c>
      <c r="D40" s="1025"/>
      <c r="E40" s="1025"/>
      <c r="F40" s="1025"/>
      <c r="G40" s="1025"/>
      <c r="H40" s="1025"/>
      <c r="I40" s="1025"/>
      <c r="J40" s="1025"/>
      <c r="K40" s="1025"/>
      <c r="L40" s="1025"/>
      <c r="M40" s="1025"/>
      <c r="N40" s="1025"/>
      <c r="O40" s="1025"/>
    </row>
    <row r="41" spans="1:15" ht="12.75" thickBot="1">
      <c r="A41" s="1044"/>
      <c r="B41" s="1035" t="s">
        <v>2042</v>
      </c>
      <c r="C41" s="1036">
        <v>3.1235046002169437E-2</v>
      </c>
      <c r="D41" s="1044"/>
      <c r="E41" s="1025"/>
      <c r="F41" s="1025"/>
      <c r="G41" s="1025"/>
      <c r="H41" s="1025"/>
      <c r="I41" s="1025"/>
      <c r="J41" s="1025"/>
      <c r="K41" s="1025"/>
      <c r="L41" s="1025"/>
      <c r="M41" s="1025"/>
      <c r="N41" s="1025"/>
      <c r="O41" s="1025"/>
    </row>
    <row r="42" spans="1:15" ht="12.75" hidden="1" outlineLevel="1" thickBot="1">
      <c r="A42" s="1044"/>
      <c r="B42" s="1035" t="s">
        <v>2043</v>
      </c>
      <c r="C42" s="1036">
        <v>0</v>
      </c>
      <c r="D42" s="1044"/>
      <c r="E42" s="1025"/>
      <c r="F42" s="1025"/>
      <c r="G42" s="1025"/>
      <c r="H42" s="1025"/>
      <c r="I42" s="1025"/>
      <c r="J42" s="1025"/>
      <c r="K42" s="1025"/>
      <c r="L42" s="1025"/>
      <c r="M42" s="1025"/>
      <c r="N42" s="1025"/>
      <c r="O42" s="1025"/>
    </row>
    <row r="43" spans="1:15" ht="12.75" hidden="1" outlineLevel="1" thickBot="1">
      <c r="B43" s="1035" t="s">
        <v>2044</v>
      </c>
      <c r="C43" s="1036">
        <v>0</v>
      </c>
      <c r="D43" s="1025"/>
      <c r="E43" s="1025"/>
      <c r="F43" s="1025"/>
      <c r="G43" s="1025"/>
      <c r="H43" s="1025"/>
      <c r="I43" s="1025"/>
      <c r="J43" s="1025"/>
      <c r="K43" s="1025"/>
      <c r="L43" s="1025"/>
      <c r="M43" s="1025"/>
      <c r="N43" s="1025"/>
      <c r="O43" s="1025"/>
    </row>
    <row r="44" spans="1:15" ht="12.75" hidden="1" outlineLevel="1" thickBot="1">
      <c r="B44" s="1035" t="s">
        <v>2045</v>
      </c>
      <c r="C44" s="1036">
        <v>0</v>
      </c>
      <c r="E44" s="1025"/>
      <c r="F44" s="1025"/>
      <c r="G44" s="1025"/>
      <c r="H44" s="1025"/>
      <c r="I44" s="1025"/>
      <c r="J44" s="1025"/>
      <c r="K44" s="1025"/>
      <c r="L44" s="1025"/>
      <c r="M44" s="1025"/>
      <c r="N44" s="1025"/>
      <c r="O44" s="1025"/>
    </row>
    <row r="45" spans="1:15" ht="12.75" hidden="1" outlineLevel="1" thickBot="1">
      <c r="B45" s="1035" t="s">
        <v>2046</v>
      </c>
      <c r="C45" s="1036">
        <v>0</v>
      </c>
      <c r="E45" s="1025"/>
      <c r="F45" s="1025"/>
      <c r="G45" s="1025"/>
      <c r="H45" s="1025"/>
      <c r="I45" s="1025"/>
      <c r="J45" s="1025"/>
      <c r="K45" s="1025"/>
      <c r="L45" s="1025"/>
      <c r="M45" s="1025"/>
      <c r="N45" s="1025"/>
      <c r="O45" s="1025"/>
    </row>
    <row r="46" spans="1:15" ht="12.75" hidden="1" outlineLevel="1" thickBot="1">
      <c r="B46" s="1035" t="s">
        <v>2047</v>
      </c>
      <c r="C46" s="1036">
        <v>0</v>
      </c>
      <c r="E46" s="1025"/>
      <c r="F46" s="1025"/>
      <c r="G46" s="1025"/>
      <c r="H46" s="1025"/>
      <c r="I46" s="1025"/>
      <c r="J46" s="1025"/>
      <c r="K46" s="1025"/>
      <c r="L46" s="1025"/>
      <c r="M46" s="1025"/>
      <c r="N46" s="1025"/>
      <c r="O46" s="1025"/>
    </row>
    <row r="47" spans="1:15" ht="12.75" hidden="1" outlineLevel="1" thickBot="1">
      <c r="B47" s="1035" t="s">
        <v>2048</v>
      </c>
      <c r="C47" s="1036">
        <v>0</v>
      </c>
      <c r="E47" s="1025"/>
      <c r="F47" s="1025"/>
      <c r="G47" s="1025"/>
      <c r="H47" s="1025"/>
      <c r="I47" s="1025"/>
      <c r="J47" s="1025"/>
      <c r="K47" s="1025"/>
      <c r="L47" s="1025"/>
      <c r="M47" s="1025"/>
      <c r="N47" s="1025"/>
      <c r="O47" s="1025"/>
    </row>
    <row r="48" spans="1:15" ht="12.75" hidden="1" outlineLevel="1" thickBot="1">
      <c r="B48" s="1035" t="s">
        <v>2049</v>
      </c>
      <c r="C48" s="1036">
        <v>0</v>
      </c>
      <c r="E48" s="1025"/>
      <c r="F48" s="1025"/>
      <c r="G48" s="1025"/>
      <c r="H48" s="1025"/>
      <c r="I48" s="1025"/>
      <c r="J48" s="1025"/>
      <c r="K48" s="1025"/>
      <c r="L48" s="1025"/>
      <c r="M48" s="1025"/>
      <c r="N48" s="1025"/>
      <c r="O48" s="1025"/>
    </row>
    <row r="49" spans="2:15" ht="12.75" hidden="1" outlineLevel="1" thickBot="1">
      <c r="B49" s="1035" t="s">
        <v>2050</v>
      </c>
      <c r="C49" s="1036">
        <v>0</v>
      </c>
      <c r="E49" s="1025"/>
      <c r="F49" s="1025"/>
      <c r="G49" s="1025"/>
      <c r="H49" s="1025"/>
      <c r="I49" s="1025"/>
      <c r="J49" s="1025"/>
      <c r="K49" s="1025"/>
      <c r="L49" s="1025"/>
      <c r="M49" s="1025"/>
      <c r="N49" s="1025"/>
      <c r="O49" s="1025"/>
    </row>
    <row r="50" spans="2:15" ht="12.75" collapsed="1" thickBot="1">
      <c r="B50" s="1033" t="s">
        <v>390</v>
      </c>
      <c r="C50" s="1034">
        <f>SUM(C38:C39)</f>
        <v>100.00000000000001</v>
      </c>
      <c r="E50" s="1025"/>
      <c r="F50" s="1044"/>
      <c r="G50" s="1025"/>
      <c r="H50" s="1025"/>
      <c r="I50" s="1025"/>
      <c r="J50" s="1025"/>
      <c r="K50" s="1025"/>
      <c r="L50" s="1025"/>
      <c r="M50" s="1025"/>
      <c r="N50" s="1025"/>
      <c r="O50" s="1025"/>
    </row>
    <row r="51" spans="2:15">
      <c r="B51" s="1044"/>
      <c r="C51" s="1044"/>
      <c r="D51" s="1044"/>
      <c r="E51" s="1044"/>
      <c r="F51" s="1044"/>
      <c r="G51" s="1025"/>
      <c r="H51" s="1025"/>
      <c r="I51" s="1025"/>
      <c r="J51" s="1025"/>
      <c r="K51" s="1025"/>
      <c r="L51" s="1025"/>
      <c r="M51" s="1025"/>
      <c r="N51" s="1025"/>
      <c r="O51" s="1025"/>
    </row>
    <row r="52" spans="2:15">
      <c r="B52" s="1044"/>
      <c r="C52" s="1045"/>
      <c r="D52" s="1046" t="s">
        <v>2051</v>
      </c>
      <c r="E52" s="1047"/>
      <c r="F52" s="1048"/>
      <c r="G52" s="1025"/>
      <c r="H52" s="1025"/>
      <c r="I52" s="1025"/>
      <c r="J52" s="1025"/>
      <c r="K52" s="1025"/>
      <c r="L52" s="1025"/>
      <c r="M52" s="1025"/>
      <c r="N52" s="1025"/>
      <c r="O52" s="1025"/>
    </row>
    <row r="53" spans="2:15">
      <c r="C53" s="1025"/>
      <c r="D53" s="1025"/>
      <c r="E53" s="1025"/>
      <c r="F53" s="1025"/>
      <c r="G53" s="1025"/>
      <c r="H53" s="1025"/>
      <c r="I53" s="1025"/>
      <c r="J53" s="1025"/>
      <c r="K53" s="1025"/>
      <c r="L53" s="1025"/>
      <c r="M53" s="1025"/>
      <c r="N53" s="1025"/>
      <c r="O53" s="1025"/>
    </row>
    <row r="54" spans="2:15">
      <c r="B54" s="1025" t="s">
        <v>2052</v>
      </c>
      <c r="C54" s="1025"/>
      <c r="D54" s="1025"/>
      <c r="E54" s="1025"/>
      <c r="F54" s="1025"/>
      <c r="G54" s="1025"/>
      <c r="H54" s="1025"/>
      <c r="I54" s="1025"/>
      <c r="J54" s="1025"/>
      <c r="K54" s="1025"/>
      <c r="L54" s="1025"/>
      <c r="M54" s="1025"/>
      <c r="N54" s="1025"/>
      <c r="O54" s="1025"/>
    </row>
    <row r="55" spans="2:15">
      <c r="B55" s="1025"/>
      <c r="C55" s="1025"/>
      <c r="D55" s="1025"/>
      <c r="E55" s="1025"/>
      <c r="F55" s="1025"/>
      <c r="G55" s="1025"/>
      <c r="H55" s="1025"/>
      <c r="I55" s="1025"/>
      <c r="J55" s="1025"/>
      <c r="K55" s="1025"/>
      <c r="L55" s="1025"/>
      <c r="M55" s="1025"/>
      <c r="N55" s="1025"/>
      <c r="O55" s="1025"/>
    </row>
    <row r="56" spans="2:15">
      <c r="B56" s="1025" t="s">
        <v>2053</v>
      </c>
      <c r="C56" s="1025" t="s">
        <v>2054</v>
      </c>
      <c r="D56" s="1025"/>
      <c r="E56" s="1025"/>
      <c r="F56" s="1025"/>
      <c r="G56" s="1025"/>
      <c r="H56" s="1025"/>
      <c r="I56" s="1025"/>
      <c r="J56" s="1025"/>
      <c r="K56" s="1025"/>
      <c r="L56" s="1025"/>
      <c r="M56" s="1025"/>
      <c r="N56" s="1025"/>
      <c r="O56" s="1025"/>
    </row>
    <row r="57" spans="2:15">
      <c r="B57" s="1025"/>
      <c r="C57" s="1025"/>
      <c r="D57" s="1025"/>
      <c r="E57" s="1025"/>
      <c r="F57" s="1025"/>
      <c r="G57" s="1025"/>
      <c r="H57" s="1025"/>
      <c r="I57" s="1025"/>
      <c r="J57" s="1025"/>
      <c r="K57" s="1025"/>
      <c r="L57" s="1025"/>
      <c r="M57" s="1025"/>
      <c r="N57" s="1025"/>
      <c r="O57" s="1025"/>
    </row>
    <row r="58" spans="2:15">
      <c r="B58" s="1025"/>
      <c r="C58" s="1025"/>
      <c r="D58" s="1025"/>
      <c r="E58" s="1025"/>
      <c r="F58" s="1025"/>
      <c r="G58" s="1025"/>
      <c r="H58" s="1025"/>
      <c r="I58" s="1025"/>
      <c r="J58" s="1025"/>
      <c r="K58" s="1025"/>
      <c r="L58" s="1025"/>
      <c r="M58" s="1025"/>
      <c r="N58" s="1025"/>
      <c r="O58" s="1025"/>
    </row>
    <row r="59" spans="2:15">
      <c r="B59" s="1025"/>
      <c r="C59" s="1025"/>
      <c r="D59" s="1025"/>
      <c r="E59" s="1025"/>
      <c r="F59" s="1025"/>
      <c r="G59" s="1025"/>
      <c r="H59" s="1025"/>
      <c r="I59" s="1025"/>
      <c r="J59" s="1025"/>
      <c r="K59" s="1025"/>
      <c r="L59" s="1025"/>
      <c r="M59" s="1025"/>
      <c r="N59" s="1025"/>
      <c r="O59" s="1025"/>
    </row>
  </sheetData>
  <conditionalFormatting sqref="C9:C10 C12:C14">
    <cfRule type="cellIs" dxfId="0" priority="1" operator="equal">
      <formula>0</formula>
    </cfRule>
  </conditionalFormatting>
  <pageMargins left="0.78740157499999996" right="0.78740157499999996" top="0.984251969" bottom="0.984251969" header="0.4921259845" footer="0.4921259845"/>
  <pageSetup paperSize="9" fitToHeight="0" orientation="portrait" r:id="rId1"/>
  <headerFooter alignWithMargins="0">
    <oddHeader>&amp;L&amp;A&amp;CESU-services Ltd.&amp;R&amp;D</oddHeader>
    <oddFooter>&amp;L&amp;Z&amp;F</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5">
    <pageSetUpPr fitToPage="1"/>
  </sheetPr>
  <dimension ref="A1:AA57"/>
  <sheetViews>
    <sheetView zoomScale="85" zoomScaleNormal="85" workbookViewId="0">
      <pane xSplit="24" ySplit="6" topLeftCell="Y31" activePane="bottomRight" state="frozen"/>
      <selection activeCell="J46" sqref="J46"/>
      <selection pane="topRight" activeCell="J46" sqref="J46"/>
      <selection pane="bottomLeft" activeCell="J46" sqref="J46"/>
      <selection pane="bottomRight" activeCell="J46" sqref="J46"/>
    </sheetView>
  </sheetViews>
  <sheetFormatPr defaultColWidth="11.42578125" defaultRowHeight="12" outlineLevelCol="1"/>
  <cols>
    <col min="1" max="1" width="14.42578125" style="7" customWidth="1" outlineLevel="1"/>
    <col min="2" max="2" width="15.42578125" style="158" customWidth="1"/>
    <col min="3" max="3" width="3.7109375" style="159" hidden="1" customWidth="1" outlineLevel="1"/>
    <col min="4" max="4" width="3.140625" style="7" hidden="1" customWidth="1" outlineLevel="1"/>
    <col min="5" max="5" width="2.7109375" style="7" hidden="1" customWidth="1" outlineLevel="1"/>
    <col min="6" max="6" width="43.140625" style="8" bestFit="1" customWidth="1" collapsed="1"/>
    <col min="7" max="7" width="6" style="7" customWidth="1"/>
    <col min="8" max="8" width="5.7109375" style="7" hidden="1" customWidth="1" outlineLevel="1"/>
    <col min="9" max="9" width="19.42578125" style="7" hidden="1" customWidth="1" outlineLevel="1"/>
    <col min="10" max="10" width="4.140625" style="7" bestFit="1" customWidth="1" collapsed="1"/>
    <col min="11" max="11" width="5.140625" style="7" customWidth="1"/>
    <col min="12" max="12" width="14.28515625" style="7" customWidth="1"/>
    <col min="13" max="13" width="2.42578125" style="32" hidden="1" customWidth="1" outlineLevel="1"/>
    <col min="14" max="14" width="4.28515625" style="32" hidden="1" customWidth="1" outlineLevel="1"/>
    <col min="15" max="15" width="32" style="140" hidden="1" customWidth="1" outlineLevel="1"/>
    <col min="16" max="16" width="14.28515625" style="7" customWidth="1" collapsed="1"/>
    <col min="17" max="17" width="2.42578125" style="32" hidden="1" customWidth="1" outlineLevel="1"/>
    <col min="18" max="18" width="4.28515625" style="32" hidden="1" customWidth="1" outlineLevel="1"/>
    <col min="19" max="19" width="32" style="140" hidden="1" customWidth="1" outlineLevel="1"/>
    <col min="20" max="20" width="14.28515625" style="7" customWidth="1" collapsed="1"/>
    <col min="21" max="21" width="2.42578125" style="32" hidden="1" customWidth="1" outlineLevel="1"/>
    <col min="22" max="22" width="4.28515625" style="32" hidden="1" customWidth="1" outlineLevel="1"/>
    <col min="23" max="23" width="32" style="140" hidden="1" customWidth="1" outlineLevel="1"/>
    <col min="24" max="24" width="14.28515625" style="7" customWidth="1" collapsed="1"/>
    <col min="25" max="25" width="2.42578125" style="32" customWidth="1" outlineLevel="1"/>
    <col min="26" max="26" width="5.85546875" style="32" customWidth="1" outlineLevel="1"/>
    <col min="27" max="27" width="54.85546875" style="33" customWidth="1" outlineLevel="1"/>
    <col min="28" max="16384" width="11.42578125" style="7"/>
  </cols>
  <sheetData>
    <row r="1" spans="1:27">
      <c r="A1" s="36"/>
      <c r="B1" s="34"/>
      <c r="C1" s="35"/>
      <c r="D1" s="36"/>
      <c r="E1" s="36"/>
      <c r="F1" s="37" t="s">
        <v>510</v>
      </c>
      <c r="G1" s="36"/>
      <c r="H1" s="36"/>
      <c r="I1" s="36"/>
      <c r="J1" s="36"/>
      <c r="K1" s="36"/>
      <c r="L1" s="122" t="s">
        <v>757</v>
      </c>
      <c r="M1" s="22"/>
      <c r="N1" s="22"/>
      <c r="O1" s="22"/>
      <c r="P1" s="615" t="s">
        <v>877</v>
      </c>
      <c r="Q1" s="22"/>
      <c r="R1" s="22"/>
      <c r="S1" s="22"/>
      <c r="T1" s="615" t="s">
        <v>876</v>
      </c>
      <c r="U1" s="22"/>
      <c r="V1" s="22"/>
      <c r="W1" s="22"/>
      <c r="X1" s="122">
        <v>4843</v>
      </c>
      <c r="Y1" s="22"/>
      <c r="Z1" s="22"/>
      <c r="AA1" s="22"/>
    </row>
    <row r="2" spans="1:27">
      <c r="A2" s="36"/>
      <c r="B2" s="147"/>
      <c r="C2" s="35" t="s">
        <v>511</v>
      </c>
      <c r="D2" s="147">
        <v>3503</v>
      </c>
      <c r="E2" s="147">
        <v>3504</v>
      </c>
      <c r="F2" s="147">
        <v>3702</v>
      </c>
      <c r="G2" s="147">
        <v>3703</v>
      </c>
      <c r="H2" s="147">
        <v>3506</v>
      </c>
      <c r="I2" s="147">
        <v>3507</v>
      </c>
      <c r="J2" s="147">
        <v>3508</v>
      </c>
      <c r="K2" s="147">
        <v>3706</v>
      </c>
      <c r="L2" s="147">
        <v>3707</v>
      </c>
      <c r="M2" s="23">
        <v>3708</v>
      </c>
      <c r="N2" s="23">
        <v>3709</v>
      </c>
      <c r="O2" s="134">
        <v>3792</v>
      </c>
      <c r="P2" s="147">
        <v>3707</v>
      </c>
      <c r="Q2" s="23">
        <v>3708</v>
      </c>
      <c r="R2" s="23">
        <v>3709</v>
      </c>
      <c r="S2" s="134">
        <v>3792</v>
      </c>
      <c r="T2" s="147">
        <v>3707</v>
      </c>
      <c r="U2" s="23">
        <v>3708</v>
      </c>
      <c r="V2" s="23">
        <v>3709</v>
      </c>
      <c r="W2" s="134">
        <v>3792</v>
      </c>
      <c r="X2" s="147">
        <v>3707</v>
      </c>
      <c r="Y2" s="23">
        <v>3708</v>
      </c>
      <c r="Z2" s="23">
        <v>3709</v>
      </c>
      <c r="AA2" s="24">
        <v>3792</v>
      </c>
    </row>
    <row r="3" spans="1:27" ht="59.25" customHeight="1">
      <c r="A3" s="36" t="s">
        <v>398</v>
      </c>
      <c r="B3" s="166"/>
      <c r="C3" s="35">
        <v>401</v>
      </c>
      <c r="D3" s="167" t="s">
        <v>514</v>
      </c>
      <c r="E3" s="167" t="s">
        <v>515</v>
      </c>
      <c r="F3" s="132" t="s">
        <v>516</v>
      </c>
      <c r="G3" s="41" t="s">
        <v>517</v>
      </c>
      <c r="H3" s="41" t="s">
        <v>518</v>
      </c>
      <c r="I3" s="41" t="s">
        <v>519</v>
      </c>
      <c r="J3" s="41" t="s">
        <v>520</v>
      </c>
      <c r="K3" s="41" t="s">
        <v>394</v>
      </c>
      <c r="L3" s="178" t="s">
        <v>861</v>
      </c>
      <c r="M3" s="25" t="s">
        <v>265</v>
      </c>
      <c r="N3" s="25" t="s">
        <v>266</v>
      </c>
      <c r="O3" s="136" t="s">
        <v>548</v>
      </c>
      <c r="P3" s="178" t="s">
        <v>861</v>
      </c>
      <c r="Q3" s="25" t="s">
        <v>265</v>
      </c>
      <c r="R3" s="25" t="s">
        <v>266</v>
      </c>
      <c r="S3" s="136" t="s">
        <v>548</v>
      </c>
      <c r="T3" s="178" t="s">
        <v>861</v>
      </c>
      <c r="U3" s="25" t="s">
        <v>265</v>
      </c>
      <c r="V3" s="25" t="s">
        <v>266</v>
      </c>
      <c r="W3" s="136" t="s">
        <v>548</v>
      </c>
      <c r="X3" s="178" t="s">
        <v>861</v>
      </c>
      <c r="Y3" s="25" t="s">
        <v>265</v>
      </c>
      <c r="Z3" s="25" t="s">
        <v>266</v>
      </c>
      <c r="AA3" s="128" t="s">
        <v>548</v>
      </c>
    </row>
    <row r="4" spans="1:27" ht="12.75" customHeight="1">
      <c r="A4" s="36"/>
      <c r="B4" s="166"/>
      <c r="C4" s="35">
        <v>662</v>
      </c>
      <c r="D4" s="9"/>
      <c r="E4" s="9"/>
      <c r="F4" s="132" t="s">
        <v>517</v>
      </c>
      <c r="G4" s="132"/>
      <c r="H4" s="132"/>
      <c r="I4" s="132"/>
      <c r="J4" s="132"/>
      <c r="K4" s="132"/>
      <c r="L4" s="178" t="s">
        <v>1105</v>
      </c>
      <c r="M4" s="129"/>
      <c r="N4" s="129"/>
      <c r="O4" s="138"/>
      <c r="P4" s="178" t="s">
        <v>465</v>
      </c>
      <c r="Q4" s="129"/>
      <c r="R4" s="129"/>
      <c r="S4" s="138"/>
      <c r="T4" s="178" t="s">
        <v>956</v>
      </c>
      <c r="U4" s="129"/>
      <c r="V4" s="129"/>
      <c r="W4" s="138"/>
      <c r="X4" s="178" t="s">
        <v>521</v>
      </c>
      <c r="Y4" s="129"/>
      <c r="Z4" s="129"/>
      <c r="AA4" s="130"/>
    </row>
    <row r="5" spans="1:27">
      <c r="A5" s="36"/>
      <c r="B5" s="166"/>
      <c r="C5" s="35">
        <v>493</v>
      </c>
      <c r="D5" s="9"/>
      <c r="E5" s="9"/>
      <c r="F5" s="132" t="s">
        <v>520</v>
      </c>
      <c r="G5" s="132"/>
      <c r="H5" s="132"/>
      <c r="I5" s="132"/>
      <c r="J5" s="132"/>
      <c r="K5" s="132"/>
      <c r="L5" s="178">
        <v>0</v>
      </c>
      <c r="M5" s="129"/>
      <c r="N5" s="129"/>
      <c r="O5" s="138"/>
      <c r="P5" s="178">
        <v>0</v>
      </c>
      <c r="Q5" s="129"/>
      <c r="R5" s="129"/>
      <c r="S5" s="138"/>
      <c r="T5" s="178">
        <v>0</v>
      </c>
      <c r="U5" s="129"/>
      <c r="V5" s="129"/>
      <c r="W5" s="138"/>
      <c r="X5" s="178">
        <v>0</v>
      </c>
      <c r="Y5" s="129"/>
      <c r="Z5" s="129"/>
      <c r="AA5" s="130"/>
    </row>
    <row r="6" spans="1:27" ht="12.75" customHeight="1">
      <c r="A6" s="36"/>
      <c r="B6" s="166"/>
      <c r="C6" s="35">
        <v>403</v>
      </c>
      <c r="D6" s="9"/>
      <c r="E6" s="9"/>
      <c r="F6" s="132" t="s">
        <v>394</v>
      </c>
      <c r="G6" s="352"/>
      <c r="H6" s="132"/>
      <c r="I6" s="132"/>
      <c r="J6" s="132"/>
      <c r="K6" s="132"/>
      <c r="L6" s="178" t="s">
        <v>395</v>
      </c>
      <c r="M6" s="129"/>
      <c r="N6" s="129"/>
      <c r="O6" s="138"/>
      <c r="P6" s="178" t="s">
        <v>395</v>
      </c>
      <c r="Q6" s="129"/>
      <c r="R6" s="129"/>
      <c r="S6" s="138"/>
      <c r="T6" s="178" t="s">
        <v>395</v>
      </c>
      <c r="U6" s="129"/>
      <c r="V6" s="129"/>
      <c r="W6" s="138"/>
      <c r="X6" s="178" t="s">
        <v>395</v>
      </c>
      <c r="Y6" s="129"/>
      <c r="Z6" s="129"/>
      <c r="AA6" s="130"/>
    </row>
    <row r="7" spans="1:27">
      <c r="A7" s="471" t="s">
        <v>757</v>
      </c>
      <c r="B7" s="168" t="s">
        <v>523</v>
      </c>
      <c r="C7" s="169"/>
      <c r="D7" s="11" t="s">
        <v>402</v>
      </c>
      <c r="E7" s="170">
        <v>0</v>
      </c>
      <c r="F7" s="145" t="s">
        <v>861</v>
      </c>
      <c r="G7" s="16" t="s">
        <v>1105</v>
      </c>
      <c r="H7" s="14" t="s">
        <v>402</v>
      </c>
      <c r="I7" s="14" t="s">
        <v>402</v>
      </c>
      <c r="J7" s="15">
        <v>0</v>
      </c>
      <c r="K7" s="16" t="s">
        <v>395</v>
      </c>
      <c r="L7" s="606">
        <v>1</v>
      </c>
      <c r="M7" s="29"/>
      <c r="N7" s="1"/>
      <c r="O7" s="139"/>
      <c r="P7" s="606">
        <v>0</v>
      </c>
      <c r="Q7" s="29"/>
      <c r="R7" s="1"/>
      <c r="S7" s="139"/>
      <c r="T7" s="606">
        <v>0</v>
      </c>
      <c r="U7" s="29"/>
      <c r="V7" s="1"/>
      <c r="W7" s="139"/>
      <c r="X7" s="606">
        <v>0</v>
      </c>
      <c r="Y7" s="29"/>
      <c r="Z7" s="1"/>
      <c r="AA7" s="31"/>
    </row>
    <row r="8" spans="1:27">
      <c r="A8" s="471" t="s">
        <v>877</v>
      </c>
      <c r="B8" s="168"/>
      <c r="C8" s="169"/>
      <c r="D8" s="11" t="s">
        <v>402</v>
      </c>
      <c r="E8" s="170">
        <v>0</v>
      </c>
      <c r="F8" s="145" t="s">
        <v>861</v>
      </c>
      <c r="G8" s="16" t="s">
        <v>465</v>
      </c>
      <c r="H8" s="14" t="s">
        <v>402</v>
      </c>
      <c r="I8" s="14" t="s">
        <v>402</v>
      </c>
      <c r="J8" s="15">
        <v>0</v>
      </c>
      <c r="K8" s="16" t="s">
        <v>395</v>
      </c>
      <c r="L8" s="606">
        <v>0</v>
      </c>
      <c r="M8" s="29"/>
      <c r="N8" s="1"/>
      <c r="O8" s="139"/>
      <c r="P8" s="606">
        <v>1</v>
      </c>
      <c r="Q8" s="29"/>
      <c r="R8" s="1"/>
      <c r="S8" s="139"/>
      <c r="T8" s="606">
        <v>0</v>
      </c>
      <c r="U8" s="29"/>
      <c r="V8" s="1"/>
      <c r="W8" s="139"/>
      <c r="X8" s="606">
        <v>0</v>
      </c>
      <c r="Y8" s="29"/>
      <c r="Z8" s="1"/>
      <c r="AA8" s="31"/>
    </row>
    <row r="9" spans="1:27">
      <c r="A9" s="471" t="s">
        <v>876</v>
      </c>
      <c r="B9" s="168"/>
      <c r="C9" s="169"/>
      <c r="D9" s="11" t="s">
        <v>402</v>
      </c>
      <c r="E9" s="170">
        <v>0</v>
      </c>
      <c r="F9" s="145" t="s">
        <v>861</v>
      </c>
      <c r="G9" s="16" t="s">
        <v>956</v>
      </c>
      <c r="H9" s="14" t="s">
        <v>402</v>
      </c>
      <c r="I9" s="14" t="s">
        <v>402</v>
      </c>
      <c r="J9" s="15">
        <v>0</v>
      </c>
      <c r="K9" s="16" t="s">
        <v>395</v>
      </c>
      <c r="L9" s="606">
        <v>0</v>
      </c>
      <c r="M9" s="29"/>
      <c r="N9" s="1"/>
      <c r="O9" s="139"/>
      <c r="P9" s="606">
        <v>0</v>
      </c>
      <c r="Q9" s="29"/>
      <c r="R9" s="1"/>
      <c r="S9" s="139"/>
      <c r="T9" s="606">
        <v>1</v>
      </c>
      <c r="U9" s="29"/>
      <c r="V9" s="1"/>
      <c r="W9" s="139"/>
      <c r="X9" s="606">
        <v>0</v>
      </c>
      <c r="Y9" s="29"/>
      <c r="Z9" s="1"/>
      <c r="AA9" s="31"/>
    </row>
    <row r="10" spans="1:27">
      <c r="A10" s="8">
        <v>4843</v>
      </c>
      <c r="B10" s="168"/>
      <c r="C10" s="169"/>
      <c r="D10" s="11" t="s">
        <v>402</v>
      </c>
      <c r="E10" s="170">
        <v>0</v>
      </c>
      <c r="F10" s="145" t="s">
        <v>861</v>
      </c>
      <c r="G10" s="16" t="s">
        <v>521</v>
      </c>
      <c r="H10" s="14" t="s">
        <v>402</v>
      </c>
      <c r="I10" s="14" t="s">
        <v>402</v>
      </c>
      <c r="J10" s="15">
        <v>0</v>
      </c>
      <c r="K10" s="16" t="s">
        <v>395</v>
      </c>
      <c r="L10" s="606">
        <v>0</v>
      </c>
      <c r="M10" s="29"/>
      <c r="N10" s="1"/>
      <c r="O10" s="139"/>
      <c r="P10" s="606">
        <v>0</v>
      </c>
      <c r="Q10" s="29"/>
      <c r="R10" s="1"/>
      <c r="S10" s="139"/>
      <c r="T10" s="606">
        <v>0</v>
      </c>
      <c r="U10" s="29"/>
      <c r="V10" s="1"/>
      <c r="W10" s="139"/>
      <c r="X10" s="606">
        <v>1</v>
      </c>
      <c r="Y10" s="29"/>
      <c r="Z10" s="1"/>
      <c r="AA10" s="31"/>
    </row>
    <row r="11" spans="1:27" ht="34.5" customHeight="1">
      <c r="A11" s="116">
        <v>1450</v>
      </c>
      <c r="B11" s="163" t="s">
        <v>707</v>
      </c>
      <c r="C11" s="151" t="s">
        <v>525</v>
      </c>
      <c r="D11" s="152" t="s">
        <v>527</v>
      </c>
      <c r="E11" s="153" t="s">
        <v>402</v>
      </c>
      <c r="F11" s="144" t="s">
        <v>1163</v>
      </c>
      <c r="G11" s="125" t="s">
        <v>402</v>
      </c>
      <c r="H11" s="164" t="s">
        <v>273</v>
      </c>
      <c r="I11" s="123" t="s">
        <v>1117</v>
      </c>
      <c r="J11" s="124" t="s">
        <v>402</v>
      </c>
      <c r="K11" s="125" t="s">
        <v>409</v>
      </c>
      <c r="L11" s="165">
        <v>5.09</v>
      </c>
      <c r="M11" s="29">
        <v>1</v>
      </c>
      <c r="N11" s="1">
        <v>1.2357414268951803</v>
      </c>
      <c r="O11" s="139" t="s">
        <v>1209</v>
      </c>
      <c r="P11" s="165">
        <v>5.09</v>
      </c>
      <c r="Q11" s="29">
        <v>1</v>
      </c>
      <c r="R11" s="1">
        <v>1.2357414268951803</v>
      </c>
      <c r="S11" s="139" t="s">
        <v>1209</v>
      </c>
      <c r="T11" s="165">
        <v>5.09</v>
      </c>
      <c r="U11" s="29">
        <v>1</v>
      </c>
      <c r="V11" s="1">
        <v>1.2357414268951803</v>
      </c>
      <c r="W11" s="139" t="s">
        <v>1209</v>
      </c>
      <c r="X11" s="165">
        <v>5.09</v>
      </c>
      <c r="Y11" s="29">
        <v>1</v>
      </c>
      <c r="Z11" s="1">
        <v>1.2357414268951803</v>
      </c>
      <c r="AA11" s="31" t="s">
        <v>1209</v>
      </c>
    </row>
    <row r="12" spans="1:27" ht="24">
      <c r="A12" s="116">
        <v>1452</v>
      </c>
      <c r="B12" s="163"/>
      <c r="C12" s="151" t="s">
        <v>525</v>
      </c>
      <c r="D12" s="152" t="s">
        <v>527</v>
      </c>
      <c r="E12" s="153" t="s">
        <v>402</v>
      </c>
      <c r="F12" s="144" t="s">
        <v>1009</v>
      </c>
      <c r="G12" s="125" t="s">
        <v>402</v>
      </c>
      <c r="H12" s="164" t="s">
        <v>273</v>
      </c>
      <c r="I12" s="123" t="s">
        <v>1117</v>
      </c>
      <c r="J12" s="124" t="s">
        <v>402</v>
      </c>
      <c r="K12" s="125" t="s">
        <v>409</v>
      </c>
      <c r="L12" s="165">
        <v>0</v>
      </c>
      <c r="M12" s="29">
        <v>1</v>
      </c>
      <c r="N12" s="1">
        <v>1.2357414268951803</v>
      </c>
      <c r="O12" s="139" t="s">
        <v>1209</v>
      </c>
      <c r="P12" s="165">
        <v>0</v>
      </c>
      <c r="Q12" s="29">
        <v>1</v>
      </c>
      <c r="R12" s="1">
        <v>1.2357414268951803</v>
      </c>
      <c r="S12" s="139" t="s">
        <v>1209</v>
      </c>
      <c r="T12" s="165">
        <v>0</v>
      </c>
      <c r="U12" s="29">
        <v>1</v>
      </c>
      <c r="V12" s="1">
        <v>1.2357414268951803</v>
      </c>
      <c r="W12" s="139" t="s">
        <v>1209</v>
      </c>
      <c r="X12" s="165">
        <v>0</v>
      </c>
      <c r="Y12" s="29">
        <v>1</v>
      </c>
      <c r="Z12" s="1">
        <v>1.2357414268951803</v>
      </c>
      <c r="AA12" s="31" t="s">
        <v>1209</v>
      </c>
    </row>
    <row r="13" spans="1:27" ht="24">
      <c r="A13" s="669" t="s">
        <v>1079</v>
      </c>
      <c r="B13" s="168" t="s">
        <v>524</v>
      </c>
      <c r="C13" s="169" t="s">
        <v>525</v>
      </c>
      <c r="D13" s="50" t="s">
        <v>526</v>
      </c>
      <c r="E13" s="10" t="s">
        <v>402</v>
      </c>
      <c r="F13" s="144" t="s">
        <v>1210</v>
      </c>
      <c r="G13" s="125" t="s">
        <v>1211</v>
      </c>
      <c r="H13" s="164" t="s">
        <v>402</v>
      </c>
      <c r="I13" s="123" t="s">
        <v>402</v>
      </c>
      <c r="J13" s="124">
        <v>0</v>
      </c>
      <c r="K13" s="125" t="s">
        <v>678</v>
      </c>
      <c r="L13" s="165">
        <v>0</v>
      </c>
      <c r="M13" s="29">
        <v>1</v>
      </c>
      <c r="N13" s="1">
        <v>1.2357414268951803</v>
      </c>
      <c r="O13" s="139" t="s">
        <v>1209</v>
      </c>
      <c r="P13" s="165">
        <v>0</v>
      </c>
      <c r="Q13" s="29">
        <v>1</v>
      </c>
      <c r="R13" s="1">
        <v>1.2357414268951803</v>
      </c>
      <c r="S13" s="139" t="s">
        <v>1209</v>
      </c>
      <c r="T13" s="165">
        <v>0</v>
      </c>
      <c r="U13" s="29">
        <v>1</v>
      </c>
      <c r="V13" s="1">
        <v>1.2357414268951803</v>
      </c>
      <c r="W13" s="139" t="s">
        <v>1209</v>
      </c>
      <c r="X13" s="165">
        <v>68.2</v>
      </c>
      <c r="Y13" s="29">
        <v>1</v>
      </c>
      <c r="Z13" s="1">
        <v>1.2357414268951803</v>
      </c>
      <c r="AA13" s="31" t="s">
        <v>1209</v>
      </c>
    </row>
    <row r="14" spans="1:27" ht="24">
      <c r="A14" s="226">
        <v>32004</v>
      </c>
      <c r="B14" s="168"/>
      <c r="C14" s="169" t="s">
        <v>525</v>
      </c>
      <c r="D14" s="50" t="s">
        <v>526</v>
      </c>
      <c r="E14" s="10" t="s">
        <v>402</v>
      </c>
      <c r="F14" s="144" t="s">
        <v>1133</v>
      </c>
      <c r="G14" s="125" t="s">
        <v>1105</v>
      </c>
      <c r="H14" s="164" t="s">
        <v>402</v>
      </c>
      <c r="I14" s="123" t="s">
        <v>402</v>
      </c>
      <c r="J14" s="124">
        <v>0</v>
      </c>
      <c r="K14" s="125" t="s">
        <v>678</v>
      </c>
      <c r="L14" s="165">
        <v>68.2</v>
      </c>
      <c r="M14" s="29">
        <v>1</v>
      </c>
      <c r="N14" s="1">
        <v>1.2357414268951803</v>
      </c>
      <c r="O14" s="139" t="s">
        <v>1209</v>
      </c>
      <c r="P14" s="165">
        <v>0</v>
      </c>
      <c r="Q14" s="29">
        <v>1</v>
      </c>
      <c r="R14" s="1">
        <v>1.2357414268951803</v>
      </c>
      <c r="S14" s="139" t="s">
        <v>1209</v>
      </c>
      <c r="T14" s="165">
        <v>0</v>
      </c>
      <c r="U14" s="29">
        <v>1</v>
      </c>
      <c r="V14" s="1">
        <v>1.2357414268951803</v>
      </c>
      <c r="W14" s="139" t="s">
        <v>1209</v>
      </c>
      <c r="X14" s="165">
        <v>0</v>
      </c>
      <c r="Y14" s="29">
        <v>1</v>
      </c>
      <c r="Z14" s="1">
        <v>1.2357414268951803</v>
      </c>
      <c r="AA14" s="31" t="s">
        <v>1209</v>
      </c>
    </row>
    <row r="15" spans="1:27" ht="24">
      <c r="A15" s="226" t="s">
        <v>866</v>
      </c>
      <c r="B15" s="168"/>
      <c r="C15" s="169" t="s">
        <v>525</v>
      </c>
      <c r="D15" s="50" t="s">
        <v>526</v>
      </c>
      <c r="E15" s="10" t="s">
        <v>402</v>
      </c>
      <c r="F15" s="144" t="s">
        <v>1133</v>
      </c>
      <c r="G15" s="125" t="s">
        <v>465</v>
      </c>
      <c r="H15" s="164" t="s">
        <v>402</v>
      </c>
      <c r="I15" s="123" t="s">
        <v>402</v>
      </c>
      <c r="J15" s="124">
        <v>0</v>
      </c>
      <c r="K15" s="125" t="s">
        <v>678</v>
      </c>
      <c r="L15" s="165">
        <v>0</v>
      </c>
      <c r="M15" s="29">
        <v>1</v>
      </c>
      <c r="N15" s="1">
        <v>1.2357414268951803</v>
      </c>
      <c r="O15" s="139" t="s">
        <v>1209</v>
      </c>
      <c r="P15" s="165">
        <v>68.2</v>
      </c>
      <c r="Q15" s="29">
        <v>1</v>
      </c>
      <c r="R15" s="1">
        <v>1.2357414268951803</v>
      </c>
      <c r="S15" s="139" t="s">
        <v>1209</v>
      </c>
      <c r="T15" s="165">
        <v>0</v>
      </c>
      <c r="U15" s="29">
        <v>1</v>
      </c>
      <c r="V15" s="1">
        <v>1.2357414268951803</v>
      </c>
      <c r="W15" s="139" t="s">
        <v>1209</v>
      </c>
      <c r="X15" s="165">
        <v>0</v>
      </c>
      <c r="Y15" s="29">
        <v>1</v>
      </c>
      <c r="Z15" s="1">
        <v>1.2357414268951803</v>
      </c>
      <c r="AA15" s="31" t="s">
        <v>1209</v>
      </c>
    </row>
    <row r="16" spans="1:27" ht="24">
      <c r="A16" s="226" t="s">
        <v>867</v>
      </c>
      <c r="B16" s="168"/>
      <c r="C16" s="169" t="s">
        <v>525</v>
      </c>
      <c r="D16" s="50" t="s">
        <v>526</v>
      </c>
      <c r="E16" s="10" t="s">
        <v>402</v>
      </c>
      <c r="F16" s="144" t="s">
        <v>1133</v>
      </c>
      <c r="G16" s="125" t="s">
        <v>497</v>
      </c>
      <c r="H16" s="164" t="s">
        <v>402</v>
      </c>
      <c r="I16" s="123" t="s">
        <v>402</v>
      </c>
      <c r="J16" s="124">
        <v>0</v>
      </c>
      <c r="K16" s="125" t="s">
        <v>678</v>
      </c>
      <c r="L16" s="165">
        <v>0</v>
      </c>
      <c r="M16" s="29">
        <v>1</v>
      </c>
      <c r="N16" s="1">
        <v>1.2357414268951803</v>
      </c>
      <c r="O16" s="139" t="s">
        <v>1209</v>
      </c>
      <c r="P16" s="165">
        <v>0</v>
      </c>
      <c r="Q16" s="29">
        <v>1</v>
      </c>
      <c r="R16" s="1">
        <v>1.2357414268951803</v>
      </c>
      <c r="S16" s="139" t="s">
        <v>1209</v>
      </c>
      <c r="T16" s="165">
        <v>68.2</v>
      </c>
      <c r="U16" s="29">
        <v>1</v>
      </c>
      <c r="V16" s="1">
        <v>1.2357414268951803</v>
      </c>
      <c r="W16" s="139" t="s">
        <v>1209</v>
      </c>
      <c r="X16" s="165">
        <v>0</v>
      </c>
      <c r="Y16" s="29">
        <v>1</v>
      </c>
      <c r="Z16" s="1">
        <v>1.2357414268951803</v>
      </c>
      <c r="AA16" s="31" t="s">
        <v>1209</v>
      </c>
    </row>
    <row r="17" spans="1:27" ht="24">
      <c r="A17" s="2">
        <v>2561</v>
      </c>
      <c r="B17" s="168"/>
      <c r="C17" s="169" t="s">
        <v>525</v>
      </c>
      <c r="D17" s="50" t="s">
        <v>526</v>
      </c>
      <c r="E17" s="10" t="s">
        <v>402</v>
      </c>
      <c r="F17" s="144" t="s">
        <v>1212</v>
      </c>
      <c r="G17" s="125" t="s">
        <v>521</v>
      </c>
      <c r="H17" s="164" t="s">
        <v>402</v>
      </c>
      <c r="I17" s="123" t="s">
        <v>402</v>
      </c>
      <c r="J17" s="124">
        <v>0</v>
      </c>
      <c r="K17" s="125" t="s">
        <v>677</v>
      </c>
      <c r="L17" s="165">
        <v>68.224299065420553</v>
      </c>
      <c r="M17" s="29">
        <v>1</v>
      </c>
      <c r="N17" s="1">
        <v>1.2357414268951803</v>
      </c>
      <c r="O17" s="139" t="s">
        <v>1209</v>
      </c>
      <c r="P17" s="165">
        <v>68.224299065420553</v>
      </c>
      <c r="Q17" s="29">
        <v>1</v>
      </c>
      <c r="R17" s="1">
        <v>1.2357414268951803</v>
      </c>
      <c r="S17" s="139" t="s">
        <v>1209</v>
      </c>
      <c r="T17" s="165">
        <v>68.224299065420553</v>
      </c>
      <c r="U17" s="29">
        <v>1</v>
      </c>
      <c r="V17" s="1">
        <v>1.2357414268951803</v>
      </c>
      <c r="W17" s="139" t="s">
        <v>1209</v>
      </c>
      <c r="X17" s="165">
        <v>68.224299065420553</v>
      </c>
      <c r="Y17" s="29">
        <v>1</v>
      </c>
      <c r="Z17" s="1">
        <v>1.2357414268951803</v>
      </c>
      <c r="AA17" s="31" t="s">
        <v>1209</v>
      </c>
    </row>
    <row r="18" spans="1:27" ht="24">
      <c r="A18" s="36">
        <v>679</v>
      </c>
      <c r="B18" s="168" t="s">
        <v>211</v>
      </c>
      <c r="C18" s="169" t="s">
        <v>525</v>
      </c>
      <c r="D18" s="50" t="s">
        <v>526</v>
      </c>
      <c r="E18" s="10" t="s">
        <v>402</v>
      </c>
      <c r="F18" s="144" t="s">
        <v>111</v>
      </c>
      <c r="G18" s="125" t="s">
        <v>521</v>
      </c>
      <c r="H18" s="164" t="s">
        <v>402</v>
      </c>
      <c r="I18" s="123" t="s">
        <v>402</v>
      </c>
      <c r="J18" s="124">
        <v>0</v>
      </c>
      <c r="K18" s="125" t="s">
        <v>395</v>
      </c>
      <c r="L18" s="165">
        <v>94.073377234242713</v>
      </c>
      <c r="M18" s="29">
        <v>1</v>
      </c>
      <c r="N18" s="1">
        <v>1.2357414268951803</v>
      </c>
      <c r="O18" s="139" t="s">
        <v>1209</v>
      </c>
      <c r="P18" s="165">
        <v>94.073377234242713</v>
      </c>
      <c r="Q18" s="29">
        <v>1</v>
      </c>
      <c r="R18" s="1">
        <v>1.2357414268951803</v>
      </c>
      <c r="S18" s="139" t="s">
        <v>1209</v>
      </c>
      <c r="T18" s="165">
        <v>94.073377234242713</v>
      </c>
      <c r="U18" s="29">
        <v>1</v>
      </c>
      <c r="V18" s="1">
        <v>1.2357414268951803</v>
      </c>
      <c r="W18" s="139" t="s">
        <v>1209</v>
      </c>
      <c r="X18" s="165">
        <v>94.073377234242713</v>
      </c>
      <c r="Y18" s="29">
        <v>1</v>
      </c>
      <c r="Z18" s="1">
        <v>1.2357414268951803</v>
      </c>
      <c r="AA18" s="31" t="s">
        <v>1209</v>
      </c>
    </row>
    <row r="19" spans="1:27" s="689" customFormat="1" ht="24">
      <c r="A19" s="670">
        <v>1780</v>
      </c>
      <c r="B19" s="671" t="s">
        <v>211</v>
      </c>
      <c r="C19" s="672" t="s">
        <v>525</v>
      </c>
      <c r="D19" s="673" t="s">
        <v>526</v>
      </c>
      <c r="E19" s="674" t="s">
        <v>402</v>
      </c>
      <c r="F19" s="675" t="s">
        <v>1107</v>
      </c>
      <c r="G19" s="676" t="s">
        <v>393</v>
      </c>
      <c r="H19" s="677" t="s">
        <v>402</v>
      </c>
      <c r="I19" s="678" t="s">
        <v>402</v>
      </c>
      <c r="J19" s="679">
        <v>0</v>
      </c>
      <c r="K19" s="676" t="s">
        <v>395</v>
      </c>
      <c r="L19" s="680">
        <v>4.01</v>
      </c>
      <c r="M19" s="681">
        <v>1</v>
      </c>
      <c r="N19" s="682">
        <v>1.2357414268951803</v>
      </c>
      <c r="O19" s="683" t="s">
        <v>1209</v>
      </c>
      <c r="P19" s="680">
        <v>4.01</v>
      </c>
      <c r="Q19" s="681">
        <v>1</v>
      </c>
      <c r="R19" s="682">
        <v>1.2357414268951803</v>
      </c>
      <c r="S19" s="683" t="s">
        <v>1209</v>
      </c>
      <c r="T19" s="680">
        <v>4.01</v>
      </c>
      <c r="U19" s="681">
        <v>1</v>
      </c>
      <c r="V19" s="682">
        <v>1.2357414268951803</v>
      </c>
      <c r="W19" s="683" t="s">
        <v>1209</v>
      </c>
      <c r="X19" s="680">
        <v>4.01</v>
      </c>
      <c r="Y19" s="681">
        <v>1</v>
      </c>
      <c r="Z19" s="682">
        <v>1.2357414268951803</v>
      </c>
      <c r="AA19" s="684" t="s">
        <v>1209</v>
      </c>
    </row>
    <row r="20" spans="1:27" ht="24">
      <c r="A20" s="260">
        <v>32124</v>
      </c>
      <c r="B20" s="168"/>
      <c r="C20" s="169" t="s">
        <v>525</v>
      </c>
      <c r="D20" s="50" t="s">
        <v>526</v>
      </c>
      <c r="E20" s="10" t="s">
        <v>402</v>
      </c>
      <c r="F20" s="144" t="s">
        <v>863</v>
      </c>
      <c r="G20" s="125" t="s">
        <v>51</v>
      </c>
      <c r="H20" s="164" t="s">
        <v>402</v>
      </c>
      <c r="I20" s="123" t="s">
        <v>402</v>
      </c>
      <c r="J20" s="124">
        <v>0</v>
      </c>
      <c r="K20" s="125" t="s">
        <v>395</v>
      </c>
      <c r="L20" s="165">
        <v>0</v>
      </c>
      <c r="M20" s="29">
        <v>1</v>
      </c>
      <c r="N20" s="1">
        <v>1.2357414268951803</v>
      </c>
      <c r="O20" s="139" t="s">
        <v>1209</v>
      </c>
      <c r="P20" s="165">
        <v>0</v>
      </c>
      <c r="Q20" s="29">
        <v>1</v>
      </c>
      <c r="R20" s="1">
        <v>1.2357414268951803</v>
      </c>
      <c r="S20" s="139" t="s">
        <v>1209</v>
      </c>
      <c r="T20" s="165">
        <v>0</v>
      </c>
      <c r="U20" s="29">
        <v>1</v>
      </c>
      <c r="V20" s="1">
        <v>1.2357414268951803</v>
      </c>
      <c r="W20" s="139" t="s">
        <v>1209</v>
      </c>
      <c r="X20" s="165">
        <v>0.78100000000000003</v>
      </c>
      <c r="Y20" s="29">
        <v>1</v>
      </c>
      <c r="Z20" s="1">
        <v>1.2357414268951803</v>
      </c>
      <c r="AA20" s="31" t="s">
        <v>1209</v>
      </c>
    </row>
    <row r="21" spans="1:27" ht="24">
      <c r="A21" s="471" t="s">
        <v>755</v>
      </c>
      <c r="B21" s="168"/>
      <c r="C21" s="169" t="s">
        <v>525</v>
      </c>
      <c r="D21" s="50" t="s">
        <v>526</v>
      </c>
      <c r="E21" s="10" t="s">
        <v>402</v>
      </c>
      <c r="F21" s="144" t="s">
        <v>863</v>
      </c>
      <c r="G21" s="125" t="s">
        <v>1105</v>
      </c>
      <c r="H21" s="164" t="s">
        <v>402</v>
      </c>
      <c r="I21" s="123" t="s">
        <v>402</v>
      </c>
      <c r="J21" s="124">
        <v>0</v>
      </c>
      <c r="K21" s="125" t="s">
        <v>395</v>
      </c>
      <c r="L21" s="165">
        <v>0.78100000000000003</v>
      </c>
      <c r="M21" s="29">
        <v>1</v>
      </c>
      <c r="N21" s="1">
        <v>1.2357414268951803</v>
      </c>
      <c r="O21" s="139" t="s">
        <v>1209</v>
      </c>
      <c r="P21" s="165">
        <v>0</v>
      </c>
      <c r="Q21" s="29">
        <v>1</v>
      </c>
      <c r="R21" s="1">
        <v>1.2357414268951803</v>
      </c>
      <c r="S21" s="139" t="s">
        <v>1209</v>
      </c>
      <c r="T21" s="165">
        <v>0</v>
      </c>
      <c r="U21" s="29">
        <v>1</v>
      </c>
      <c r="V21" s="1">
        <v>1.2357414268951803</v>
      </c>
      <c r="W21" s="139" t="s">
        <v>1209</v>
      </c>
      <c r="X21" s="165">
        <v>0</v>
      </c>
      <c r="Y21" s="29">
        <v>1</v>
      </c>
      <c r="Z21" s="1">
        <v>1.2357414268951803</v>
      </c>
      <c r="AA21" s="31" t="s">
        <v>1209</v>
      </c>
    </row>
    <row r="22" spans="1:27" ht="24">
      <c r="A22" s="471" t="s">
        <v>874</v>
      </c>
      <c r="B22" s="168"/>
      <c r="C22" s="169" t="s">
        <v>525</v>
      </c>
      <c r="D22" s="50" t="s">
        <v>526</v>
      </c>
      <c r="E22" s="10" t="s">
        <v>402</v>
      </c>
      <c r="F22" s="144" t="s">
        <v>863</v>
      </c>
      <c r="G22" s="125" t="s">
        <v>465</v>
      </c>
      <c r="H22" s="164" t="s">
        <v>402</v>
      </c>
      <c r="I22" s="123" t="s">
        <v>402</v>
      </c>
      <c r="J22" s="124">
        <v>0</v>
      </c>
      <c r="K22" s="125" t="s">
        <v>395</v>
      </c>
      <c r="L22" s="165">
        <v>0</v>
      </c>
      <c r="M22" s="29">
        <v>1</v>
      </c>
      <c r="N22" s="1">
        <v>1.2357414268951803</v>
      </c>
      <c r="O22" s="139" t="s">
        <v>1209</v>
      </c>
      <c r="P22" s="165">
        <v>0.78100000000000003</v>
      </c>
      <c r="Q22" s="29">
        <v>1</v>
      </c>
      <c r="R22" s="1">
        <v>1.2357414268951803</v>
      </c>
      <c r="S22" s="139" t="s">
        <v>1209</v>
      </c>
      <c r="T22" s="165">
        <v>0</v>
      </c>
      <c r="U22" s="29">
        <v>1</v>
      </c>
      <c r="V22" s="1">
        <v>1.2357414268951803</v>
      </c>
      <c r="W22" s="139" t="s">
        <v>1209</v>
      </c>
      <c r="X22" s="165">
        <v>0</v>
      </c>
      <c r="Y22" s="29">
        <v>1</v>
      </c>
      <c r="Z22" s="1">
        <v>1.2357414268951803</v>
      </c>
      <c r="AA22" s="31" t="s">
        <v>1209</v>
      </c>
    </row>
    <row r="23" spans="1:27" ht="24">
      <c r="A23" s="471" t="s">
        <v>875</v>
      </c>
      <c r="B23" s="168"/>
      <c r="C23" s="169" t="s">
        <v>525</v>
      </c>
      <c r="D23" s="50" t="s">
        <v>526</v>
      </c>
      <c r="E23" s="10" t="s">
        <v>402</v>
      </c>
      <c r="F23" s="144" t="s">
        <v>863</v>
      </c>
      <c r="G23" s="125" t="s">
        <v>956</v>
      </c>
      <c r="H23" s="164" t="s">
        <v>402</v>
      </c>
      <c r="I23" s="123" t="s">
        <v>402</v>
      </c>
      <c r="J23" s="124">
        <v>0</v>
      </c>
      <c r="K23" s="125" t="s">
        <v>395</v>
      </c>
      <c r="L23" s="165">
        <v>0</v>
      </c>
      <c r="M23" s="29">
        <v>1</v>
      </c>
      <c r="N23" s="1">
        <v>1.2357414268951803</v>
      </c>
      <c r="O23" s="139" t="s">
        <v>1209</v>
      </c>
      <c r="P23" s="165">
        <v>0</v>
      </c>
      <c r="Q23" s="29">
        <v>1</v>
      </c>
      <c r="R23" s="1">
        <v>1.2357414268951803</v>
      </c>
      <c r="S23" s="139" t="s">
        <v>1209</v>
      </c>
      <c r="T23" s="165">
        <v>0.78100000000000003</v>
      </c>
      <c r="U23" s="29">
        <v>1</v>
      </c>
      <c r="V23" s="1">
        <v>1.2357414268951803</v>
      </c>
      <c r="W23" s="139" t="s">
        <v>1209</v>
      </c>
      <c r="X23" s="165">
        <v>0</v>
      </c>
      <c r="Y23" s="29">
        <v>1</v>
      </c>
      <c r="Z23" s="1">
        <v>1.2357414268951803</v>
      </c>
      <c r="AA23" s="31" t="s">
        <v>1209</v>
      </c>
    </row>
    <row r="24" spans="1:27" ht="24">
      <c r="A24" s="36">
        <v>775</v>
      </c>
      <c r="B24" s="168" t="s">
        <v>150</v>
      </c>
      <c r="C24" s="169" t="s">
        <v>525</v>
      </c>
      <c r="D24" s="50" t="s">
        <v>526</v>
      </c>
      <c r="E24" s="10" t="s">
        <v>402</v>
      </c>
      <c r="F24" s="144" t="s">
        <v>1110</v>
      </c>
      <c r="G24" s="125" t="s">
        <v>521</v>
      </c>
      <c r="H24" s="164" t="s">
        <v>402</v>
      </c>
      <c r="I24" s="123" t="s">
        <v>402</v>
      </c>
      <c r="J24" s="124">
        <v>0</v>
      </c>
      <c r="K24" s="125" t="s">
        <v>395</v>
      </c>
      <c r="L24" s="165">
        <v>1</v>
      </c>
      <c r="M24" s="29">
        <v>1</v>
      </c>
      <c r="N24" s="1">
        <v>1.2357414268951803</v>
      </c>
      <c r="O24" s="139" t="s">
        <v>1209</v>
      </c>
      <c r="P24" s="165">
        <v>1</v>
      </c>
      <c r="Q24" s="29">
        <v>1</v>
      </c>
      <c r="R24" s="1">
        <v>1.2357414268951803</v>
      </c>
      <c r="S24" s="139" t="s">
        <v>1209</v>
      </c>
      <c r="T24" s="165">
        <v>1</v>
      </c>
      <c r="U24" s="29">
        <v>1</v>
      </c>
      <c r="V24" s="1">
        <v>1.2357414268951803</v>
      </c>
      <c r="W24" s="139" t="s">
        <v>1209</v>
      </c>
      <c r="X24" s="165">
        <v>1</v>
      </c>
      <c r="Y24" s="29">
        <v>1</v>
      </c>
      <c r="Z24" s="1">
        <v>1.2357414268951803</v>
      </c>
      <c r="AA24" s="31" t="s">
        <v>1209</v>
      </c>
    </row>
    <row r="25" spans="1:27" ht="24">
      <c r="A25" s="36">
        <v>825</v>
      </c>
      <c r="B25" s="168" t="s">
        <v>525</v>
      </c>
      <c r="C25" s="169" t="s">
        <v>525</v>
      </c>
      <c r="D25" s="50" t="s">
        <v>526</v>
      </c>
      <c r="E25" s="10" t="s">
        <v>402</v>
      </c>
      <c r="F25" s="144" t="s">
        <v>1213</v>
      </c>
      <c r="G25" s="125" t="s">
        <v>51</v>
      </c>
      <c r="H25" s="164" t="s">
        <v>402</v>
      </c>
      <c r="I25" s="123" t="s">
        <v>402</v>
      </c>
      <c r="J25" s="124">
        <v>0</v>
      </c>
      <c r="K25" s="125" t="s">
        <v>395</v>
      </c>
      <c r="L25" s="165">
        <v>0.01</v>
      </c>
      <c r="M25" s="29">
        <v>1</v>
      </c>
      <c r="N25" s="1">
        <v>1.3643195182095749</v>
      </c>
      <c r="O25" s="139" t="s">
        <v>1214</v>
      </c>
      <c r="P25" s="165">
        <v>0.01</v>
      </c>
      <c r="Q25" s="29">
        <v>1</v>
      </c>
      <c r="R25" s="1">
        <v>1.3643195182095749</v>
      </c>
      <c r="S25" s="139" t="s">
        <v>1214</v>
      </c>
      <c r="T25" s="165">
        <v>0.01</v>
      </c>
      <c r="U25" s="29">
        <v>1</v>
      </c>
      <c r="V25" s="1">
        <v>1.3643195182095749</v>
      </c>
      <c r="W25" s="139" t="s">
        <v>1214</v>
      </c>
      <c r="X25" s="165">
        <v>0.01</v>
      </c>
      <c r="Y25" s="29">
        <v>1</v>
      </c>
      <c r="Z25" s="1">
        <v>1.3643195182095749</v>
      </c>
      <c r="AA25" s="31" t="s">
        <v>1214</v>
      </c>
    </row>
    <row r="26" spans="1:27" ht="24">
      <c r="A26" s="2">
        <v>1239</v>
      </c>
      <c r="B26" s="168" t="s">
        <v>525</v>
      </c>
      <c r="C26" s="169" t="s">
        <v>525</v>
      </c>
      <c r="D26" s="50" t="s">
        <v>526</v>
      </c>
      <c r="E26" s="10" t="s">
        <v>402</v>
      </c>
      <c r="F26" s="144" t="s">
        <v>1215</v>
      </c>
      <c r="G26" s="125" t="s">
        <v>521</v>
      </c>
      <c r="H26" s="164" t="s">
        <v>402</v>
      </c>
      <c r="I26" s="123" t="s">
        <v>402</v>
      </c>
      <c r="J26" s="124">
        <v>0</v>
      </c>
      <c r="K26" s="125" t="s">
        <v>395</v>
      </c>
      <c r="L26" s="165">
        <v>6.6799999999999998E-2</v>
      </c>
      <c r="M26" s="29">
        <v>1</v>
      </c>
      <c r="N26" s="1">
        <v>1.3643195182095749</v>
      </c>
      <c r="O26" s="139" t="s">
        <v>1214</v>
      </c>
      <c r="P26" s="165">
        <v>6.6799999999999998E-2</v>
      </c>
      <c r="Q26" s="29">
        <v>1</v>
      </c>
      <c r="R26" s="1">
        <v>1.3643195182095749</v>
      </c>
      <c r="S26" s="139" t="s">
        <v>1214</v>
      </c>
      <c r="T26" s="165">
        <v>6.6799999999999998E-2</v>
      </c>
      <c r="U26" s="29">
        <v>1</v>
      </c>
      <c r="V26" s="1">
        <v>1.3643195182095749</v>
      </c>
      <c r="W26" s="139" t="s">
        <v>1214</v>
      </c>
      <c r="X26" s="165">
        <v>6.6799999999999998E-2</v>
      </c>
      <c r="Y26" s="29">
        <v>1</v>
      </c>
      <c r="Z26" s="1">
        <v>1.3643195182095749</v>
      </c>
      <c r="AA26" s="31" t="s">
        <v>1214</v>
      </c>
    </row>
    <row r="27" spans="1:27" ht="24">
      <c r="A27" s="2">
        <v>2757</v>
      </c>
      <c r="B27" s="168" t="s">
        <v>525</v>
      </c>
      <c r="C27" s="169" t="s">
        <v>525</v>
      </c>
      <c r="D27" s="50" t="s">
        <v>526</v>
      </c>
      <c r="E27" s="10" t="s">
        <v>402</v>
      </c>
      <c r="F27" s="144" t="s">
        <v>1216</v>
      </c>
      <c r="G27" s="125" t="s">
        <v>521</v>
      </c>
      <c r="H27" s="164" t="s">
        <v>402</v>
      </c>
      <c r="I27" s="123" t="s">
        <v>402</v>
      </c>
      <c r="J27" s="124">
        <v>0</v>
      </c>
      <c r="K27" s="125" t="s">
        <v>395</v>
      </c>
      <c r="L27" s="165">
        <v>0</v>
      </c>
      <c r="M27" s="29">
        <v>1</v>
      </c>
      <c r="N27" s="1">
        <v>1.3643195182095749</v>
      </c>
      <c r="O27" s="139" t="s">
        <v>1214</v>
      </c>
      <c r="P27" s="165">
        <v>0</v>
      </c>
      <c r="Q27" s="29">
        <v>1</v>
      </c>
      <c r="R27" s="1">
        <v>1.3643195182095749</v>
      </c>
      <c r="S27" s="139" t="s">
        <v>1214</v>
      </c>
      <c r="T27" s="165">
        <v>0</v>
      </c>
      <c r="U27" s="29">
        <v>1</v>
      </c>
      <c r="V27" s="1">
        <v>1.3643195182095749</v>
      </c>
      <c r="W27" s="139" t="s">
        <v>1214</v>
      </c>
      <c r="X27" s="165">
        <v>0</v>
      </c>
      <c r="Y27" s="29">
        <v>1</v>
      </c>
      <c r="Z27" s="1">
        <v>1.3643195182095749</v>
      </c>
      <c r="AA27" s="31" t="s">
        <v>1214</v>
      </c>
    </row>
    <row r="28" spans="1:27" ht="24">
      <c r="A28" s="157">
        <v>1183</v>
      </c>
      <c r="B28" s="168" t="s">
        <v>525</v>
      </c>
      <c r="C28" s="169" t="s">
        <v>525</v>
      </c>
      <c r="D28" s="50" t="s">
        <v>526</v>
      </c>
      <c r="E28" s="10" t="s">
        <v>402</v>
      </c>
      <c r="F28" s="144" t="s">
        <v>1217</v>
      </c>
      <c r="G28" s="125" t="s">
        <v>521</v>
      </c>
      <c r="H28" s="164" t="s">
        <v>402</v>
      </c>
      <c r="I28" s="123" t="s">
        <v>402</v>
      </c>
      <c r="J28" s="124">
        <v>0</v>
      </c>
      <c r="K28" s="125" t="s">
        <v>395</v>
      </c>
      <c r="L28" s="165">
        <v>0</v>
      </c>
      <c r="M28" s="29">
        <v>1</v>
      </c>
      <c r="N28" s="1">
        <v>1.3643195182095749</v>
      </c>
      <c r="O28" s="139" t="s">
        <v>1214</v>
      </c>
      <c r="P28" s="165">
        <v>0</v>
      </c>
      <c r="Q28" s="29">
        <v>1</v>
      </c>
      <c r="R28" s="1">
        <v>1.3643195182095749</v>
      </c>
      <c r="S28" s="139" t="s">
        <v>1214</v>
      </c>
      <c r="T28" s="165">
        <v>0</v>
      </c>
      <c r="U28" s="29">
        <v>1</v>
      </c>
      <c r="V28" s="1">
        <v>1.3643195182095749</v>
      </c>
      <c r="W28" s="139" t="s">
        <v>1214</v>
      </c>
      <c r="X28" s="165">
        <v>0</v>
      </c>
      <c r="Y28" s="29">
        <v>1</v>
      </c>
      <c r="Z28" s="1">
        <v>1.3643195182095749</v>
      </c>
      <c r="AA28" s="31" t="s">
        <v>1214</v>
      </c>
    </row>
    <row r="29" spans="1:27" ht="24">
      <c r="A29" s="36">
        <v>1280</v>
      </c>
      <c r="B29" s="168" t="s">
        <v>525</v>
      </c>
      <c r="C29" s="169" t="s">
        <v>525</v>
      </c>
      <c r="D29" s="50" t="s">
        <v>526</v>
      </c>
      <c r="E29" s="10" t="s">
        <v>402</v>
      </c>
      <c r="F29" s="144" t="s">
        <v>1173</v>
      </c>
      <c r="G29" s="125" t="s">
        <v>521</v>
      </c>
      <c r="H29" s="164" t="s">
        <v>402</v>
      </c>
      <c r="I29" s="123" t="s">
        <v>402</v>
      </c>
      <c r="J29" s="124">
        <v>0</v>
      </c>
      <c r="K29" s="125" t="s">
        <v>395</v>
      </c>
      <c r="L29" s="165">
        <v>4.1500000000000002E-2</v>
      </c>
      <c r="M29" s="29">
        <v>1</v>
      </c>
      <c r="N29" s="1">
        <v>1.3643195182095749</v>
      </c>
      <c r="O29" s="139" t="s">
        <v>1214</v>
      </c>
      <c r="P29" s="165">
        <v>4.1500000000000002E-2</v>
      </c>
      <c r="Q29" s="29">
        <v>1</v>
      </c>
      <c r="R29" s="1">
        <v>1.3643195182095749</v>
      </c>
      <c r="S29" s="139" t="s">
        <v>1214</v>
      </c>
      <c r="T29" s="165">
        <v>4.1500000000000002E-2</v>
      </c>
      <c r="U29" s="29">
        <v>1</v>
      </c>
      <c r="V29" s="1">
        <v>1.3643195182095749</v>
      </c>
      <c r="W29" s="139" t="s">
        <v>1214</v>
      </c>
      <c r="X29" s="165">
        <v>4.1500000000000002E-2</v>
      </c>
      <c r="Y29" s="29">
        <v>1</v>
      </c>
      <c r="Z29" s="1">
        <v>1.3643195182095749</v>
      </c>
      <c r="AA29" s="31" t="s">
        <v>1214</v>
      </c>
    </row>
    <row r="30" spans="1:27" ht="24">
      <c r="A30" s="226">
        <v>965</v>
      </c>
      <c r="B30" s="168" t="s">
        <v>525</v>
      </c>
      <c r="C30" s="169" t="s">
        <v>525</v>
      </c>
      <c r="D30" s="50" t="s">
        <v>526</v>
      </c>
      <c r="E30" s="10" t="s">
        <v>402</v>
      </c>
      <c r="F30" s="144" t="s">
        <v>1218</v>
      </c>
      <c r="G30" s="125" t="s">
        <v>393</v>
      </c>
      <c r="H30" s="164" t="s">
        <v>402</v>
      </c>
      <c r="I30" s="123" t="s">
        <v>402</v>
      </c>
      <c r="J30" s="124">
        <v>0</v>
      </c>
      <c r="K30" s="125" t="s">
        <v>395</v>
      </c>
      <c r="L30" s="165">
        <v>0.16700000000000001</v>
      </c>
      <c r="M30" s="29">
        <v>1</v>
      </c>
      <c r="N30" s="1">
        <v>1.2357414268951803</v>
      </c>
      <c r="O30" s="139" t="s">
        <v>1209</v>
      </c>
      <c r="P30" s="165">
        <v>0.16700000000000001</v>
      </c>
      <c r="Q30" s="29">
        <v>1</v>
      </c>
      <c r="R30" s="1">
        <v>1.2357414268951803</v>
      </c>
      <c r="S30" s="139" t="s">
        <v>1209</v>
      </c>
      <c r="T30" s="165">
        <v>0.16700000000000001</v>
      </c>
      <c r="U30" s="29">
        <v>1</v>
      </c>
      <c r="V30" s="1">
        <v>1.2357414268951803</v>
      </c>
      <c r="W30" s="139" t="s">
        <v>1209</v>
      </c>
      <c r="X30" s="165">
        <v>0.16700000000000001</v>
      </c>
      <c r="Y30" s="29">
        <v>1</v>
      </c>
      <c r="Z30" s="1">
        <v>1.2357414268951803</v>
      </c>
      <c r="AA30" s="31" t="s">
        <v>1209</v>
      </c>
    </row>
    <row r="31" spans="1:27" ht="12.75">
      <c r="A31" s="157">
        <v>3115</v>
      </c>
      <c r="B31" s="168" t="s">
        <v>525</v>
      </c>
      <c r="C31" s="169" t="s">
        <v>525</v>
      </c>
      <c r="D31" s="50" t="s">
        <v>526</v>
      </c>
      <c r="E31" s="10" t="s">
        <v>402</v>
      </c>
      <c r="F31" s="144" t="s">
        <v>1219</v>
      </c>
      <c r="G31" s="125" t="s">
        <v>393</v>
      </c>
      <c r="H31" s="164" t="s">
        <v>402</v>
      </c>
      <c r="I31" s="123" t="s">
        <v>402</v>
      </c>
      <c r="J31" s="124">
        <v>0</v>
      </c>
      <c r="K31" s="125" t="s">
        <v>395</v>
      </c>
      <c r="L31" s="165">
        <v>2.2200000000000001E-2</v>
      </c>
      <c r="M31" s="29">
        <v>1</v>
      </c>
      <c r="N31" s="1">
        <v>1.3643195182095749</v>
      </c>
      <c r="O31" s="139" t="s">
        <v>1220</v>
      </c>
      <c r="P31" s="165">
        <v>2.2200000000000001E-2</v>
      </c>
      <c r="Q31" s="29">
        <v>1</v>
      </c>
      <c r="R31" s="1">
        <v>1.3643195182095749</v>
      </c>
      <c r="S31" s="139" t="s">
        <v>1220</v>
      </c>
      <c r="T31" s="165">
        <v>2.2200000000000001E-2</v>
      </c>
      <c r="U31" s="29">
        <v>1</v>
      </c>
      <c r="V31" s="1">
        <v>1.3643195182095749</v>
      </c>
      <c r="W31" s="139" t="s">
        <v>1220</v>
      </c>
      <c r="X31" s="165">
        <v>2.2200000000000001E-2</v>
      </c>
      <c r="Y31" s="29">
        <v>1</v>
      </c>
      <c r="Z31" s="1">
        <v>1.3643195182095749</v>
      </c>
      <c r="AA31" s="31" t="s">
        <v>1220</v>
      </c>
    </row>
    <row r="32" spans="1:27" ht="24">
      <c r="A32" s="157">
        <v>2987</v>
      </c>
      <c r="B32" s="168" t="s">
        <v>152</v>
      </c>
      <c r="C32" s="169" t="s">
        <v>525</v>
      </c>
      <c r="D32" s="50" t="s">
        <v>526</v>
      </c>
      <c r="E32" s="10" t="s">
        <v>402</v>
      </c>
      <c r="F32" s="144" t="s">
        <v>59</v>
      </c>
      <c r="G32" s="125" t="s">
        <v>521</v>
      </c>
      <c r="H32" s="164" t="s">
        <v>402</v>
      </c>
      <c r="I32" s="123" t="s">
        <v>402</v>
      </c>
      <c r="J32" s="124">
        <v>0</v>
      </c>
      <c r="K32" s="125" t="s">
        <v>397</v>
      </c>
      <c r="L32" s="165">
        <v>0.91175000000000006</v>
      </c>
      <c r="M32" s="29">
        <v>1</v>
      </c>
      <c r="N32" s="1">
        <v>2.0949941301068096</v>
      </c>
      <c r="O32" s="139" t="s">
        <v>1221</v>
      </c>
      <c r="P32" s="165">
        <v>0.91175000000000006</v>
      </c>
      <c r="Q32" s="29">
        <v>1</v>
      </c>
      <c r="R32" s="1">
        <v>2.0949941301068096</v>
      </c>
      <c r="S32" s="139" t="s">
        <v>1221</v>
      </c>
      <c r="T32" s="165">
        <v>0.91175000000000006</v>
      </c>
      <c r="U32" s="29">
        <v>1</v>
      </c>
      <c r="V32" s="1">
        <v>2.0949941301068096</v>
      </c>
      <c r="W32" s="139" t="s">
        <v>1221</v>
      </c>
      <c r="X32" s="165">
        <v>0.91175000000000006</v>
      </c>
      <c r="Y32" s="29">
        <v>1</v>
      </c>
      <c r="Z32" s="1">
        <v>2.0949941301068096</v>
      </c>
      <c r="AA32" s="31" t="s">
        <v>1221</v>
      </c>
    </row>
    <row r="33" spans="1:27" ht="24">
      <c r="A33" s="157">
        <v>1841</v>
      </c>
      <c r="B33" s="168" t="s">
        <v>525</v>
      </c>
      <c r="C33" s="169" t="s">
        <v>525</v>
      </c>
      <c r="D33" s="50" t="s">
        <v>526</v>
      </c>
      <c r="E33" s="10" t="s">
        <v>402</v>
      </c>
      <c r="F33" s="144" t="s">
        <v>62</v>
      </c>
      <c r="G33" s="125" t="s">
        <v>521</v>
      </c>
      <c r="H33" s="164" t="s">
        <v>402</v>
      </c>
      <c r="I33" s="123" t="s">
        <v>402</v>
      </c>
      <c r="J33" s="124">
        <v>0</v>
      </c>
      <c r="K33" s="125" t="s">
        <v>397</v>
      </c>
      <c r="L33" s="165">
        <v>1.41</v>
      </c>
      <c r="M33" s="29">
        <v>1</v>
      </c>
      <c r="N33" s="1">
        <v>2.0949941301068096</v>
      </c>
      <c r="O33" s="139" t="s">
        <v>1222</v>
      </c>
      <c r="P33" s="165">
        <v>1.41</v>
      </c>
      <c r="Q33" s="29">
        <v>1</v>
      </c>
      <c r="R33" s="1">
        <v>2.0949941301068096</v>
      </c>
      <c r="S33" s="139" t="s">
        <v>1222</v>
      </c>
      <c r="T33" s="165">
        <v>1.41</v>
      </c>
      <c r="U33" s="29">
        <v>1</v>
      </c>
      <c r="V33" s="1">
        <v>2.0949941301068096</v>
      </c>
      <c r="W33" s="139" t="s">
        <v>1222</v>
      </c>
      <c r="X33" s="165">
        <v>1.41</v>
      </c>
      <c r="Y33" s="29">
        <v>1</v>
      </c>
      <c r="Z33" s="1">
        <v>2.0949941301068096</v>
      </c>
      <c r="AA33" s="31" t="s">
        <v>1222</v>
      </c>
    </row>
    <row r="34" spans="1:27" ht="12.75">
      <c r="A34" s="172">
        <v>3820</v>
      </c>
      <c r="B34" s="168" t="s">
        <v>154</v>
      </c>
      <c r="C34" s="169" t="s">
        <v>525</v>
      </c>
      <c r="D34" s="50" t="s">
        <v>526</v>
      </c>
      <c r="E34" s="10" t="s">
        <v>402</v>
      </c>
      <c r="F34" s="144" t="s">
        <v>1147</v>
      </c>
      <c r="G34" s="125" t="s">
        <v>521</v>
      </c>
      <c r="H34" s="164" t="s">
        <v>402</v>
      </c>
      <c r="I34" s="123" t="s">
        <v>402</v>
      </c>
      <c r="J34" s="124">
        <v>1</v>
      </c>
      <c r="K34" s="125" t="s">
        <v>522</v>
      </c>
      <c r="L34" s="165">
        <v>1.0000000000000001E-11</v>
      </c>
      <c r="M34" s="29">
        <v>1</v>
      </c>
      <c r="N34" s="1">
        <v>3.0492095289625252</v>
      </c>
      <c r="O34" s="139" t="s">
        <v>1223</v>
      </c>
      <c r="P34" s="165">
        <v>1.0000000000000001E-11</v>
      </c>
      <c r="Q34" s="29">
        <v>1</v>
      </c>
      <c r="R34" s="1">
        <v>3.0492095289625252</v>
      </c>
      <c r="S34" s="139" t="s">
        <v>1223</v>
      </c>
      <c r="T34" s="165">
        <v>1.0000000000000001E-11</v>
      </c>
      <c r="U34" s="29">
        <v>1</v>
      </c>
      <c r="V34" s="1">
        <v>3.0492095289625252</v>
      </c>
      <c r="W34" s="139" t="s">
        <v>1223</v>
      </c>
      <c r="X34" s="165">
        <v>1.0000000000000001E-11</v>
      </c>
      <c r="Y34" s="29">
        <v>1</v>
      </c>
      <c r="Z34" s="1">
        <v>3.0492095289625252</v>
      </c>
      <c r="AA34" s="31" t="s">
        <v>1223</v>
      </c>
    </row>
    <row r="35" spans="1:27" ht="24">
      <c r="A35" s="36">
        <v>1406</v>
      </c>
      <c r="B35" s="168" t="s">
        <v>525</v>
      </c>
      <c r="C35" s="169" t="s">
        <v>525</v>
      </c>
      <c r="D35" s="50" t="s">
        <v>526</v>
      </c>
      <c r="E35" s="10" t="s">
        <v>402</v>
      </c>
      <c r="F35" s="144" t="s">
        <v>1224</v>
      </c>
      <c r="G35" s="125" t="s">
        <v>393</v>
      </c>
      <c r="H35" s="164" t="s">
        <v>402</v>
      </c>
      <c r="I35" s="123" t="s">
        <v>402</v>
      </c>
      <c r="J35" s="124">
        <v>0</v>
      </c>
      <c r="K35" s="125" t="s">
        <v>395</v>
      </c>
      <c r="L35" s="165">
        <v>0.16700000000000001</v>
      </c>
      <c r="M35" s="29">
        <v>1</v>
      </c>
      <c r="N35" s="1">
        <v>1.2357414268951803</v>
      </c>
      <c r="O35" s="139" t="s">
        <v>1209</v>
      </c>
      <c r="P35" s="165">
        <v>0.16700000000000001</v>
      </c>
      <c r="Q35" s="29">
        <v>1</v>
      </c>
      <c r="R35" s="1">
        <v>1.2357414268951803</v>
      </c>
      <c r="S35" s="139" t="s">
        <v>1209</v>
      </c>
      <c r="T35" s="165">
        <v>0.16700000000000001</v>
      </c>
      <c r="U35" s="29">
        <v>1</v>
      </c>
      <c r="V35" s="1">
        <v>1.2357414268951803</v>
      </c>
      <c r="W35" s="139" t="s">
        <v>1209</v>
      </c>
      <c r="X35" s="165">
        <v>0.16700000000000001</v>
      </c>
      <c r="Y35" s="29">
        <v>1</v>
      </c>
      <c r="Z35" s="1">
        <v>1.2357414268951803</v>
      </c>
      <c r="AA35" s="31" t="s">
        <v>1209</v>
      </c>
    </row>
    <row r="36" spans="1:27" ht="24">
      <c r="A36" s="214">
        <v>490</v>
      </c>
      <c r="B36" s="168" t="s">
        <v>272</v>
      </c>
      <c r="C36" s="169" t="s">
        <v>525</v>
      </c>
      <c r="D36" s="50" t="s">
        <v>402</v>
      </c>
      <c r="E36" s="10" t="s">
        <v>527</v>
      </c>
      <c r="F36" s="144" t="s">
        <v>324</v>
      </c>
      <c r="G36" s="125" t="s">
        <v>402</v>
      </c>
      <c r="H36" s="164" t="s">
        <v>325</v>
      </c>
      <c r="I36" s="123" t="s">
        <v>685</v>
      </c>
      <c r="J36" s="124" t="s">
        <v>402</v>
      </c>
      <c r="K36" s="125" t="s">
        <v>677</v>
      </c>
      <c r="L36" s="165">
        <v>245.52</v>
      </c>
      <c r="M36" s="29">
        <v>1</v>
      </c>
      <c r="N36" s="1">
        <v>1.2459407899563852</v>
      </c>
      <c r="O36" s="139" t="s">
        <v>1225</v>
      </c>
      <c r="P36" s="165">
        <v>245.52</v>
      </c>
      <c r="Q36" s="29">
        <v>1</v>
      </c>
      <c r="R36" s="1">
        <v>1.2459407899563852</v>
      </c>
      <c r="S36" s="139" t="s">
        <v>1225</v>
      </c>
      <c r="T36" s="165">
        <v>245.52</v>
      </c>
      <c r="U36" s="29">
        <v>1</v>
      </c>
      <c r="V36" s="1">
        <v>1.2459407899563852</v>
      </c>
      <c r="W36" s="139" t="s">
        <v>1225</v>
      </c>
      <c r="X36" s="165">
        <v>245.52</v>
      </c>
      <c r="Y36" s="29">
        <v>1</v>
      </c>
      <c r="Z36" s="1">
        <v>1.2459407899563852</v>
      </c>
      <c r="AA36" s="31" t="s">
        <v>1225</v>
      </c>
    </row>
    <row r="37" spans="1:27" ht="24">
      <c r="A37" s="36">
        <v>2191</v>
      </c>
      <c r="B37" s="168" t="s">
        <v>399</v>
      </c>
      <c r="C37" s="169" t="s">
        <v>525</v>
      </c>
      <c r="D37" s="50" t="s">
        <v>402</v>
      </c>
      <c r="E37" s="10" t="s">
        <v>527</v>
      </c>
      <c r="F37" s="144" t="s">
        <v>6</v>
      </c>
      <c r="G37" s="125" t="s">
        <v>402</v>
      </c>
      <c r="H37" s="164" t="s">
        <v>211</v>
      </c>
      <c r="I37" s="123" t="s">
        <v>212</v>
      </c>
      <c r="J37" s="124" t="s">
        <v>402</v>
      </c>
      <c r="K37" s="125" t="s">
        <v>395</v>
      </c>
      <c r="L37" s="165">
        <v>0</v>
      </c>
      <c r="M37" s="29">
        <v>1</v>
      </c>
      <c r="N37" s="1">
        <v>3.0832415764523264</v>
      </c>
      <c r="O37" s="139" t="s">
        <v>1226</v>
      </c>
      <c r="P37" s="165">
        <v>0</v>
      </c>
      <c r="Q37" s="29">
        <v>1</v>
      </c>
      <c r="R37" s="1">
        <v>3.0832415764523264</v>
      </c>
      <c r="S37" s="139" t="s">
        <v>1226</v>
      </c>
      <c r="T37" s="165">
        <v>0</v>
      </c>
      <c r="U37" s="29">
        <v>1</v>
      </c>
      <c r="V37" s="1">
        <v>3.0832415764523264</v>
      </c>
      <c r="W37" s="139" t="s">
        <v>1226</v>
      </c>
      <c r="X37" s="165">
        <v>0</v>
      </c>
      <c r="Y37" s="29">
        <v>1</v>
      </c>
      <c r="Z37" s="1">
        <v>3.0832415764523264</v>
      </c>
      <c r="AA37" s="31" t="s">
        <v>1226</v>
      </c>
    </row>
    <row r="38" spans="1:27" ht="24">
      <c r="A38" s="36">
        <v>2281</v>
      </c>
      <c r="B38" s="168" t="s">
        <v>525</v>
      </c>
      <c r="C38" s="169" t="s">
        <v>525</v>
      </c>
      <c r="D38" s="50" t="s">
        <v>402</v>
      </c>
      <c r="E38" s="10" t="s">
        <v>527</v>
      </c>
      <c r="F38" s="144" t="s">
        <v>7</v>
      </c>
      <c r="G38" s="125" t="s">
        <v>402</v>
      </c>
      <c r="H38" s="164" t="s">
        <v>211</v>
      </c>
      <c r="I38" s="123" t="s">
        <v>212</v>
      </c>
      <c r="J38" s="124" t="s">
        <v>402</v>
      </c>
      <c r="K38" s="125" t="s">
        <v>395</v>
      </c>
      <c r="L38" s="165">
        <v>0</v>
      </c>
      <c r="M38" s="29">
        <v>1</v>
      </c>
      <c r="N38" s="1">
        <v>3.0832415764523264</v>
      </c>
      <c r="O38" s="139" t="s">
        <v>1226</v>
      </c>
      <c r="P38" s="165">
        <v>0</v>
      </c>
      <c r="Q38" s="29">
        <v>1</v>
      </c>
      <c r="R38" s="1">
        <v>3.0832415764523264</v>
      </c>
      <c r="S38" s="139" t="s">
        <v>1226</v>
      </c>
      <c r="T38" s="165">
        <v>0</v>
      </c>
      <c r="U38" s="29">
        <v>1</v>
      </c>
      <c r="V38" s="1">
        <v>3.0832415764523264</v>
      </c>
      <c r="W38" s="139" t="s">
        <v>1226</v>
      </c>
      <c r="X38" s="165">
        <v>0</v>
      </c>
      <c r="Y38" s="29">
        <v>1</v>
      </c>
      <c r="Z38" s="1">
        <v>3.0832415764523264</v>
      </c>
      <c r="AA38" s="31" t="s">
        <v>1226</v>
      </c>
    </row>
    <row r="39" spans="1:27" ht="24">
      <c r="A39" s="36">
        <v>2308</v>
      </c>
      <c r="B39" s="168" t="s">
        <v>525</v>
      </c>
      <c r="C39" s="169" t="s">
        <v>525</v>
      </c>
      <c r="D39" s="50" t="s">
        <v>402</v>
      </c>
      <c r="E39" s="10" t="s">
        <v>527</v>
      </c>
      <c r="F39" s="144" t="s">
        <v>8</v>
      </c>
      <c r="G39" s="125" t="s">
        <v>402</v>
      </c>
      <c r="H39" s="164" t="s">
        <v>211</v>
      </c>
      <c r="I39" s="123" t="s">
        <v>212</v>
      </c>
      <c r="J39" s="124" t="s">
        <v>402</v>
      </c>
      <c r="K39" s="125" t="s">
        <v>395</v>
      </c>
      <c r="L39" s="165">
        <v>0.36669435215946838</v>
      </c>
      <c r="M39" s="29">
        <v>1</v>
      </c>
      <c r="N39" s="1">
        <v>3.0832415764523264</v>
      </c>
      <c r="O39" s="139" t="s">
        <v>1226</v>
      </c>
      <c r="P39" s="165">
        <v>0.36669435215946838</v>
      </c>
      <c r="Q39" s="29">
        <v>1</v>
      </c>
      <c r="R39" s="1">
        <v>3.0832415764523264</v>
      </c>
      <c r="S39" s="139" t="s">
        <v>1226</v>
      </c>
      <c r="T39" s="165">
        <v>0.36669435215946838</v>
      </c>
      <c r="U39" s="29">
        <v>1</v>
      </c>
      <c r="V39" s="1">
        <v>3.0832415764523264</v>
      </c>
      <c r="W39" s="139" t="s">
        <v>1226</v>
      </c>
      <c r="X39" s="165">
        <v>0.36669435215946838</v>
      </c>
      <c r="Y39" s="29">
        <v>1</v>
      </c>
      <c r="Z39" s="1">
        <v>3.0832415764523264</v>
      </c>
      <c r="AA39" s="31" t="s">
        <v>1226</v>
      </c>
    </row>
    <row r="40" spans="1:27" ht="24">
      <c r="A40" s="54">
        <v>3325</v>
      </c>
      <c r="B40" s="168" t="s">
        <v>525</v>
      </c>
      <c r="C40" s="169" t="s">
        <v>525</v>
      </c>
      <c r="D40" s="50" t="s">
        <v>402</v>
      </c>
      <c r="E40" s="10" t="s">
        <v>527</v>
      </c>
      <c r="F40" s="144" t="s">
        <v>3</v>
      </c>
      <c r="G40" s="125" t="s">
        <v>402</v>
      </c>
      <c r="H40" s="164" t="s">
        <v>211</v>
      </c>
      <c r="I40" s="123" t="s">
        <v>212</v>
      </c>
      <c r="J40" s="124" t="s">
        <v>402</v>
      </c>
      <c r="K40" s="125" t="s">
        <v>395</v>
      </c>
      <c r="L40" s="165">
        <v>0</v>
      </c>
      <c r="M40" s="29">
        <v>1</v>
      </c>
      <c r="N40" s="1">
        <v>3.0832415764523264</v>
      </c>
      <c r="O40" s="139" t="s">
        <v>1226</v>
      </c>
      <c r="P40" s="165">
        <v>0</v>
      </c>
      <c r="Q40" s="29">
        <v>1</v>
      </c>
      <c r="R40" s="1">
        <v>3.0832415764523264</v>
      </c>
      <c r="S40" s="139" t="s">
        <v>1226</v>
      </c>
      <c r="T40" s="165">
        <v>0</v>
      </c>
      <c r="U40" s="29">
        <v>1</v>
      </c>
      <c r="V40" s="1">
        <v>3.0832415764523264</v>
      </c>
      <c r="W40" s="139" t="s">
        <v>1226</v>
      </c>
      <c r="X40" s="165">
        <v>0</v>
      </c>
      <c r="Y40" s="29">
        <v>1</v>
      </c>
      <c r="Z40" s="1">
        <v>3.0832415764523264</v>
      </c>
      <c r="AA40" s="31" t="s">
        <v>1226</v>
      </c>
    </row>
    <row r="41" spans="1:27">
      <c r="A41" s="54"/>
      <c r="B41" s="231" t="s">
        <v>525</v>
      </c>
      <c r="C41" s="232" t="s">
        <v>525</v>
      </c>
      <c r="D41" s="233" t="s">
        <v>402</v>
      </c>
      <c r="E41" s="234" t="s">
        <v>527</v>
      </c>
      <c r="F41" s="235" t="s">
        <v>683</v>
      </c>
      <c r="G41" s="236" t="s">
        <v>402</v>
      </c>
      <c r="H41" s="237" t="s">
        <v>211</v>
      </c>
      <c r="I41" s="237" t="s">
        <v>212</v>
      </c>
      <c r="J41" s="234" t="s">
        <v>402</v>
      </c>
      <c r="K41" s="236" t="s">
        <v>395</v>
      </c>
      <c r="L41" s="165">
        <v>0.13034372152742249</v>
      </c>
      <c r="M41" s="29">
        <v>1</v>
      </c>
      <c r="N41" s="1">
        <v>3.225367609015227</v>
      </c>
      <c r="O41" s="139" t="s">
        <v>1227</v>
      </c>
      <c r="P41" s="165">
        <v>0.13034372152742249</v>
      </c>
      <c r="Q41" s="29">
        <v>1</v>
      </c>
      <c r="R41" s="1">
        <v>3.225367609015227</v>
      </c>
      <c r="S41" s="139" t="s">
        <v>1227</v>
      </c>
      <c r="T41" s="165">
        <v>0.13034372152742249</v>
      </c>
      <c r="U41" s="29">
        <v>1</v>
      </c>
      <c r="V41" s="1">
        <v>3.225367609015227</v>
      </c>
      <c r="W41" s="139" t="s">
        <v>1227</v>
      </c>
      <c r="X41" s="165">
        <v>0.13034372152742249</v>
      </c>
      <c r="Y41" s="29">
        <v>1</v>
      </c>
      <c r="Z41" s="1">
        <v>3.225367609015227</v>
      </c>
      <c r="AA41" s="31" t="s">
        <v>1227</v>
      </c>
    </row>
    <row r="42" spans="1:27">
      <c r="A42" s="54"/>
      <c r="B42" s="231" t="s">
        <v>525</v>
      </c>
      <c r="C42" s="232" t="s">
        <v>525</v>
      </c>
      <c r="D42" s="233" t="s">
        <v>402</v>
      </c>
      <c r="E42" s="234" t="s">
        <v>527</v>
      </c>
      <c r="F42" s="235" t="s">
        <v>213</v>
      </c>
      <c r="G42" s="236" t="s">
        <v>402</v>
      </c>
      <c r="H42" s="237" t="s">
        <v>211</v>
      </c>
      <c r="I42" s="237" t="s">
        <v>212</v>
      </c>
      <c r="J42" s="234" t="s">
        <v>402</v>
      </c>
      <c r="K42" s="236" t="s">
        <v>395</v>
      </c>
      <c r="L42" s="165">
        <v>0.13034372152742249</v>
      </c>
      <c r="M42" s="29">
        <v>1</v>
      </c>
      <c r="N42" s="1">
        <v>3.225367609015227</v>
      </c>
      <c r="O42" s="139" t="s">
        <v>1227</v>
      </c>
      <c r="P42" s="165">
        <v>0.13034372152742249</v>
      </c>
      <c r="Q42" s="29">
        <v>1</v>
      </c>
      <c r="R42" s="1">
        <v>3.225367609015227</v>
      </c>
      <c r="S42" s="139" t="s">
        <v>1227</v>
      </c>
      <c r="T42" s="165">
        <v>0.13034372152742249</v>
      </c>
      <c r="U42" s="29">
        <v>1</v>
      </c>
      <c r="V42" s="1">
        <v>3.225367609015227</v>
      </c>
      <c r="W42" s="139" t="s">
        <v>1227</v>
      </c>
      <c r="X42" s="165">
        <v>0.13034372152742249</v>
      </c>
      <c r="Y42" s="29">
        <v>1</v>
      </c>
      <c r="Z42" s="1">
        <v>3.225367609015227</v>
      </c>
      <c r="AA42" s="31" t="s">
        <v>1227</v>
      </c>
    </row>
    <row r="43" spans="1:27">
      <c r="A43" s="54"/>
      <c r="B43" s="231" t="s">
        <v>525</v>
      </c>
      <c r="C43" s="232" t="s">
        <v>525</v>
      </c>
      <c r="D43" s="233" t="s">
        <v>402</v>
      </c>
      <c r="E43" s="234" t="s">
        <v>527</v>
      </c>
      <c r="F43" s="235" t="s">
        <v>684</v>
      </c>
      <c r="G43" s="236" t="s">
        <v>402</v>
      </c>
      <c r="H43" s="237" t="s">
        <v>211</v>
      </c>
      <c r="I43" s="237" t="s">
        <v>212</v>
      </c>
      <c r="J43" s="234" t="s">
        <v>402</v>
      </c>
      <c r="K43" s="236" t="s">
        <v>395</v>
      </c>
      <c r="L43" s="165">
        <v>4.0475236351300653E-2</v>
      </c>
      <c r="M43" s="29">
        <v>1</v>
      </c>
      <c r="N43" s="1">
        <v>3.225367609015227</v>
      </c>
      <c r="O43" s="139" t="s">
        <v>1227</v>
      </c>
      <c r="P43" s="165">
        <v>4.0475236351300653E-2</v>
      </c>
      <c r="Q43" s="29">
        <v>1</v>
      </c>
      <c r="R43" s="1">
        <v>3.225367609015227</v>
      </c>
      <c r="S43" s="139" t="s">
        <v>1227</v>
      </c>
      <c r="T43" s="165">
        <v>4.0475236351300653E-2</v>
      </c>
      <c r="U43" s="29">
        <v>1</v>
      </c>
      <c r="V43" s="1">
        <v>3.225367609015227</v>
      </c>
      <c r="W43" s="139" t="s">
        <v>1227</v>
      </c>
      <c r="X43" s="165">
        <v>4.0475236351300653E-2</v>
      </c>
      <c r="Y43" s="29">
        <v>1</v>
      </c>
      <c r="Z43" s="1">
        <v>3.225367609015227</v>
      </c>
      <c r="AA43" s="31" t="s">
        <v>1227</v>
      </c>
    </row>
    <row r="44" spans="1:27">
      <c r="A44" s="54"/>
      <c r="B44" s="231" t="s">
        <v>525</v>
      </c>
      <c r="C44" s="232" t="s">
        <v>525</v>
      </c>
      <c r="D44" s="233" t="s">
        <v>402</v>
      </c>
      <c r="E44" s="234" t="s">
        <v>527</v>
      </c>
      <c r="F44" s="235" t="s">
        <v>214</v>
      </c>
      <c r="G44" s="236" t="s">
        <v>402</v>
      </c>
      <c r="H44" s="237" t="s">
        <v>211</v>
      </c>
      <c r="I44" s="237" t="s">
        <v>212</v>
      </c>
      <c r="J44" s="234" t="s">
        <v>402</v>
      </c>
      <c r="K44" s="236" t="s">
        <v>395</v>
      </c>
      <c r="L44" s="165">
        <v>4.0475236351300653E-2</v>
      </c>
      <c r="M44" s="29">
        <v>1</v>
      </c>
      <c r="N44" s="1">
        <v>3.225367609015227</v>
      </c>
      <c r="O44" s="139" t="s">
        <v>1227</v>
      </c>
      <c r="P44" s="165">
        <v>4.0475236351300653E-2</v>
      </c>
      <c r="Q44" s="29">
        <v>1</v>
      </c>
      <c r="R44" s="1">
        <v>3.225367609015227</v>
      </c>
      <c r="S44" s="139" t="s">
        <v>1227</v>
      </c>
      <c r="T44" s="165">
        <v>4.0475236351300653E-2</v>
      </c>
      <c r="U44" s="29">
        <v>1</v>
      </c>
      <c r="V44" s="1">
        <v>3.225367609015227</v>
      </c>
      <c r="W44" s="139" t="s">
        <v>1227</v>
      </c>
      <c r="X44" s="165">
        <v>4.0475236351300653E-2</v>
      </c>
      <c r="Y44" s="29">
        <v>1</v>
      </c>
      <c r="Z44" s="1">
        <v>3.225367609015227</v>
      </c>
      <c r="AA44" s="31" t="s">
        <v>1227</v>
      </c>
    </row>
    <row r="45" spans="1:27" ht="24">
      <c r="A45" s="36">
        <v>2578</v>
      </c>
      <c r="B45" s="168" t="s">
        <v>525</v>
      </c>
      <c r="C45" s="169" t="s">
        <v>525</v>
      </c>
      <c r="D45" s="50" t="s">
        <v>402</v>
      </c>
      <c r="E45" s="10" t="s">
        <v>527</v>
      </c>
      <c r="F45" s="144" t="s">
        <v>333</v>
      </c>
      <c r="G45" s="125" t="s">
        <v>402</v>
      </c>
      <c r="H45" s="164" t="s">
        <v>211</v>
      </c>
      <c r="I45" s="123" t="s">
        <v>212</v>
      </c>
      <c r="J45" s="124" t="s">
        <v>402</v>
      </c>
      <c r="K45" s="125" t="s">
        <v>395</v>
      </c>
      <c r="L45" s="165">
        <v>0</v>
      </c>
      <c r="M45" s="29">
        <v>1</v>
      </c>
      <c r="N45" s="1">
        <v>1.6074425446378071</v>
      </c>
      <c r="O45" s="139" t="s">
        <v>1228</v>
      </c>
      <c r="P45" s="165">
        <v>0</v>
      </c>
      <c r="Q45" s="29">
        <v>1</v>
      </c>
      <c r="R45" s="1">
        <v>1.6074425446378071</v>
      </c>
      <c r="S45" s="139" t="s">
        <v>1228</v>
      </c>
      <c r="T45" s="165">
        <v>0</v>
      </c>
      <c r="U45" s="29">
        <v>1</v>
      </c>
      <c r="V45" s="1">
        <v>1.6074425446378071</v>
      </c>
      <c r="W45" s="139" t="s">
        <v>1228</v>
      </c>
      <c r="X45" s="165">
        <v>0</v>
      </c>
      <c r="Y45" s="29">
        <v>1</v>
      </c>
      <c r="Z45" s="1">
        <v>1.6074425446378071</v>
      </c>
      <c r="AA45" s="31" t="s">
        <v>1228</v>
      </c>
    </row>
    <row r="46" spans="1:27" s="689" customFormat="1" ht="24">
      <c r="A46" s="690">
        <v>826</v>
      </c>
      <c r="B46" s="671" t="s">
        <v>525</v>
      </c>
      <c r="C46" s="672" t="s">
        <v>525</v>
      </c>
      <c r="D46" s="673" t="s">
        <v>402</v>
      </c>
      <c r="E46" s="674" t="s">
        <v>527</v>
      </c>
      <c r="F46" s="675" t="s">
        <v>996</v>
      </c>
      <c r="G46" s="676" t="s">
        <v>402</v>
      </c>
      <c r="H46" s="677" t="s">
        <v>325</v>
      </c>
      <c r="I46" s="678" t="s">
        <v>685</v>
      </c>
      <c r="J46" s="679" t="s">
        <v>402</v>
      </c>
      <c r="K46" s="676" t="s">
        <v>395</v>
      </c>
      <c r="L46" s="680">
        <v>3.3849999999999998E-2</v>
      </c>
      <c r="M46" s="681">
        <v>1</v>
      </c>
      <c r="N46" s="682">
        <v>1.6074425446378071</v>
      </c>
      <c r="O46" s="683" t="s">
        <v>1226</v>
      </c>
      <c r="P46" s="680">
        <v>3.3849999999999998E-2</v>
      </c>
      <c r="Q46" s="681">
        <v>1</v>
      </c>
      <c r="R46" s="682">
        <v>1.6074425446378071</v>
      </c>
      <c r="S46" s="683" t="s">
        <v>1226</v>
      </c>
      <c r="T46" s="680">
        <v>3.3849999999999998E-2</v>
      </c>
      <c r="U46" s="681">
        <v>1</v>
      </c>
      <c r="V46" s="682">
        <v>1.6074425446378071</v>
      </c>
      <c r="W46" s="683" t="s">
        <v>1226</v>
      </c>
      <c r="X46" s="680">
        <v>3.3849999999999998E-2</v>
      </c>
      <c r="Y46" s="681">
        <v>1</v>
      </c>
      <c r="Z46" s="682">
        <v>1.6074425446378071</v>
      </c>
      <c r="AA46" s="684" t="s">
        <v>1226</v>
      </c>
    </row>
    <row r="47" spans="1:27" s="689" customFormat="1" ht="24">
      <c r="A47" s="691">
        <v>2560</v>
      </c>
      <c r="B47" s="671" t="s">
        <v>525</v>
      </c>
      <c r="C47" s="672" t="s">
        <v>525</v>
      </c>
      <c r="D47" s="673" t="s">
        <v>402</v>
      </c>
      <c r="E47" s="674" t="s">
        <v>527</v>
      </c>
      <c r="F47" s="675" t="s">
        <v>9</v>
      </c>
      <c r="G47" s="676" t="s">
        <v>402</v>
      </c>
      <c r="H47" s="677" t="s">
        <v>211</v>
      </c>
      <c r="I47" s="678" t="s">
        <v>212</v>
      </c>
      <c r="J47" s="679" t="s">
        <v>402</v>
      </c>
      <c r="K47" s="676" t="s">
        <v>395</v>
      </c>
      <c r="L47" s="680">
        <v>8.3500000000000005E-2</v>
      </c>
      <c r="M47" s="681">
        <v>1</v>
      </c>
      <c r="N47" s="682">
        <v>1.6074425446378071</v>
      </c>
      <c r="O47" s="683" t="s">
        <v>1226</v>
      </c>
      <c r="P47" s="680">
        <v>8.3500000000000005E-2</v>
      </c>
      <c r="Q47" s="681">
        <v>1</v>
      </c>
      <c r="R47" s="682">
        <v>1.6074425446378071</v>
      </c>
      <c r="S47" s="683" t="s">
        <v>1226</v>
      </c>
      <c r="T47" s="680">
        <v>8.3500000000000005E-2</v>
      </c>
      <c r="U47" s="681">
        <v>1</v>
      </c>
      <c r="V47" s="682">
        <v>1.6074425446378071</v>
      </c>
      <c r="W47" s="683" t="s">
        <v>1226</v>
      </c>
      <c r="X47" s="680">
        <v>8.3500000000000005E-2</v>
      </c>
      <c r="Y47" s="681">
        <v>1</v>
      </c>
      <c r="Z47" s="682">
        <v>1.6074425446378071</v>
      </c>
      <c r="AA47" s="684" t="s">
        <v>1226</v>
      </c>
    </row>
    <row r="49" spans="1:27" s="689" customFormat="1" ht="24">
      <c r="A49" s="670" t="s">
        <v>1127</v>
      </c>
      <c r="B49" s="671"/>
      <c r="C49" s="672" t="s">
        <v>525</v>
      </c>
      <c r="D49" s="673" t="s">
        <v>526</v>
      </c>
      <c r="E49" s="674" t="s">
        <v>402</v>
      </c>
      <c r="F49" s="675" t="e">
        <v>#N/A</v>
      </c>
      <c r="G49" s="676" t="e">
        <v>#N/A</v>
      </c>
      <c r="H49" s="677" t="s">
        <v>402</v>
      </c>
      <c r="I49" s="678" t="s">
        <v>402</v>
      </c>
      <c r="J49" s="679" t="e">
        <v>#N/A</v>
      </c>
      <c r="K49" s="676" t="e">
        <v>#N/A</v>
      </c>
      <c r="L49" s="680">
        <v>0.26100000000000001</v>
      </c>
      <c r="M49" s="681">
        <v>1</v>
      </c>
      <c r="N49" s="682" t="e">
        <v>#N/A</v>
      </c>
      <c r="O49" s="683" t="s">
        <v>1209</v>
      </c>
      <c r="P49" s="680">
        <v>0.26100000000000001</v>
      </c>
      <c r="Q49" s="681">
        <v>1</v>
      </c>
      <c r="R49" s="682" t="e">
        <v>#N/A</v>
      </c>
      <c r="S49" s="683" t="s">
        <v>1209</v>
      </c>
      <c r="T49" s="680">
        <v>0.26100000000000001</v>
      </c>
      <c r="U49" s="681">
        <v>1</v>
      </c>
      <c r="V49" s="682" t="e">
        <v>#N/A</v>
      </c>
      <c r="W49" s="683" t="s">
        <v>1209</v>
      </c>
      <c r="X49" s="680">
        <v>0.26100000000000001</v>
      </c>
      <c r="Y49" s="681">
        <v>1</v>
      </c>
      <c r="Z49" s="682" t="e">
        <v>#N/A</v>
      </c>
      <c r="AA49" s="684" t="s">
        <v>1209</v>
      </c>
    </row>
    <row r="50" spans="1:27">
      <c r="B50" s="7"/>
      <c r="C50" s="7"/>
      <c r="F50" s="7"/>
      <c r="M50" s="7"/>
      <c r="N50" s="7"/>
      <c r="O50" s="608"/>
      <c r="Q50" s="7"/>
      <c r="R50" s="7"/>
      <c r="S50" s="608"/>
      <c r="U50" s="7"/>
      <c r="V50" s="7"/>
      <c r="W50" s="608"/>
      <c r="Y50" s="7"/>
      <c r="Z50" s="7"/>
      <c r="AA50" s="7"/>
    </row>
    <row r="51" spans="1:27">
      <c r="B51" s="7"/>
      <c r="C51" s="7"/>
      <c r="F51" s="7"/>
      <c r="M51" s="7"/>
      <c r="N51" s="7"/>
      <c r="O51" s="608"/>
      <c r="Q51" s="7"/>
      <c r="R51" s="7"/>
      <c r="S51" s="608"/>
      <c r="U51" s="7"/>
      <c r="V51" s="7"/>
      <c r="W51" s="608"/>
      <c r="Y51" s="7"/>
      <c r="Z51" s="7"/>
      <c r="AA51" s="7"/>
    </row>
    <row r="52" spans="1:27">
      <c r="B52" s="7"/>
      <c r="C52" s="7"/>
      <c r="F52" s="7"/>
      <c r="M52" s="7"/>
      <c r="N52" s="7"/>
      <c r="O52" s="608"/>
      <c r="Q52" s="7"/>
      <c r="R52" s="7"/>
      <c r="S52" s="608"/>
      <c r="U52" s="7"/>
      <c r="V52" s="7"/>
      <c r="W52" s="608"/>
      <c r="Y52" s="7"/>
      <c r="Z52" s="7"/>
      <c r="AA52" s="7"/>
    </row>
    <row r="53" spans="1:27">
      <c r="B53" s="7"/>
      <c r="C53" s="7"/>
      <c r="F53" s="7"/>
      <c r="M53" s="7"/>
      <c r="N53" s="7"/>
      <c r="O53" s="608"/>
      <c r="Q53" s="7"/>
      <c r="R53" s="7"/>
      <c r="S53" s="608"/>
      <c r="U53" s="7"/>
      <c r="V53" s="7"/>
      <c r="W53" s="608"/>
      <c r="Y53" s="7"/>
      <c r="Z53" s="7"/>
      <c r="AA53" s="7"/>
    </row>
    <row r="54" spans="1:27">
      <c r="B54" s="7"/>
      <c r="C54" s="7"/>
      <c r="F54" s="7"/>
      <c r="M54" s="7"/>
      <c r="N54" s="7"/>
      <c r="O54" s="608"/>
      <c r="Q54" s="7"/>
      <c r="R54" s="7"/>
      <c r="S54" s="608"/>
      <c r="U54" s="7"/>
      <c r="V54" s="7"/>
      <c r="W54" s="608"/>
      <c r="Y54" s="7"/>
      <c r="Z54" s="7"/>
      <c r="AA54" s="7"/>
    </row>
    <row r="55" spans="1:27">
      <c r="B55" s="7"/>
      <c r="C55" s="7"/>
      <c r="F55" s="7"/>
      <c r="M55" s="7"/>
      <c r="N55" s="7"/>
      <c r="O55" s="608"/>
      <c r="Q55" s="7"/>
      <c r="R55" s="7"/>
      <c r="S55" s="608"/>
      <c r="U55" s="7"/>
      <c r="V55" s="7"/>
      <c r="W55" s="608"/>
      <c r="Y55" s="7"/>
      <c r="Z55" s="7"/>
      <c r="AA55" s="7"/>
    </row>
    <row r="56" spans="1:27">
      <c r="B56" s="7"/>
      <c r="C56" s="7"/>
      <c r="F56" s="7"/>
      <c r="M56" s="7"/>
      <c r="N56" s="7"/>
      <c r="O56" s="608"/>
      <c r="Q56" s="7"/>
      <c r="R56" s="7"/>
      <c r="S56" s="608"/>
      <c r="U56" s="7"/>
      <c r="V56" s="7"/>
      <c r="W56" s="608"/>
      <c r="Y56" s="7"/>
      <c r="Z56" s="7"/>
      <c r="AA56" s="7"/>
    </row>
    <row r="57" spans="1:27">
      <c r="B57" s="7"/>
      <c r="C57" s="7"/>
      <c r="F57" s="7"/>
      <c r="M57" s="7"/>
      <c r="N57" s="7"/>
      <c r="O57" s="608"/>
      <c r="Q57" s="7"/>
      <c r="R57" s="7"/>
      <c r="S57" s="608"/>
      <c r="U57" s="7"/>
      <c r="V57" s="7"/>
      <c r="W57" s="608"/>
      <c r="Y57" s="7"/>
      <c r="Z57" s="7"/>
      <c r="AA57" s="7"/>
    </row>
  </sheetData>
  <phoneticPr fontId="0" type="noConversion"/>
  <dataValidations disablePrompts="1" xWindow="19" yWindow="189" count="1">
    <dataValidation allowBlank="1" showInputMessage="1" showErrorMessage="1" prompt="always 1" sqref="X7:X10 T7:T10 P7:P10 L7:L10"/>
  </dataValidations>
  <pageMargins left="0.78740157499999996" right="0.78740157499999996" top="0.984251969" bottom="0.984251969" header="0.4921259845" footer="0.4921259845"/>
  <pageSetup paperSize="9" scale="49" orientation="landscape" r:id="rId1"/>
  <headerFooter alignWithMargins="0">
    <oddHeader>&amp;A</oddHeader>
    <oddFooter>&amp;L&amp;D&amp;C&amp;F</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6">
    <pageSetUpPr fitToPage="1"/>
  </sheetPr>
  <dimension ref="A1:AA78"/>
  <sheetViews>
    <sheetView zoomScale="85" zoomScaleNormal="85" workbookViewId="0">
      <pane xSplit="24" ySplit="6" topLeftCell="Y19" activePane="bottomRight" state="frozen"/>
      <selection activeCell="J46" sqref="J46"/>
      <selection pane="topRight" activeCell="J46" sqref="J46"/>
      <selection pane="bottomLeft" activeCell="J46" sqref="J46"/>
      <selection pane="bottomRight" activeCell="J46" sqref="J46"/>
    </sheetView>
  </sheetViews>
  <sheetFormatPr defaultColWidth="11.42578125" defaultRowHeight="12" outlineLevelCol="1"/>
  <cols>
    <col min="1" max="1" width="9.28515625" style="7" customWidth="1"/>
    <col min="2" max="2" width="15" style="158" bestFit="1" customWidth="1"/>
    <col min="3" max="3" width="3.7109375" style="159" hidden="1" customWidth="1" outlineLevel="1"/>
    <col min="4" max="4" width="3.140625" style="7" hidden="1" customWidth="1" outlineLevel="1"/>
    <col min="5" max="5" width="2.7109375" style="7" hidden="1" customWidth="1" outlineLevel="1"/>
    <col min="6" max="6" width="43.140625" style="8" bestFit="1" customWidth="1" collapsed="1"/>
    <col min="7" max="7" width="6" style="7" customWidth="1"/>
    <col min="8" max="8" width="5.7109375" style="7" hidden="1" customWidth="1" outlineLevel="1"/>
    <col min="9" max="9" width="19.42578125" style="7" hidden="1" customWidth="1" outlineLevel="1"/>
    <col min="10" max="10" width="4.140625" style="7" bestFit="1" customWidth="1" collapsed="1"/>
    <col min="11" max="11" width="5.140625" style="7" customWidth="1"/>
    <col min="12" max="12" width="12.5703125" style="7" customWidth="1"/>
    <col min="13" max="13" width="2.42578125" style="32" hidden="1" customWidth="1" outlineLevel="1"/>
    <col min="14" max="14" width="7.42578125" style="32" hidden="1" customWidth="1" outlineLevel="1"/>
    <col min="15" max="15" width="31.140625" style="140" hidden="1" customWidth="1" outlineLevel="1"/>
    <col min="16" max="16" width="12.5703125" style="7" customWidth="1" collapsed="1"/>
    <col min="17" max="17" width="2.42578125" style="32" hidden="1" customWidth="1" outlineLevel="1"/>
    <col min="18" max="18" width="7.42578125" style="32" hidden="1" customWidth="1" outlineLevel="1"/>
    <col min="19" max="19" width="31.140625" style="140" hidden="1" customWidth="1" outlineLevel="1"/>
    <col min="20" max="20" width="12.5703125" style="7" customWidth="1" collapsed="1"/>
    <col min="21" max="21" width="2.42578125" style="32" hidden="1" customWidth="1" outlineLevel="1"/>
    <col min="22" max="22" width="7.42578125" style="32" hidden="1" customWidth="1" outlineLevel="1"/>
    <col min="23" max="23" width="57" style="33" hidden="1" customWidth="1" outlineLevel="1"/>
    <col min="24" max="24" width="12.5703125" style="7" customWidth="1" collapsed="1"/>
    <col min="25" max="25" width="3" style="32" customWidth="1" outlineLevel="1"/>
    <col min="26" max="26" width="9.42578125" style="32" customWidth="1" outlineLevel="1"/>
    <col min="27" max="27" width="36.42578125" style="33" customWidth="1" outlineLevel="1"/>
    <col min="28" max="16384" width="11.42578125" style="7"/>
  </cols>
  <sheetData>
    <row r="1" spans="1:27">
      <c r="A1" s="36"/>
      <c r="B1" s="34"/>
      <c r="C1" s="35"/>
      <c r="D1" s="36"/>
      <c r="E1" s="36"/>
      <c r="F1" s="37" t="s">
        <v>510</v>
      </c>
      <c r="G1" s="36"/>
      <c r="H1" s="36"/>
      <c r="I1" s="36"/>
      <c r="J1" s="36"/>
      <c r="K1" s="36"/>
      <c r="L1" s="146" t="s">
        <v>756</v>
      </c>
      <c r="M1" s="22"/>
      <c r="N1" s="22"/>
      <c r="O1" s="22"/>
      <c r="P1" s="615" t="s">
        <v>878</v>
      </c>
      <c r="Q1" s="22"/>
      <c r="R1" s="22"/>
      <c r="S1" s="22"/>
      <c r="T1" s="615" t="s">
        <v>879</v>
      </c>
      <c r="U1" s="22"/>
      <c r="V1" s="22"/>
      <c r="W1" s="22"/>
      <c r="X1" s="146">
        <v>4841</v>
      </c>
      <c r="Y1" s="22"/>
      <c r="Z1" s="22"/>
      <c r="AA1" s="324"/>
    </row>
    <row r="2" spans="1:27">
      <c r="A2" s="36"/>
      <c r="B2" s="147"/>
      <c r="C2" s="35" t="s">
        <v>511</v>
      </c>
      <c r="D2" s="147">
        <v>3503</v>
      </c>
      <c r="E2" s="147">
        <v>3504</v>
      </c>
      <c r="F2" s="147">
        <v>3702</v>
      </c>
      <c r="G2" s="147">
        <v>3703</v>
      </c>
      <c r="H2" s="147">
        <v>3506</v>
      </c>
      <c r="I2" s="147">
        <v>3507</v>
      </c>
      <c r="J2" s="147">
        <v>3508</v>
      </c>
      <c r="K2" s="147">
        <v>3706</v>
      </c>
      <c r="L2" s="147">
        <v>3707</v>
      </c>
      <c r="M2" s="23">
        <v>3708</v>
      </c>
      <c r="N2" s="23">
        <v>3709</v>
      </c>
      <c r="O2" s="134">
        <v>3792</v>
      </c>
      <c r="P2" s="147">
        <v>3707</v>
      </c>
      <c r="Q2" s="23">
        <v>3708</v>
      </c>
      <c r="R2" s="23">
        <v>3709</v>
      </c>
      <c r="S2" s="134">
        <v>3792</v>
      </c>
      <c r="T2" s="147">
        <v>3707</v>
      </c>
      <c r="U2" s="23">
        <v>3708</v>
      </c>
      <c r="V2" s="23">
        <v>3709</v>
      </c>
      <c r="W2" s="24">
        <v>3792</v>
      </c>
      <c r="X2" s="147">
        <v>3707</v>
      </c>
      <c r="Y2" s="23">
        <v>3708</v>
      </c>
      <c r="Z2" s="23">
        <v>3709</v>
      </c>
      <c r="AA2" s="24">
        <v>3792</v>
      </c>
    </row>
    <row r="3" spans="1:27" ht="95.25">
      <c r="A3" s="36" t="s">
        <v>398</v>
      </c>
      <c r="B3" s="166"/>
      <c r="C3" s="35">
        <v>401</v>
      </c>
      <c r="D3" s="167" t="s">
        <v>514</v>
      </c>
      <c r="E3" s="167" t="s">
        <v>515</v>
      </c>
      <c r="F3" s="132" t="s">
        <v>516</v>
      </c>
      <c r="G3" s="41" t="s">
        <v>517</v>
      </c>
      <c r="H3" s="41" t="s">
        <v>518</v>
      </c>
      <c r="I3" s="41" t="s">
        <v>519</v>
      </c>
      <c r="J3" s="41" t="s">
        <v>520</v>
      </c>
      <c r="K3" s="41" t="s">
        <v>394</v>
      </c>
      <c r="L3" s="178" t="s">
        <v>862</v>
      </c>
      <c r="M3" s="25" t="s">
        <v>265</v>
      </c>
      <c r="N3" s="25" t="s">
        <v>266</v>
      </c>
      <c r="O3" s="136" t="s">
        <v>548</v>
      </c>
      <c r="P3" s="178" t="s">
        <v>862</v>
      </c>
      <c r="Q3" s="25" t="s">
        <v>265</v>
      </c>
      <c r="R3" s="25" t="s">
        <v>266</v>
      </c>
      <c r="S3" s="136" t="s">
        <v>548</v>
      </c>
      <c r="T3" s="178" t="s">
        <v>862</v>
      </c>
      <c r="U3" s="25" t="s">
        <v>265</v>
      </c>
      <c r="V3" s="25" t="s">
        <v>266</v>
      </c>
      <c r="W3" s="128" t="s">
        <v>548</v>
      </c>
      <c r="X3" s="178" t="s">
        <v>862</v>
      </c>
      <c r="Y3" s="25" t="s">
        <v>265</v>
      </c>
      <c r="Z3" s="25" t="s">
        <v>266</v>
      </c>
      <c r="AA3" s="128" t="s">
        <v>548</v>
      </c>
    </row>
    <row r="4" spans="1:27" ht="21" customHeight="1">
      <c r="A4" s="36"/>
      <c r="B4" s="166"/>
      <c r="C4" s="35">
        <v>662</v>
      </c>
      <c r="D4" s="9"/>
      <c r="E4" s="9"/>
      <c r="F4" s="132" t="s">
        <v>517</v>
      </c>
      <c r="G4" s="132"/>
      <c r="H4" s="132"/>
      <c r="I4" s="132"/>
      <c r="J4" s="132"/>
      <c r="K4" s="132"/>
      <c r="L4" s="178" t="s">
        <v>1105</v>
      </c>
      <c r="M4" s="129"/>
      <c r="N4" s="129"/>
      <c r="O4" s="138"/>
      <c r="P4" s="178" t="s">
        <v>465</v>
      </c>
      <c r="Q4" s="129"/>
      <c r="R4" s="129"/>
      <c r="S4" s="138"/>
      <c r="T4" s="178" t="s">
        <v>956</v>
      </c>
      <c r="U4" s="129"/>
      <c r="V4" s="129"/>
      <c r="W4" s="130"/>
      <c r="X4" s="178" t="s">
        <v>521</v>
      </c>
      <c r="Y4" s="129"/>
      <c r="Z4" s="129"/>
      <c r="AA4" s="130"/>
    </row>
    <row r="5" spans="1:27">
      <c r="A5" s="36"/>
      <c r="B5" s="166"/>
      <c r="C5" s="35">
        <v>493</v>
      </c>
      <c r="D5" s="9"/>
      <c r="E5" s="9"/>
      <c r="F5" s="132" t="s">
        <v>520</v>
      </c>
      <c r="G5" s="132"/>
      <c r="H5" s="132"/>
      <c r="I5" s="132"/>
      <c r="J5" s="132"/>
      <c r="K5" s="132"/>
      <c r="L5" s="178">
        <v>0</v>
      </c>
      <c r="M5" s="129"/>
      <c r="N5" s="129"/>
      <c r="O5" s="138"/>
      <c r="P5" s="178">
        <v>0</v>
      </c>
      <c r="Q5" s="129"/>
      <c r="R5" s="129"/>
      <c r="S5" s="138"/>
      <c r="T5" s="178">
        <v>0</v>
      </c>
      <c r="U5" s="129"/>
      <c r="V5" s="129"/>
      <c r="W5" s="130"/>
      <c r="X5" s="178">
        <v>0</v>
      </c>
      <c r="Y5" s="129"/>
      <c r="Z5" s="129"/>
      <c r="AA5" s="130"/>
    </row>
    <row r="6" spans="1:27">
      <c r="A6" s="36"/>
      <c r="B6" s="166"/>
      <c r="C6" s="35">
        <v>403</v>
      </c>
      <c r="D6" s="9"/>
      <c r="E6" s="9"/>
      <c r="F6" s="132" t="s">
        <v>394</v>
      </c>
      <c r="G6" s="352"/>
      <c r="H6" s="132"/>
      <c r="I6" s="132"/>
      <c r="J6" s="132"/>
      <c r="K6" s="132"/>
      <c r="L6" s="178" t="s">
        <v>395</v>
      </c>
      <c r="M6" s="129"/>
      <c r="N6" s="129"/>
      <c r="O6" s="138"/>
      <c r="P6" s="178" t="s">
        <v>395</v>
      </c>
      <c r="Q6" s="129"/>
      <c r="R6" s="129"/>
      <c r="S6" s="138"/>
      <c r="T6" s="178" t="s">
        <v>395</v>
      </c>
      <c r="U6" s="129"/>
      <c r="V6" s="129"/>
      <c r="W6" s="130"/>
      <c r="X6" s="178" t="s">
        <v>395</v>
      </c>
      <c r="Y6" s="129"/>
      <c r="Z6" s="129"/>
      <c r="AA6" s="130"/>
    </row>
    <row r="7" spans="1:27">
      <c r="A7" s="471" t="s">
        <v>756</v>
      </c>
      <c r="B7" s="168" t="s">
        <v>523</v>
      </c>
      <c r="C7" s="169"/>
      <c r="D7" s="11" t="s">
        <v>402</v>
      </c>
      <c r="E7" s="170">
        <v>0</v>
      </c>
      <c r="F7" s="145" t="s">
        <v>862</v>
      </c>
      <c r="G7" s="16" t="s">
        <v>1105</v>
      </c>
      <c r="H7" s="14" t="s">
        <v>402</v>
      </c>
      <c r="I7" s="14" t="s">
        <v>402</v>
      </c>
      <c r="J7" s="15">
        <v>0</v>
      </c>
      <c r="K7" s="16" t="s">
        <v>395</v>
      </c>
      <c r="L7" s="606">
        <v>1</v>
      </c>
      <c r="M7" s="29"/>
      <c r="N7" s="1"/>
      <c r="O7" s="139"/>
      <c r="P7" s="606">
        <v>0</v>
      </c>
      <c r="Q7" s="29"/>
      <c r="R7" s="1"/>
      <c r="S7" s="139"/>
      <c r="T7" s="606">
        <v>0</v>
      </c>
      <c r="U7" s="29"/>
      <c r="V7" s="1"/>
      <c r="W7" s="31"/>
      <c r="X7" s="606">
        <v>0</v>
      </c>
      <c r="Y7" s="29"/>
      <c r="Z7" s="1"/>
      <c r="AA7" s="31"/>
    </row>
    <row r="8" spans="1:27">
      <c r="A8" s="471" t="s">
        <v>878</v>
      </c>
      <c r="B8" s="168"/>
      <c r="C8" s="169"/>
      <c r="D8" s="11" t="s">
        <v>402</v>
      </c>
      <c r="E8" s="170">
        <v>0</v>
      </c>
      <c r="F8" s="145" t="s">
        <v>862</v>
      </c>
      <c r="G8" s="16" t="s">
        <v>465</v>
      </c>
      <c r="H8" s="14" t="s">
        <v>402</v>
      </c>
      <c r="I8" s="14" t="s">
        <v>402</v>
      </c>
      <c r="J8" s="15">
        <v>0</v>
      </c>
      <c r="K8" s="16" t="s">
        <v>395</v>
      </c>
      <c r="L8" s="606">
        <v>0</v>
      </c>
      <c r="M8" s="29"/>
      <c r="N8" s="1"/>
      <c r="O8" s="139"/>
      <c r="P8" s="606">
        <v>1</v>
      </c>
      <c r="Q8" s="29"/>
      <c r="R8" s="1"/>
      <c r="S8" s="139"/>
      <c r="T8" s="606">
        <v>0</v>
      </c>
      <c r="U8" s="29"/>
      <c r="V8" s="1"/>
      <c r="W8" s="31"/>
      <c r="X8" s="606">
        <v>0</v>
      </c>
      <c r="Y8" s="29"/>
      <c r="Z8" s="1"/>
      <c r="AA8" s="31"/>
    </row>
    <row r="9" spans="1:27">
      <c r="A9" s="471" t="s">
        <v>879</v>
      </c>
      <c r="B9" s="168"/>
      <c r="C9" s="169"/>
      <c r="D9" s="11" t="s">
        <v>402</v>
      </c>
      <c r="E9" s="170">
        <v>0</v>
      </c>
      <c r="F9" s="145" t="s">
        <v>862</v>
      </c>
      <c r="G9" s="16" t="s">
        <v>956</v>
      </c>
      <c r="H9" s="14" t="s">
        <v>402</v>
      </c>
      <c r="I9" s="14" t="s">
        <v>402</v>
      </c>
      <c r="J9" s="15">
        <v>0</v>
      </c>
      <c r="K9" s="16" t="s">
        <v>395</v>
      </c>
      <c r="L9" s="606">
        <v>0</v>
      </c>
      <c r="M9" s="29"/>
      <c r="N9" s="1"/>
      <c r="O9" s="139"/>
      <c r="P9" s="606">
        <v>0</v>
      </c>
      <c r="Q9" s="29"/>
      <c r="R9" s="1"/>
      <c r="S9" s="139"/>
      <c r="T9" s="606">
        <v>1</v>
      </c>
      <c r="U9" s="29"/>
      <c r="V9" s="1"/>
      <c r="W9" s="31"/>
      <c r="X9" s="606">
        <v>0</v>
      </c>
      <c r="Y9" s="29"/>
      <c r="Z9" s="1"/>
      <c r="AA9" s="31"/>
    </row>
    <row r="10" spans="1:27">
      <c r="A10" s="122">
        <v>4841</v>
      </c>
      <c r="B10" s="168"/>
      <c r="C10" s="169"/>
      <c r="D10" s="11" t="s">
        <v>402</v>
      </c>
      <c r="E10" s="170">
        <v>0</v>
      </c>
      <c r="F10" s="145" t="s">
        <v>862</v>
      </c>
      <c r="G10" s="16" t="s">
        <v>521</v>
      </c>
      <c r="H10" s="14" t="s">
        <v>402</v>
      </c>
      <c r="I10" s="14" t="s">
        <v>402</v>
      </c>
      <c r="J10" s="15">
        <v>0</v>
      </c>
      <c r="K10" s="16" t="s">
        <v>395</v>
      </c>
      <c r="L10" s="606">
        <v>0</v>
      </c>
      <c r="M10" s="29"/>
      <c r="N10" s="1"/>
      <c r="O10" s="139"/>
      <c r="P10" s="606">
        <v>0</v>
      </c>
      <c r="Q10" s="29"/>
      <c r="R10" s="1"/>
      <c r="S10" s="139"/>
      <c r="T10" s="606">
        <v>0</v>
      </c>
      <c r="U10" s="29"/>
      <c r="V10" s="1"/>
      <c r="W10" s="31"/>
      <c r="X10" s="606">
        <v>1</v>
      </c>
      <c r="Y10" s="29"/>
      <c r="Z10" s="1"/>
      <c r="AA10" s="31"/>
    </row>
    <row r="11" spans="1:27" ht="36">
      <c r="A11" s="116">
        <v>1450</v>
      </c>
      <c r="B11" s="163" t="s">
        <v>707</v>
      </c>
      <c r="C11" s="151" t="s">
        <v>525</v>
      </c>
      <c r="D11" s="152" t="s">
        <v>527</v>
      </c>
      <c r="E11" s="153" t="s">
        <v>402</v>
      </c>
      <c r="F11" s="144" t="s">
        <v>1163</v>
      </c>
      <c r="G11" s="125" t="s">
        <v>402</v>
      </c>
      <c r="H11" s="164" t="s">
        <v>273</v>
      </c>
      <c r="I11" s="123" t="s">
        <v>1117</v>
      </c>
      <c r="J11" s="124" t="s">
        <v>402</v>
      </c>
      <c r="K11" s="125" t="s">
        <v>409</v>
      </c>
      <c r="L11" s="165">
        <v>0.94299999999999995</v>
      </c>
      <c r="M11" s="29">
        <v>1</v>
      </c>
      <c r="N11" s="1">
        <v>1.2644524816734823</v>
      </c>
      <c r="O11" s="139" t="s">
        <v>1229</v>
      </c>
      <c r="P11" s="165">
        <v>0.94299999999999995</v>
      </c>
      <c r="Q11" s="29">
        <v>1</v>
      </c>
      <c r="R11" s="1">
        <v>1.2644524816734823</v>
      </c>
      <c r="S11" s="139" t="s">
        <v>1229</v>
      </c>
      <c r="T11" s="165">
        <v>0.94299999999999995</v>
      </c>
      <c r="U11" s="29">
        <v>1</v>
      </c>
      <c r="V11" s="1">
        <v>1.2644524816734823</v>
      </c>
      <c r="W11" s="31" t="s">
        <v>1229</v>
      </c>
      <c r="X11" s="165">
        <v>0.94299999999999995</v>
      </c>
      <c r="Y11" s="29">
        <v>1</v>
      </c>
      <c r="Z11" s="1">
        <v>1.2644524816734823</v>
      </c>
      <c r="AA11" s="31" t="s">
        <v>1229</v>
      </c>
    </row>
    <row r="12" spans="1:27" s="689" customFormat="1" ht="36">
      <c r="A12" s="693">
        <v>679</v>
      </c>
      <c r="B12" s="671"/>
      <c r="C12" s="672" t="s">
        <v>525</v>
      </c>
      <c r="D12" s="50">
        <v>5</v>
      </c>
      <c r="E12" s="10" t="s">
        <v>402</v>
      </c>
      <c r="F12" s="675" t="s">
        <v>111</v>
      </c>
      <c r="G12" s="676" t="s">
        <v>521</v>
      </c>
      <c r="H12" s="677" t="s">
        <v>402</v>
      </c>
      <c r="I12" s="678" t="s">
        <v>402</v>
      </c>
      <c r="J12" s="679">
        <v>0</v>
      </c>
      <c r="K12" s="676" t="s">
        <v>395</v>
      </c>
      <c r="L12" s="680">
        <v>0</v>
      </c>
      <c r="M12" s="681">
        <v>1</v>
      </c>
      <c r="N12" s="682">
        <v>1.2459407899563852</v>
      </c>
      <c r="O12" s="683" t="s">
        <v>1230</v>
      </c>
      <c r="P12" s="680">
        <v>0</v>
      </c>
      <c r="Q12" s="681">
        <v>1</v>
      </c>
      <c r="R12" s="682">
        <v>1.2459407899563852</v>
      </c>
      <c r="S12" s="683" t="s">
        <v>1230</v>
      </c>
      <c r="T12" s="680">
        <v>0</v>
      </c>
      <c r="U12" s="681">
        <v>1</v>
      </c>
      <c r="V12" s="682">
        <v>1.2459407899563852</v>
      </c>
      <c r="W12" s="684" t="s">
        <v>1230</v>
      </c>
      <c r="X12" s="680">
        <v>0</v>
      </c>
      <c r="Y12" s="681">
        <v>1</v>
      </c>
      <c r="Z12" s="682">
        <v>1.2459407899563852</v>
      </c>
      <c r="AA12" s="684" t="s">
        <v>1230</v>
      </c>
    </row>
    <row r="13" spans="1:27" ht="36">
      <c r="A13" s="669" t="s">
        <v>1079</v>
      </c>
      <c r="B13" s="168" t="s">
        <v>524</v>
      </c>
      <c r="C13" s="169" t="s">
        <v>525</v>
      </c>
      <c r="D13" s="50" t="s">
        <v>526</v>
      </c>
      <c r="E13" s="10" t="s">
        <v>402</v>
      </c>
      <c r="F13" s="144" t="s">
        <v>1210</v>
      </c>
      <c r="G13" s="125" t="s">
        <v>1211</v>
      </c>
      <c r="H13" s="164" t="s">
        <v>402</v>
      </c>
      <c r="I13" s="123" t="s">
        <v>402</v>
      </c>
      <c r="J13" s="124">
        <v>0</v>
      </c>
      <c r="K13" s="125" t="s">
        <v>678</v>
      </c>
      <c r="L13" s="165">
        <v>0</v>
      </c>
      <c r="M13" s="29">
        <v>1</v>
      </c>
      <c r="N13" s="1">
        <v>1.0744244531716256</v>
      </c>
      <c r="O13" s="139" t="s">
        <v>1231</v>
      </c>
      <c r="P13" s="165">
        <v>0</v>
      </c>
      <c r="Q13" s="29">
        <v>1</v>
      </c>
      <c r="R13" s="1">
        <v>1.0744244531716256</v>
      </c>
      <c r="S13" s="139" t="s">
        <v>1231</v>
      </c>
      <c r="T13" s="165">
        <v>0</v>
      </c>
      <c r="U13" s="29">
        <v>1</v>
      </c>
      <c r="V13" s="1">
        <v>1.0744244531716256</v>
      </c>
      <c r="W13" s="31" t="s">
        <v>1231</v>
      </c>
      <c r="X13" s="165">
        <v>15.5</v>
      </c>
      <c r="Y13" s="29">
        <v>1</v>
      </c>
      <c r="Z13" s="1">
        <v>1.0744244531716256</v>
      </c>
      <c r="AA13" s="31" t="s">
        <v>1231</v>
      </c>
    </row>
    <row r="14" spans="1:27" ht="36">
      <c r="A14" s="226">
        <v>32004</v>
      </c>
      <c r="B14" s="168" t="s">
        <v>525</v>
      </c>
      <c r="C14" s="169" t="s">
        <v>525</v>
      </c>
      <c r="D14" s="50" t="s">
        <v>526</v>
      </c>
      <c r="E14" s="10" t="s">
        <v>402</v>
      </c>
      <c r="F14" s="144" t="s">
        <v>1133</v>
      </c>
      <c r="G14" s="125" t="s">
        <v>1105</v>
      </c>
      <c r="H14" s="164" t="s">
        <v>402</v>
      </c>
      <c r="I14" s="123" t="s">
        <v>402</v>
      </c>
      <c r="J14" s="124">
        <v>0</v>
      </c>
      <c r="K14" s="125" t="s">
        <v>678</v>
      </c>
      <c r="L14" s="165">
        <v>15.5</v>
      </c>
      <c r="M14" s="29">
        <v>1</v>
      </c>
      <c r="N14" s="1">
        <v>1.0744244531716256</v>
      </c>
      <c r="O14" s="139" t="s">
        <v>1231</v>
      </c>
      <c r="P14" s="165">
        <v>0</v>
      </c>
      <c r="Q14" s="29">
        <v>1</v>
      </c>
      <c r="R14" s="1">
        <v>1.0744244531716256</v>
      </c>
      <c r="S14" s="139" t="s">
        <v>1231</v>
      </c>
      <c r="T14" s="165">
        <v>0</v>
      </c>
      <c r="U14" s="29">
        <v>1</v>
      </c>
      <c r="V14" s="1">
        <v>1.0744244531716256</v>
      </c>
      <c r="W14" s="31" t="s">
        <v>1231</v>
      </c>
      <c r="X14" s="165">
        <v>0</v>
      </c>
      <c r="Y14" s="29">
        <v>1</v>
      </c>
      <c r="Z14" s="1">
        <v>1.0744244531716256</v>
      </c>
      <c r="AA14" s="31" t="s">
        <v>1231</v>
      </c>
    </row>
    <row r="15" spans="1:27" ht="36">
      <c r="A15" s="226" t="s">
        <v>866</v>
      </c>
      <c r="B15" s="168" t="s">
        <v>525</v>
      </c>
      <c r="C15" s="169" t="s">
        <v>525</v>
      </c>
      <c r="D15" s="50" t="s">
        <v>526</v>
      </c>
      <c r="E15" s="10" t="s">
        <v>402</v>
      </c>
      <c r="F15" s="144" t="s">
        <v>1133</v>
      </c>
      <c r="G15" s="125" t="s">
        <v>465</v>
      </c>
      <c r="H15" s="164" t="s">
        <v>402</v>
      </c>
      <c r="I15" s="123" t="s">
        <v>402</v>
      </c>
      <c r="J15" s="124">
        <v>0</v>
      </c>
      <c r="K15" s="125" t="s">
        <v>678</v>
      </c>
      <c r="L15" s="165">
        <v>0</v>
      </c>
      <c r="M15" s="29">
        <v>1</v>
      </c>
      <c r="N15" s="1">
        <v>1.0744244531716256</v>
      </c>
      <c r="O15" s="139" t="s">
        <v>1231</v>
      </c>
      <c r="P15" s="165">
        <v>15.5</v>
      </c>
      <c r="Q15" s="29">
        <v>1</v>
      </c>
      <c r="R15" s="1">
        <v>1.0744244531716256</v>
      </c>
      <c r="S15" s="139" t="s">
        <v>1231</v>
      </c>
      <c r="T15" s="165">
        <v>0</v>
      </c>
      <c r="U15" s="29">
        <v>1</v>
      </c>
      <c r="V15" s="1">
        <v>1.0744244531716256</v>
      </c>
      <c r="W15" s="31" t="s">
        <v>1231</v>
      </c>
      <c r="X15" s="165">
        <v>0</v>
      </c>
      <c r="Y15" s="29">
        <v>1</v>
      </c>
      <c r="Z15" s="1">
        <v>1.0744244531716256</v>
      </c>
      <c r="AA15" s="31" t="s">
        <v>1231</v>
      </c>
    </row>
    <row r="16" spans="1:27" ht="36">
      <c r="A16" s="226" t="s">
        <v>867</v>
      </c>
      <c r="B16" s="168" t="s">
        <v>525</v>
      </c>
      <c r="C16" s="169" t="s">
        <v>525</v>
      </c>
      <c r="D16" s="50" t="s">
        <v>526</v>
      </c>
      <c r="E16" s="10" t="s">
        <v>402</v>
      </c>
      <c r="F16" s="144" t="s">
        <v>1133</v>
      </c>
      <c r="G16" s="125" t="s">
        <v>497</v>
      </c>
      <c r="H16" s="164" t="s">
        <v>402</v>
      </c>
      <c r="I16" s="123" t="s">
        <v>402</v>
      </c>
      <c r="J16" s="124">
        <v>0</v>
      </c>
      <c r="K16" s="125" t="s">
        <v>678</v>
      </c>
      <c r="L16" s="165">
        <v>0</v>
      </c>
      <c r="M16" s="29">
        <v>1</v>
      </c>
      <c r="N16" s="1">
        <v>1.0744244531716256</v>
      </c>
      <c r="O16" s="139" t="s">
        <v>1231</v>
      </c>
      <c r="P16" s="165">
        <v>0</v>
      </c>
      <c r="Q16" s="29">
        <v>1</v>
      </c>
      <c r="R16" s="1">
        <v>1.0744244531716256</v>
      </c>
      <c r="S16" s="139" t="s">
        <v>1231</v>
      </c>
      <c r="T16" s="165">
        <v>15.5</v>
      </c>
      <c r="U16" s="29">
        <v>1</v>
      </c>
      <c r="V16" s="1">
        <v>1.0744244531716256</v>
      </c>
      <c r="W16" s="31" t="s">
        <v>1231</v>
      </c>
      <c r="X16" s="165">
        <v>0</v>
      </c>
      <c r="Y16" s="29">
        <v>1</v>
      </c>
      <c r="Z16" s="1">
        <v>1.0744244531716256</v>
      </c>
      <c r="AA16" s="31" t="s">
        <v>1231</v>
      </c>
    </row>
    <row r="17" spans="1:27" ht="36">
      <c r="A17" s="36">
        <v>775</v>
      </c>
      <c r="B17" s="168" t="s">
        <v>525</v>
      </c>
      <c r="C17" s="169" t="s">
        <v>525</v>
      </c>
      <c r="D17" s="50" t="s">
        <v>526</v>
      </c>
      <c r="E17" s="10" t="s">
        <v>402</v>
      </c>
      <c r="F17" s="144" t="s">
        <v>1110</v>
      </c>
      <c r="G17" s="125" t="s">
        <v>521</v>
      </c>
      <c r="H17" s="164" t="s">
        <v>402</v>
      </c>
      <c r="I17" s="123" t="s">
        <v>402</v>
      </c>
      <c r="J17" s="124">
        <v>0</v>
      </c>
      <c r="K17" s="125" t="s">
        <v>395</v>
      </c>
      <c r="L17" s="165">
        <v>0.252</v>
      </c>
      <c r="M17" s="29">
        <v>1</v>
      </c>
      <c r="N17" s="1">
        <v>1.0744244531716256</v>
      </c>
      <c r="O17" s="139" t="s">
        <v>1231</v>
      </c>
      <c r="P17" s="165">
        <v>0.252</v>
      </c>
      <c r="Q17" s="29">
        <v>1</v>
      </c>
      <c r="R17" s="1">
        <v>1.0744244531716256</v>
      </c>
      <c r="S17" s="139" t="s">
        <v>1231</v>
      </c>
      <c r="T17" s="165">
        <v>0.252</v>
      </c>
      <c r="U17" s="29">
        <v>1</v>
      </c>
      <c r="V17" s="1">
        <v>1.0744244531716256</v>
      </c>
      <c r="W17" s="31" t="s">
        <v>1231</v>
      </c>
      <c r="X17" s="165">
        <v>0.252</v>
      </c>
      <c r="Y17" s="29">
        <v>1</v>
      </c>
      <c r="Z17" s="1">
        <v>1.0744244531716256</v>
      </c>
      <c r="AA17" s="31" t="s">
        <v>1231</v>
      </c>
    </row>
    <row r="18" spans="1:27" ht="36">
      <c r="A18" s="226">
        <v>33089</v>
      </c>
      <c r="B18" s="168" t="s">
        <v>525</v>
      </c>
      <c r="C18" s="169" t="s">
        <v>525</v>
      </c>
      <c r="D18" s="50" t="s">
        <v>526</v>
      </c>
      <c r="E18" s="10" t="s">
        <v>402</v>
      </c>
      <c r="F18" s="144" t="s">
        <v>1232</v>
      </c>
      <c r="G18" s="125" t="s">
        <v>51</v>
      </c>
      <c r="H18" s="164" t="s">
        <v>402</v>
      </c>
      <c r="I18" s="123" t="s">
        <v>402</v>
      </c>
      <c r="J18" s="124">
        <v>0</v>
      </c>
      <c r="K18" s="125" t="s">
        <v>395</v>
      </c>
      <c r="L18" s="165">
        <v>7.7600000000000002E-5</v>
      </c>
      <c r="M18" s="29">
        <v>1</v>
      </c>
      <c r="N18" s="1">
        <v>1.0744244531716256</v>
      </c>
      <c r="O18" s="139" t="s">
        <v>1231</v>
      </c>
      <c r="P18" s="165">
        <v>7.7600000000000002E-5</v>
      </c>
      <c r="Q18" s="29">
        <v>1</v>
      </c>
      <c r="R18" s="1">
        <v>1.0744244531716256</v>
      </c>
      <c r="S18" s="139" t="s">
        <v>1231</v>
      </c>
      <c r="T18" s="165">
        <v>7.7600000000000002E-5</v>
      </c>
      <c r="U18" s="29">
        <v>1</v>
      </c>
      <c r="V18" s="1">
        <v>1.0744244531716256</v>
      </c>
      <c r="W18" s="31" t="s">
        <v>1231</v>
      </c>
      <c r="X18" s="165">
        <v>7.7600000000000002E-5</v>
      </c>
      <c r="Y18" s="29">
        <v>1</v>
      </c>
      <c r="Z18" s="1">
        <v>1.0744244531716256</v>
      </c>
      <c r="AA18" s="31" t="s">
        <v>1231</v>
      </c>
    </row>
    <row r="19" spans="1:27" s="689" customFormat="1" ht="36">
      <c r="A19" s="693">
        <v>1280</v>
      </c>
      <c r="B19" s="671"/>
      <c r="C19" s="672" t="s">
        <v>525</v>
      </c>
      <c r="D19" s="50">
        <v>5</v>
      </c>
      <c r="E19" s="10" t="s">
        <v>402</v>
      </c>
      <c r="F19" s="675" t="s">
        <v>1173</v>
      </c>
      <c r="G19" s="676" t="s">
        <v>521</v>
      </c>
      <c r="H19" s="677" t="s">
        <v>402</v>
      </c>
      <c r="I19" s="678" t="s">
        <v>402</v>
      </c>
      <c r="J19" s="679">
        <v>0</v>
      </c>
      <c r="K19" s="676" t="s">
        <v>395</v>
      </c>
      <c r="L19" s="680">
        <v>5.0000000000000001E-3</v>
      </c>
      <c r="M19" s="681">
        <v>1</v>
      </c>
      <c r="N19" s="682">
        <v>1.2459407899563852</v>
      </c>
      <c r="O19" s="683" t="s">
        <v>1230</v>
      </c>
      <c r="P19" s="680">
        <v>5.0000000000000001E-3</v>
      </c>
      <c r="Q19" s="681">
        <v>1</v>
      </c>
      <c r="R19" s="682">
        <v>1.2459407899563852</v>
      </c>
      <c r="S19" s="683" t="s">
        <v>1230</v>
      </c>
      <c r="T19" s="680">
        <v>5.0000000000000001E-3</v>
      </c>
      <c r="U19" s="681">
        <v>1</v>
      </c>
      <c r="V19" s="682">
        <v>1.2459407899563852</v>
      </c>
      <c r="W19" s="684" t="s">
        <v>1230</v>
      </c>
      <c r="X19" s="680">
        <v>5.0000000000000001E-3</v>
      </c>
      <c r="Y19" s="681">
        <v>1</v>
      </c>
      <c r="Z19" s="682">
        <v>1.2459407899563852</v>
      </c>
      <c r="AA19" s="684" t="s">
        <v>1230</v>
      </c>
    </row>
    <row r="20" spans="1:27" ht="36">
      <c r="A20" s="226">
        <v>1777</v>
      </c>
      <c r="B20" s="168" t="s">
        <v>525</v>
      </c>
      <c r="C20" s="169" t="s">
        <v>525</v>
      </c>
      <c r="D20" s="50" t="s">
        <v>526</v>
      </c>
      <c r="E20" s="10" t="s">
        <v>402</v>
      </c>
      <c r="F20" s="144" t="s">
        <v>1108</v>
      </c>
      <c r="G20" s="125" t="s">
        <v>521</v>
      </c>
      <c r="H20" s="164" t="s">
        <v>402</v>
      </c>
      <c r="I20" s="123" t="s">
        <v>402</v>
      </c>
      <c r="J20" s="124">
        <v>0</v>
      </c>
      <c r="K20" s="125" t="s">
        <v>395</v>
      </c>
      <c r="L20" s="165">
        <v>3.04E-2</v>
      </c>
      <c r="M20" s="29">
        <v>1</v>
      </c>
      <c r="N20" s="1">
        <v>1.0744244531716256</v>
      </c>
      <c r="O20" s="139" t="s">
        <v>1231</v>
      </c>
      <c r="P20" s="165">
        <v>3.04E-2</v>
      </c>
      <c r="Q20" s="29">
        <v>1</v>
      </c>
      <c r="R20" s="1">
        <v>1.0744244531716256</v>
      </c>
      <c r="S20" s="139" t="s">
        <v>1231</v>
      </c>
      <c r="T20" s="165">
        <v>3.04E-2</v>
      </c>
      <c r="U20" s="29">
        <v>1</v>
      </c>
      <c r="V20" s="1">
        <v>1.0744244531716256</v>
      </c>
      <c r="W20" s="31" t="s">
        <v>1231</v>
      </c>
      <c r="X20" s="165">
        <v>3.04E-2</v>
      </c>
      <c r="Y20" s="29">
        <v>1</v>
      </c>
      <c r="Z20" s="1">
        <v>1.0744244531716256</v>
      </c>
      <c r="AA20" s="31" t="s">
        <v>1231</v>
      </c>
    </row>
    <row r="21" spans="1:27" ht="36">
      <c r="A21" s="226">
        <v>965</v>
      </c>
      <c r="B21" s="168" t="s">
        <v>525</v>
      </c>
      <c r="C21" s="169" t="s">
        <v>525</v>
      </c>
      <c r="D21" s="50" t="s">
        <v>526</v>
      </c>
      <c r="E21" s="10" t="s">
        <v>402</v>
      </c>
      <c r="F21" s="144" t="s">
        <v>1218</v>
      </c>
      <c r="G21" s="125" t="s">
        <v>393</v>
      </c>
      <c r="H21" s="164" t="s">
        <v>402</v>
      </c>
      <c r="I21" s="123" t="s">
        <v>402</v>
      </c>
      <c r="J21" s="124">
        <v>0</v>
      </c>
      <c r="K21" s="125" t="s">
        <v>395</v>
      </c>
      <c r="L21" s="165">
        <v>0.214</v>
      </c>
      <c r="M21" s="29">
        <v>1</v>
      </c>
      <c r="N21" s="1">
        <v>1.0744244531716256</v>
      </c>
      <c r="O21" s="139" t="s">
        <v>1231</v>
      </c>
      <c r="P21" s="165">
        <v>0.214</v>
      </c>
      <c r="Q21" s="29">
        <v>1</v>
      </c>
      <c r="R21" s="1">
        <v>1.0744244531716256</v>
      </c>
      <c r="S21" s="139" t="s">
        <v>1231</v>
      </c>
      <c r="T21" s="165">
        <v>0.214</v>
      </c>
      <c r="U21" s="29">
        <v>1</v>
      </c>
      <c r="V21" s="1">
        <v>1.0744244531716256</v>
      </c>
      <c r="W21" s="31" t="s">
        <v>1231</v>
      </c>
      <c r="X21" s="165">
        <v>0.214</v>
      </c>
      <c r="Y21" s="29">
        <v>1</v>
      </c>
      <c r="Z21" s="1">
        <v>1.0744244531716256</v>
      </c>
      <c r="AA21" s="31" t="s">
        <v>1231</v>
      </c>
    </row>
    <row r="22" spans="1:27" ht="36">
      <c r="A22" s="260">
        <v>32124</v>
      </c>
      <c r="B22" s="168" t="s">
        <v>525</v>
      </c>
      <c r="C22" s="169" t="s">
        <v>525</v>
      </c>
      <c r="D22" s="50" t="s">
        <v>526</v>
      </c>
      <c r="E22" s="10" t="s">
        <v>402</v>
      </c>
      <c r="F22" s="144" t="s">
        <v>863</v>
      </c>
      <c r="G22" s="125" t="s">
        <v>51</v>
      </c>
      <c r="H22" s="164" t="s">
        <v>402</v>
      </c>
      <c r="I22" s="123" t="s">
        <v>402</v>
      </c>
      <c r="J22" s="124">
        <v>0</v>
      </c>
      <c r="K22" s="125" t="s">
        <v>395</v>
      </c>
      <c r="L22" s="165">
        <v>0</v>
      </c>
      <c r="M22" s="29">
        <v>1</v>
      </c>
      <c r="N22" s="1">
        <v>1.0744244531716256</v>
      </c>
      <c r="O22" s="139" t="s">
        <v>1231</v>
      </c>
      <c r="P22" s="165">
        <v>0</v>
      </c>
      <c r="Q22" s="29">
        <v>1</v>
      </c>
      <c r="R22" s="1">
        <v>1.0744244531716256</v>
      </c>
      <c r="S22" s="139" t="s">
        <v>1231</v>
      </c>
      <c r="T22" s="165">
        <v>0</v>
      </c>
      <c r="U22" s="29">
        <v>1</v>
      </c>
      <c r="V22" s="1">
        <v>1.0744244531716256</v>
      </c>
      <c r="W22" s="31" t="s">
        <v>1231</v>
      </c>
      <c r="X22" s="165">
        <v>0.7</v>
      </c>
      <c r="Y22" s="29">
        <v>1</v>
      </c>
      <c r="Z22" s="1">
        <v>1.0744244531716256</v>
      </c>
      <c r="AA22" s="31" t="s">
        <v>1231</v>
      </c>
    </row>
    <row r="23" spans="1:27" ht="36">
      <c r="A23" s="471" t="s">
        <v>755</v>
      </c>
      <c r="B23" s="168" t="s">
        <v>525</v>
      </c>
      <c r="C23" s="169" t="s">
        <v>525</v>
      </c>
      <c r="D23" s="50" t="s">
        <v>526</v>
      </c>
      <c r="E23" s="10" t="s">
        <v>402</v>
      </c>
      <c r="F23" s="144" t="s">
        <v>863</v>
      </c>
      <c r="G23" s="125" t="s">
        <v>1105</v>
      </c>
      <c r="H23" s="164" t="s">
        <v>402</v>
      </c>
      <c r="I23" s="123" t="s">
        <v>402</v>
      </c>
      <c r="J23" s="124">
        <v>0</v>
      </c>
      <c r="K23" s="125" t="s">
        <v>395</v>
      </c>
      <c r="L23" s="165">
        <v>0.7</v>
      </c>
      <c r="M23" s="29">
        <v>1</v>
      </c>
      <c r="N23" s="1">
        <v>1.0744244531716256</v>
      </c>
      <c r="O23" s="139" t="s">
        <v>1231</v>
      </c>
      <c r="P23" s="165">
        <v>0</v>
      </c>
      <c r="Q23" s="29">
        <v>1</v>
      </c>
      <c r="R23" s="1">
        <v>1.0744244531716256</v>
      </c>
      <c r="S23" s="139" t="s">
        <v>1231</v>
      </c>
      <c r="T23" s="165">
        <v>0</v>
      </c>
      <c r="U23" s="29">
        <v>1</v>
      </c>
      <c r="V23" s="1">
        <v>1.0744244531716256</v>
      </c>
      <c r="W23" s="31" t="s">
        <v>1231</v>
      </c>
      <c r="X23" s="165">
        <v>0</v>
      </c>
      <c r="Y23" s="29">
        <v>1</v>
      </c>
      <c r="Z23" s="1">
        <v>1.0744244531716256</v>
      </c>
      <c r="AA23" s="31" t="s">
        <v>1231</v>
      </c>
    </row>
    <row r="24" spans="1:27" ht="36">
      <c r="A24" s="471" t="s">
        <v>874</v>
      </c>
      <c r="B24" s="168" t="s">
        <v>525</v>
      </c>
      <c r="C24" s="169" t="s">
        <v>525</v>
      </c>
      <c r="D24" s="50" t="s">
        <v>526</v>
      </c>
      <c r="E24" s="10" t="s">
        <v>402</v>
      </c>
      <c r="F24" s="144" t="s">
        <v>863</v>
      </c>
      <c r="G24" s="125" t="s">
        <v>465</v>
      </c>
      <c r="H24" s="164" t="s">
        <v>402</v>
      </c>
      <c r="I24" s="123" t="s">
        <v>402</v>
      </c>
      <c r="J24" s="124">
        <v>0</v>
      </c>
      <c r="K24" s="125" t="s">
        <v>395</v>
      </c>
      <c r="L24" s="165">
        <v>0</v>
      </c>
      <c r="M24" s="29">
        <v>1</v>
      </c>
      <c r="N24" s="1">
        <v>1.0744244531716256</v>
      </c>
      <c r="O24" s="139" t="s">
        <v>1231</v>
      </c>
      <c r="P24" s="165">
        <v>0.7</v>
      </c>
      <c r="Q24" s="29">
        <v>1</v>
      </c>
      <c r="R24" s="1">
        <v>1.0744244531716256</v>
      </c>
      <c r="S24" s="139" t="s">
        <v>1231</v>
      </c>
      <c r="T24" s="165">
        <v>0</v>
      </c>
      <c r="U24" s="29">
        <v>1</v>
      </c>
      <c r="V24" s="1">
        <v>1.0744244531716256</v>
      </c>
      <c r="W24" s="31" t="s">
        <v>1231</v>
      </c>
      <c r="X24" s="165">
        <v>0</v>
      </c>
      <c r="Y24" s="29">
        <v>1</v>
      </c>
      <c r="Z24" s="1">
        <v>1.0744244531716256</v>
      </c>
      <c r="AA24" s="31" t="s">
        <v>1231</v>
      </c>
    </row>
    <row r="25" spans="1:27" ht="36">
      <c r="A25" s="471" t="s">
        <v>875</v>
      </c>
      <c r="B25" s="168" t="s">
        <v>525</v>
      </c>
      <c r="C25" s="169" t="s">
        <v>525</v>
      </c>
      <c r="D25" s="50" t="s">
        <v>526</v>
      </c>
      <c r="E25" s="10" t="s">
        <v>402</v>
      </c>
      <c r="F25" s="144" t="s">
        <v>863</v>
      </c>
      <c r="G25" s="125" t="s">
        <v>956</v>
      </c>
      <c r="H25" s="164" t="s">
        <v>402</v>
      </c>
      <c r="I25" s="123" t="s">
        <v>402</v>
      </c>
      <c r="J25" s="124">
        <v>0</v>
      </c>
      <c r="K25" s="125" t="s">
        <v>395</v>
      </c>
      <c r="L25" s="165">
        <v>0</v>
      </c>
      <c r="M25" s="29">
        <v>1</v>
      </c>
      <c r="N25" s="1">
        <v>1.0744244531716256</v>
      </c>
      <c r="O25" s="139" t="s">
        <v>1231</v>
      </c>
      <c r="P25" s="165">
        <v>0</v>
      </c>
      <c r="Q25" s="29">
        <v>1</v>
      </c>
      <c r="R25" s="1">
        <v>1.0744244531716256</v>
      </c>
      <c r="S25" s="139" t="s">
        <v>1231</v>
      </c>
      <c r="T25" s="165">
        <v>0.7</v>
      </c>
      <c r="U25" s="29">
        <v>1</v>
      </c>
      <c r="V25" s="1">
        <v>1.0744244531716256</v>
      </c>
      <c r="W25" s="31" t="s">
        <v>1231</v>
      </c>
      <c r="X25" s="165">
        <v>0</v>
      </c>
      <c r="Y25" s="29">
        <v>1</v>
      </c>
      <c r="Z25" s="1">
        <v>1.0744244531716256</v>
      </c>
      <c r="AA25" s="31" t="s">
        <v>1231</v>
      </c>
    </row>
    <row r="26" spans="1:27" ht="24">
      <c r="A26" s="157">
        <v>2987</v>
      </c>
      <c r="B26" s="168" t="s">
        <v>525</v>
      </c>
      <c r="C26" s="169" t="s">
        <v>525</v>
      </c>
      <c r="D26" s="50" t="s">
        <v>526</v>
      </c>
      <c r="E26" s="10" t="s">
        <v>402</v>
      </c>
      <c r="F26" s="144" t="s">
        <v>59</v>
      </c>
      <c r="G26" s="125" t="s">
        <v>521</v>
      </c>
      <c r="H26" s="164" t="s">
        <v>402</v>
      </c>
      <c r="I26" s="123" t="s">
        <v>402</v>
      </c>
      <c r="J26" s="124">
        <v>0</v>
      </c>
      <c r="K26" s="125" t="s">
        <v>397</v>
      </c>
      <c r="L26" s="165">
        <v>0.72507387999999995</v>
      </c>
      <c r="M26" s="29">
        <v>1</v>
      </c>
      <c r="N26" s="1">
        <v>2.0949941301068096</v>
      </c>
      <c r="O26" s="139" t="s">
        <v>1233</v>
      </c>
      <c r="P26" s="165">
        <v>0.72507387999999995</v>
      </c>
      <c r="Q26" s="29">
        <v>1</v>
      </c>
      <c r="R26" s="1">
        <v>2.0949941301068096</v>
      </c>
      <c r="S26" s="139" t="s">
        <v>1233</v>
      </c>
      <c r="T26" s="165">
        <v>0.72507387999999995</v>
      </c>
      <c r="U26" s="29">
        <v>1</v>
      </c>
      <c r="V26" s="1">
        <v>2.0949941301068096</v>
      </c>
      <c r="W26" s="31" t="s">
        <v>1233</v>
      </c>
      <c r="X26" s="165">
        <v>0.72507387999999995</v>
      </c>
      <c r="Y26" s="29">
        <v>1</v>
      </c>
      <c r="Z26" s="1">
        <v>2.0949941301068096</v>
      </c>
      <c r="AA26" s="31" t="s">
        <v>1233</v>
      </c>
    </row>
    <row r="27" spans="1:27" ht="24">
      <c r="A27" s="157">
        <v>1841</v>
      </c>
      <c r="B27" s="168" t="s">
        <v>525</v>
      </c>
      <c r="C27" s="169" t="s">
        <v>525</v>
      </c>
      <c r="D27" s="50" t="s">
        <v>526</v>
      </c>
      <c r="E27" s="10" t="s">
        <v>402</v>
      </c>
      <c r="F27" s="144" t="s">
        <v>62</v>
      </c>
      <c r="G27" s="125" t="s">
        <v>521</v>
      </c>
      <c r="H27" s="164" t="s">
        <v>402</v>
      </c>
      <c r="I27" s="123" t="s">
        <v>402</v>
      </c>
      <c r="J27" s="124">
        <v>0</v>
      </c>
      <c r="K27" s="125" t="s">
        <v>397</v>
      </c>
      <c r="L27" s="165">
        <v>0.15514776</v>
      </c>
      <c r="M27" s="29">
        <v>1</v>
      </c>
      <c r="N27" s="1">
        <v>2.0949941301068096</v>
      </c>
      <c r="O27" s="139" t="s">
        <v>1234</v>
      </c>
      <c r="P27" s="165">
        <v>0.15514776</v>
      </c>
      <c r="Q27" s="29">
        <v>1</v>
      </c>
      <c r="R27" s="1">
        <v>2.0949941301068096</v>
      </c>
      <c r="S27" s="139" t="s">
        <v>1234</v>
      </c>
      <c r="T27" s="165">
        <v>0.15514776</v>
      </c>
      <c r="U27" s="29">
        <v>1</v>
      </c>
      <c r="V27" s="1">
        <v>2.0949941301068096</v>
      </c>
      <c r="W27" s="31" t="s">
        <v>1234</v>
      </c>
      <c r="X27" s="165">
        <v>0.15514776</v>
      </c>
      <c r="Y27" s="29">
        <v>1</v>
      </c>
      <c r="Z27" s="1">
        <v>2.0949941301068096</v>
      </c>
      <c r="AA27" s="31" t="s">
        <v>1234</v>
      </c>
    </row>
    <row r="28" spans="1:27" ht="12.75">
      <c r="A28" s="172">
        <v>3820</v>
      </c>
      <c r="B28" s="168" t="s">
        <v>525</v>
      </c>
      <c r="C28" s="169" t="s">
        <v>525</v>
      </c>
      <c r="D28" s="50" t="s">
        <v>526</v>
      </c>
      <c r="E28" s="10" t="s">
        <v>402</v>
      </c>
      <c r="F28" s="144" t="s">
        <v>1147</v>
      </c>
      <c r="G28" s="125" t="s">
        <v>521</v>
      </c>
      <c r="H28" s="164" t="s">
        <v>402</v>
      </c>
      <c r="I28" s="123" t="s">
        <v>402</v>
      </c>
      <c r="J28" s="124">
        <v>1</v>
      </c>
      <c r="K28" s="125" t="s">
        <v>522</v>
      </c>
      <c r="L28" s="165">
        <v>1.0000000000000001E-11</v>
      </c>
      <c r="M28" s="29">
        <v>1</v>
      </c>
      <c r="N28" s="1">
        <v>3.0492095289625252</v>
      </c>
      <c r="O28" s="139" t="s">
        <v>1223</v>
      </c>
      <c r="P28" s="165">
        <v>1.0000000000000001E-11</v>
      </c>
      <c r="Q28" s="29">
        <v>1</v>
      </c>
      <c r="R28" s="1">
        <v>3.0492095289625252</v>
      </c>
      <c r="S28" s="139" t="s">
        <v>1223</v>
      </c>
      <c r="T28" s="165">
        <v>1.0000000000000001E-11</v>
      </c>
      <c r="U28" s="29">
        <v>1</v>
      </c>
      <c r="V28" s="1">
        <v>3.0492095289625252</v>
      </c>
      <c r="W28" s="31" t="s">
        <v>1223</v>
      </c>
      <c r="X28" s="165">
        <v>1.0000000000000001E-11</v>
      </c>
      <c r="Y28" s="29">
        <v>1</v>
      </c>
      <c r="Z28" s="1">
        <v>3.0492095289625252</v>
      </c>
      <c r="AA28" s="31" t="s">
        <v>1223</v>
      </c>
    </row>
    <row r="29" spans="1:27" ht="12.75">
      <c r="A29" s="214">
        <v>490</v>
      </c>
      <c r="B29" s="168" t="s">
        <v>692</v>
      </c>
      <c r="C29" s="169" t="s">
        <v>525</v>
      </c>
      <c r="D29" s="10" t="s">
        <v>402</v>
      </c>
      <c r="E29" s="10" t="s">
        <v>527</v>
      </c>
      <c r="F29" s="144" t="s">
        <v>324</v>
      </c>
      <c r="G29" s="125" t="s">
        <v>402</v>
      </c>
      <c r="H29" s="164" t="s">
        <v>325</v>
      </c>
      <c r="I29" s="123" t="s">
        <v>685</v>
      </c>
      <c r="J29" s="124" t="s">
        <v>402</v>
      </c>
      <c r="K29" s="125" t="s">
        <v>677</v>
      </c>
      <c r="L29" s="165">
        <v>55.800000000000004</v>
      </c>
      <c r="M29" s="29">
        <v>1</v>
      </c>
      <c r="N29" s="1">
        <v>1.2459407899563852</v>
      </c>
      <c r="O29" s="139" t="s">
        <v>1235</v>
      </c>
      <c r="P29" s="165">
        <v>55.800000000000004</v>
      </c>
      <c r="Q29" s="29">
        <v>1</v>
      </c>
      <c r="R29" s="1">
        <v>1.2459407899563852</v>
      </c>
      <c r="S29" s="139" t="s">
        <v>1235</v>
      </c>
      <c r="T29" s="165">
        <v>55.800000000000004</v>
      </c>
      <c r="U29" s="29">
        <v>1</v>
      </c>
      <c r="V29" s="1">
        <v>1.2459407899563852</v>
      </c>
      <c r="W29" s="31" t="s">
        <v>1235</v>
      </c>
      <c r="X29" s="165">
        <v>55.800000000000004</v>
      </c>
      <c r="Y29" s="29">
        <v>1</v>
      </c>
      <c r="Z29" s="1">
        <v>1.2459407899563852</v>
      </c>
      <c r="AA29" s="31" t="s">
        <v>1235</v>
      </c>
    </row>
    <row r="30" spans="1:27">
      <c r="L30" s="179"/>
      <c r="P30" s="179"/>
      <c r="T30" s="179"/>
      <c r="X30" s="179"/>
    </row>
    <row r="31" spans="1:27" s="689" customFormat="1" ht="36">
      <c r="A31" s="693" t="s">
        <v>1127</v>
      </c>
      <c r="B31" s="671"/>
      <c r="C31" s="672" t="s">
        <v>525</v>
      </c>
      <c r="D31" s="50">
        <v>5</v>
      </c>
      <c r="E31" s="10" t="s">
        <v>402</v>
      </c>
      <c r="F31" s="675" t="e">
        <v>#N/A</v>
      </c>
      <c r="G31" s="676" t="e">
        <v>#N/A</v>
      </c>
      <c r="H31" s="677" t="s">
        <v>402</v>
      </c>
      <c r="I31" s="678" t="s">
        <v>402</v>
      </c>
      <c r="J31" s="679" t="e">
        <v>#N/A</v>
      </c>
      <c r="K31" s="676" t="e">
        <v>#N/A</v>
      </c>
      <c r="L31" s="680">
        <v>0.3</v>
      </c>
      <c r="M31" s="681">
        <v>1</v>
      </c>
      <c r="N31" s="682" t="e">
        <v>#REF!</v>
      </c>
      <c r="O31" s="683" t="s">
        <v>1230</v>
      </c>
      <c r="P31" s="680">
        <v>0.3</v>
      </c>
      <c r="Q31" s="681">
        <v>1</v>
      </c>
      <c r="R31" s="682" t="e">
        <v>#REF!</v>
      </c>
      <c r="S31" s="683" t="s">
        <v>1230</v>
      </c>
      <c r="T31" s="680">
        <v>0.3</v>
      </c>
      <c r="U31" s="681">
        <v>1</v>
      </c>
      <c r="V31" s="682" t="e">
        <v>#REF!</v>
      </c>
      <c r="W31" s="684" t="s">
        <v>1230</v>
      </c>
      <c r="X31" s="680">
        <v>0.3</v>
      </c>
      <c r="Y31" s="681">
        <v>1</v>
      </c>
      <c r="Z31" s="682" t="e">
        <v>#REF!</v>
      </c>
      <c r="AA31" s="684" t="s">
        <v>1230</v>
      </c>
    </row>
    <row r="40" spans="2:27">
      <c r="B40" s="7"/>
      <c r="C40" s="7"/>
      <c r="F40" s="7"/>
      <c r="M40" s="7"/>
      <c r="N40" s="7"/>
      <c r="O40" s="608"/>
      <c r="Q40" s="7"/>
      <c r="R40" s="7"/>
      <c r="S40" s="608"/>
      <c r="U40" s="7"/>
      <c r="V40" s="7"/>
      <c r="W40" s="7"/>
      <c r="Y40" s="7"/>
      <c r="Z40" s="7"/>
      <c r="AA40" s="8"/>
    </row>
    <row r="41" spans="2:27">
      <c r="B41" s="7"/>
      <c r="C41" s="7"/>
      <c r="F41" s="7"/>
      <c r="M41" s="7"/>
      <c r="N41" s="7"/>
      <c r="O41" s="608"/>
      <c r="Q41" s="7"/>
      <c r="R41" s="7"/>
      <c r="S41" s="608"/>
      <c r="U41" s="7"/>
      <c r="V41" s="7"/>
      <c r="W41" s="7"/>
      <c r="Y41" s="7"/>
      <c r="Z41" s="7"/>
      <c r="AA41" s="8"/>
    </row>
    <row r="42" spans="2:27">
      <c r="B42" s="7"/>
      <c r="C42" s="7"/>
      <c r="F42" s="7"/>
      <c r="M42" s="7"/>
      <c r="N42" s="7"/>
      <c r="O42" s="608"/>
      <c r="Q42" s="7"/>
      <c r="R42" s="7"/>
      <c r="S42" s="608"/>
      <c r="U42" s="7"/>
      <c r="V42" s="7"/>
      <c r="W42" s="7"/>
      <c r="Y42" s="7"/>
      <c r="Z42" s="7"/>
      <c r="AA42" s="8"/>
    </row>
    <row r="43" spans="2:27">
      <c r="B43" s="7"/>
      <c r="C43" s="7"/>
      <c r="F43" s="7"/>
      <c r="M43" s="7"/>
      <c r="N43" s="7"/>
      <c r="O43" s="608"/>
      <c r="Q43" s="7"/>
      <c r="R43" s="7"/>
      <c r="S43" s="608"/>
      <c r="U43" s="7"/>
      <c r="V43" s="7"/>
      <c r="W43" s="7"/>
      <c r="Y43" s="7"/>
      <c r="Z43" s="7"/>
      <c r="AA43" s="8"/>
    </row>
    <row r="44" spans="2:27">
      <c r="B44" s="7"/>
      <c r="C44" s="7"/>
      <c r="F44" s="7"/>
      <c r="M44" s="7"/>
      <c r="N44" s="7"/>
      <c r="O44" s="608"/>
      <c r="Q44" s="7"/>
      <c r="R44" s="7"/>
      <c r="S44" s="608"/>
      <c r="U44" s="7"/>
      <c r="V44" s="7"/>
      <c r="W44" s="7"/>
      <c r="Y44" s="7"/>
      <c r="Z44" s="7"/>
      <c r="AA44" s="8"/>
    </row>
    <row r="45" spans="2:27">
      <c r="B45" s="7"/>
      <c r="C45" s="7"/>
      <c r="F45" s="7"/>
      <c r="M45" s="7"/>
      <c r="N45" s="7"/>
      <c r="O45" s="608"/>
      <c r="Q45" s="7"/>
      <c r="R45" s="7"/>
      <c r="S45" s="608"/>
      <c r="U45" s="7"/>
      <c r="V45" s="7"/>
      <c r="W45" s="7"/>
      <c r="Y45" s="7"/>
      <c r="Z45" s="7"/>
      <c r="AA45" s="8"/>
    </row>
    <row r="46" spans="2:27">
      <c r="B46" s="7"/>
      <c r="C46" s="7"/>
      <c r="F46" s="7"/>
      <c r="M46" s="7"/>
      <c r="N46" s="7"/>
      <c r="O46" s="608"/>
      <c r="Q46" s="7"/>
      <c r="R46" s="7"/>
      <c r="S46" s="608"/>
      <c r="U46" s="7"/>
      <c r="V46" s="7"/>
      <c r="W46" s="7"/>
      <c r="Y46" s="7"/>
      <c r="Z46" s="7"/>
      <c r="AA46" s="8"/>
    </row>
    <row r="47" spans="2:27">
      <c r="B47" s="7"/>
      <c r="C47" s="7"/>
      <c r="F47" s="7"/>
      <c r="M47" s="7"/>
      <c r="N47" s="7"/>
      <c r="O47" s="608"/>
      <c r="Q47" s="7"/>
      <c r="R47" s="7"/>
      <c r="S47" s="608"/>
      <c r="U47" s="7"/>
      <c r="V47" s="7"/>
      <c r="W47" s="7"/>
      <c r="Y47" s="7"/>
      <c r="Z47" s="7"/>
      <c r="AA47" s="8"/>
    </row>
    <row r="48" spans="2:27">
      <c r="B48" s="7"/>
      <c r="C48" s="7"/>
      <c r="F48" s="7"/>
      <c r="M48" s="7"/>
      <c r="N48" s="7"/>
      <c r="O48" s="608"/>
      <c r="Q48" s="7"/>
      <c r="R48" s="7"/>
      <c r="S48" s="608"/>
      <c r="U48" s="7"/>
      <c r="V48" s="7"/>
      <c r="W48" s="7"/>
      <c r="Y48" s="7"/>
      <c r="Z48" s="7"/>
      <c r="AA48" s="8"/>
    </row>
    <row r="49" spans="2:27">
      <c r="B49" s="7"/>
      <c r="C49" s="7"/>
      <c r="F49" s="7"/>
      <c r="M49" s="7"/>
      <c r="N49" s="7"/>
      <c r="O49" s="608"/>
      <c r="Q49" s="7"/>
      <c r="R49" s="7"/>
      <c r="S49" s="608"/>
      <c r="U49" s="7"/>
      <c r="V49" s="7"/>
      <c r="W49" s="7"/>
      <c r="Y49" s="7"/>
      <c r="Z49" s="7"/>
      <c r="AA49" s="8"/>
    </row>
    <row r="50" spans="2:27">
      <c r="B50" s="7"/>
      <c r="C50" s="7"/>
      <c r="F50" s="7"/>
      <c r="M50" s="7"/>
      <c r="N50" s="7"/>
      <c r="O50" s="608"/>
      <c r="Q50" s="7"/>
      <c r="R50" s="7"/>
      <c r="S50" s="608"/>
      <c r="U50" s="7"/>
      <c r="V50" s="7"/>
      <c r="W50" s="7"/>
      <c r="Y50" s="7"/>
      <c r="Z50" s="7"/>
      <c r="AA50" s="8"/>
    </row>
    <row r="51" spans="2:27">
      <c r="B51" s="7"/>
      <c r="C51" s="7"/>
      <c r="F51" s="7"/>
      <c r="M51" s="7"/>
      <c r="N51" s="7"/>
      <c r="O51" s="608"/>
      <c r="Q51" s="7"/>
      <c r="R51" s="7"/>
      <c r="S51" s="608"/>
      <c r="U51" s="7"/>
      <c r="V51" s="7"/>
      <c r="W51" s="7"/>
      <c r="Y51" s="7"/>
      <c r="Z51" s="7"/>
      <c r="AA51" s="8"/>
    </row>
    <row r="52" spans="2:27">
      <c r="B52" s="7"/>
      <c r="C52" s="7"/>
      <c r="F52" s="7"/>
      <c r="M52" s="7"/>
      <c r="N52" s="7"/>
      <c r="O52" s="608"/>
      <c r="Q52" s="7"/>
      <c r="R52" s="7"/>
      <c r="S52" s="608"/>
      <c r="U52" s="7"/>
      <c r="V52" s="7"/>
      <c r="W52" s="7"/>
      <c r="Y52" s="7"/>
      <c r="Z52" s="7"/>
      <c r="AA52" s="8"/>
    </row>
    <row r="53" spans="2:27">
      <c r="B53" s="7"/>
      <c r="C53" s="7"/>
      <c r="F53" s="7"/>
      <c r="M53" s="7"/>
      <c r="N53" s="7"/>
      <c r="O53" s="608"/>
      <c r="Q53" s="7"/>
      <c r="R53" s="7"/>
      <c r="S53" s="608"/>
      <c r="U53" s="7"/>
      <c r="V53" s="7"/>
      <c r="W53" s="7"/>
      <c r="Y53" s="7"/>
      <c r="Z53" s="7"/>
      <c r="AA53" s="8"/>
    </row>
    <row r="54" spans="2:27">
      <c r="B54" s="7"/>
      <c r="C54" s="7"/>
      <c r="F54" s="7"/>
      <c r="M54" s="7"/>
      <c r="N54" s="7"/>
      <c r="O54" s="608"/>
      <c r="Q54" s="7"/>
      <c r="R54" s="7"/>
      <c r="S54" s="608"/>
      <c r="U54" s="7"/>
      <c r="V54" s="7"/>
      <c r="W54" s="7"/>
      <c r="Y54" s="7"/>
      <c r="Z54" s="7"/>
      <c r="AA54" s="8"/>
    </row>
    <row r="55" spans="2:27">
      <c r="B55" s="7"/>
      <c r="C55" s="7"/>
      <c r="F55" s="7"/>
      <c r="M55" s="7"/>
      <c r="N55" s="7"/>
      <c r="O55" s="608"/>
      <c r="Q55" s="7"/>
      <c r="R55" s="7"/>
      <c r="S55" s="608"/>
      <c r="U55" s="7"/>
      <c r="V55" s="7"/>
      <c r="W55" s="7"/>
      <c r="Y55" s="7"/>
      <c r="Z55" s="7"/>
      <c r="AA55" s="8"/>
    </row>
    <row r="56" spans="2:27">
      <c r="B56" s="7"/>
      <c r="C56" s="7"/>
      <c r="F56" s="7"/>
      <c r="M56" s="7"/>
      <c r="N56" s="7"/>
      <c r="O56" s="608"/>
      <c r="Q56" s="7"/>
      <c r="R56" s="7"/>
      <c r="S56" s="608"/>
      <c r="U56" s="7"/>
      <c r="V56" s="7"/>
      <c r="W56" s="7"/>
      <c r="Y56" s="7"/>
      <c r="Z56" s="7"/>
      <c r="AA56" s="8"/>
    </row>
    <row r="57" spans="2:27">
      <c r="B57" s="7"/>
      <c r="C57" s="7"/>
      <c r="F57" s="7"/>
      <c r="M57" s="7"/>
      <c r="N57" s="7"/>
      <c r="O57" s="608"/>
      <c r="Q57" s="7"/>
      <c r="R57" s="7"/>
      <c r="S57" s="608"/>
      <c r="U57" s="7"/>
      <c r="V57" s="7"/>
      <c r="W57" s="7"/>
      <c r="Y57" s="7"/>
      <c r="Z57" s="7"/>
      <c r="AA57" s="8"/>
    </row>
    <row r="58" spans="2:27">
      <c r="B58" s="7"/>
      <c r="C58" s="7"/>
      <c r="F58" s="7"/>
      <c r="M58" s="7"/>
      <c r="N58" s="7"/>
      <c r="O58" s="608"/>
      <c r="Q58" s="7"/>
      <c r="R58" s="7"/>
      <c r="S58" s="608"/>
      <c r="U58" s="7"/>
      <c r="V58" s="7"/>
      <c r="W58" s="7"/>
      <c r="Y58" s="7"/>
      <c r="Z58" s="7"/>
      <c r="AA58" s="8"/>
    </row>
    <row r="59" spans="2:27">
      <c r="B59" s="7"/>
      <c r="C59" s="7"/>
      <c r="F59" s="7"/>
      <c r="M59" s="7"/>
      <c r="N59" s="7"/>
      <c r="O59" s="608"/>
      <c r="Q59" s="7"/>
      <c r="R59" s="7"/>
      <c r="S59" s="608"/>
      <c r="U59" s="7"/>
      <c r="V59" s="7"/>
      <c r="W59" s="7"/>
      <c r="Y59" s="7"/>
      <c r="Z59" s="7"/>
      <c r="AA59" s="8"/>
    </row>
    <row r="60" spans="2:27">
      <c r="B60" s="7"/>
      <c r="C60" s="7"/>
      <c r="F60" s="7"/>
      <c r="M60" s="7"/>
      <c r="N60" s="7"/>
      <c r="O60" s="608"/>
      <c r="Q60" s="7"/>
      <c r="R60" s="7"/>
      <c r="S60" s="608"/>
      <c r="U60" s="7"/>
      <c r="V60" s="7"/>
      <c r="W60" s="7"/>
      <c r="Y60" s="7"/>
      <c r="Z60" s="7"/>
      <c r="AA60" s="8"/>
    </row>
    <row r="61" spans="2:27">
      <c r="B61" s="7"/>
      <c r="C61" s="7"/>
      <c r="F61" s="7"/>
      <c r="M61" s="7"/>
      <c r="N61" s="7"/>
      <c r="O61" s="608"/>
      <c r="Q61" s="7"/>
      <c r="R61" s="7"/>
      <c r="S61" s="608"/>
      <c r="U61" s="7"/>
      <c r="V61" s="7"/>
      <c r="W61" s="7"/>
      <c r="Y61" s="7"/>
      <c r="Z61" s="7"/>
      <c r="AA61" s="8"/>
    </row>
    <row r="62" spans="2:27">
      <c r="B62" s="7"/>
      <c r="C62" s="7"/>
      <c r="F62" s="7"/>
      <c r="M62" s="7"/>
      <c r="N62" s="7"/>
      <c r="O62" s="608"/>
      <c r="Q62" s="7"/>
      <c r="R62" s="7"/>
      <c r="S62" s="608"/>
      <c r="U62" s="7"/>
      <c r="V62" s="7"/>
      <c r="W62" s="7"/>
      <c r="Y62" s="7"/>
      <c r="Z62" s="7"/>
      <c r="AA62" s="8"/>
    </row>
    <row r="63" spans="2:27">
      <c r="B63" s="7"/>
      <c r="C63" s="7"/>
      <c r="F63" s="7"/>
      <c r="M63" s="7"/>
      <c r="N63" s="7"/>
      <c r="O63" s="608"/>
      <c r="Q63" s="7"/>
      <c r="R63" s="7"/>
      <c r="S63" s="608"/>
      <c r="U63" s="7"/>
      <c r="V63" s="7"/>
      <c r="W63" s="7"/>
      <c r="Y63" s="7"/>
      <c r="Z63" s="7"/>
      <c r="AA63" s="8"/>
    </row>
    <row r="64" spans="2:27">
      <c r="B64" s="7"/>
      <c r="C64" s="7"/>
      <c r="F64" s="7"/>
      <c r="M64" s="7"/>
      <c r="N64" s="7"/>
      <c r="O64" s="608"/>
      <c r="Q64" s="7"/>
      <c r="R64" s="7"/>
      <c r="S64" s="608"/>
      <c r="U64" s="7"/>
      <c r="V64" s="7"/>
      <c r="W64" s="7"/>
      <c r="Y64" s="7"/>
      <c r="Z64" s="7"/>
      <c r="AA64" s="8"/>
    </row>
    <row r="65" spans="2:27">
      <c r="B65" s="7"/>
      <c r="C65" s="7"/>
      <c r="F65" s="7"/>
      <c r="M65" s="7"/>
      <c r="N65" s="7"/>
      <c r="O65" s="608"/>
      <c r="Q65" s="7"/>
      <c r="R65" s="7"/>
      <c r="S65" s="608"/>
      <c r="U65" s="7"/>
      <c r="V65" s="7"/>
      <c r="W65" s="7"/>
      <c r="Y65" s="7"/>
      <c r="Z65" s="7"/>
      <c r="AA65" s="8"/>
    </row>
    <row r="66" spans="2:27">
      <c r="B66" s="7"/>
      <c r="C66" s="7"/>
      <c r="F66" s="7"/>
      <c r="M66" s="7"/>
      <c r="N66" s="7"/>
      <c r="O66" s="608"/>
      <c r="Q66" s="7"/>
      <c r="R66" s="7"/>
      <c r="S66" s="608"/>
      <c r="U66" s="7"/>
      <c r="V66" s="7"/>
      <c r="W66" s="7"/>
      <c r="Y66" s="7"/>
      <c r="Z66" s="7"/>
      <c r="AA66" s="8"/>
    </row>
    <row r="67" spans="2:27">
      <c r="B67" s="7"/>
      <c r="C67" s="7"/>
      <c r="F67" s="7"/>
      <c r="M67" s="7"/>
      <c r="N67" s="7"/>
      <c r="O67" s="608"/>
      <c r="Q67" s="7"/>
      <c r="R67" s="7"/>
      <c r="S67" s="608"/>
      <c r="U67" s="7"/>
      <c r="V67" s="7"/>
      <c r="W67" s="7"/>
      <c r="Y67" s="7"/>
      <c r="Z67" s="7"/>
      <c r="AA67" s="8"/>
    </row>
    <row r="68" spans="2:27">
      <c r="B68" s="7"/>
      <c r="C68" s="7"/>
      <c r="F68" s="7"/>
      <c r="M68" s="7"/>
      <c r="N68" s="7"/>
      <c r="O68" s="608"/>
      <c r="Q68" s="7"/>
      <c r="R68" s="7"/>
      <c r="S68" s="608"/>
      <c r="U68" s="7"/>
      <c r="V68" s="7"/>
      <c r="W68" s="7"/>
      <c r="Y68" s="7"/>
      <c r="Z68" s="7"/>
      <c r="AA68" s="8"/>
    </row>
    <row r="69" spans="2:27">
      <c r="B69" s="7"/>
      <c r="C69" s="7"/>
      <c r="F69" s="7"/>
      <c r="M69" s="7"/>
      <c r="N69" s="7"/>
      <c r="O69" s="608"/>
      <c r="Q69" s="7"/>
      <c r="R69" s="7"/>
      <c r="S69" s="608"/>
      <c r="U69" s="7"/>
      <c r="V69" s="7"/>
      <c r="W69" s="7"/>
      <c r="Y69" s="7"/>
      <c r="Z69" s="7"/>
      <c r="AA69" s="8"/>
    </row>
    <row r="70" spans="2:27">
      <c r="B70" s="7"/>
      <c r="C70" s="7"/>
      <c r="F70" s="7"/>
      <c r="M70" s="7"/>
      <c r="N70" s="7"/>
      <c r="O70" s="608"/>
      <c r="Q70" s="7"/>
      <c r="R70" s="7"/>
      <c r="S70" s="608"/>
      <c r="U70" s="7"/>
      <c r="V70" s="7"/>
      <c r="W70" s="7"/>
      <c r="Y70" s="7"/>
      <c r="Z70" s="7"/>
      <c r="AA70" s="8"/>
    </row>
    <row r="71" spans="2:27">
      <c r="B71" s="7"/>
      <c r="C71" s="7"/>
      <c r="F71" s="7"/>
      <c r="M71" s="7"/>
      <c r="N71" s="7"/>
      <c r="O71" s="608"/>
      <c r="Q71" s="7"/>
      <c r="R71" s="7"/>
      <c r="S71" s="608"/>
      <c r="U71" s="7"/>
      <c r="V71" s="7"/>
      <c r="W71" s="7"/>
      <c r="Y71" s="7"/>
      <c r="Z71" s="7"/>
      <c r="AA71" s="8"/>
    </row>
    <row r="73" spans="2:27">
      <c r="B73" s="7"/>
      <c r="C73" s="7"/>
      <c r="F73" s="7"/>
      <c r="M73" s="7"/>
      <c r="N73" s="7"/>
      <c r="O73" s="608"/>
      <c r="Q73" s="7"/>
      <c r="R73" s="7"/>
      <c r="S73" s="608"/>
      <c r="U73" s="7"/>
      <c r="V73" s="7"/>
      <c r="W73" s="7"/>
      <c r="Y73" s="7"/>
      <c r="Z73" s="7"/>
      <c r="AA73" s="8"/>
    </row>
    <row r="78" spans="2:27">
      <c r="B78" s="7"/>
      <c r="C78" s="7"/>
      <c r="F78" s="7"/>
      <c r="M78" s="7"/>
      <c r="N78" s="7"/>
      <c r="O78" s="608"/>
      <c r="Q78" s="7"/>
      <c r="R78" s="7"/>
      <c r="S78" s="608"/>
      <c r="U78" s="7"/>
      <c r="V78" s="7"/>
      <c r="W78" s="7"/>
      <c r="Y78" s="7"/>
      <c r="Z78" s="7"/>
      <c r="AA78" s="8"/>
    </row>
  </sheetData>
  <phoneticPr fontId="0" type="noConversion"/>
  <dataValidations count="1">
    <dataValidation allowBlank="1" showInputMessage="1" showErrorMessage="1" prompt="always 1" sqref="L7:L10 P7:P10 T7:T10 X7:X10"/>
  </dataValidations>
  <pageMargins left="0.78740157499999996" right="0.78740157499999996" top="0.984251969" bottom="0.984251969" header="0.4921259845" footer="0.4921259845"/>
  <pageSetup paperSize="9" scale="81"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7">
    <pageSetUpPr fitToPage="1"/>
  </sheetPr>
  <dimension ref="A1:AV81"/>
  <sheetViews>
    <sheetView zoomScale="85" zoomScaleNormal="85" workbookViewId="0">
      <pane xSplit="6" ySplit="6" topLeftCell="G7" activePane="bottomRight" state="frozen"/>
      <selection activeCell="J46" sqref="J46"/>
      <selection pane="topRight" activeCell="J46" sqref="J46"/>
      <selection pane="bottomLeft" activeCell="J46" sqref="J46"/>
      <selection pane="bottomRight" activeCell="J46" sqref="J46"/>
    </sheetView>
  </sheetViews>
  <sheetFormatPr defaultColWidth="11.42578125" defaultRowHeight="12" outlineLevelRow="1" outlineLevelCol="1"/>
  <cols>
    <col min="1" max="1" width="9" style="7" customWidth="1"/>
    <col min="2" max="2" width="12.140625" style="582" customWidth="1"/>
    <col min="3" max="3" width="3.7109375" style="159" hidden="1" customWidth="1" outlineLevel="1"/>
    <col min="4" max="4" width="3.140625" style="7" hidden="1" customWidth="1" outlineLevel="1"/>
    <col min="5" max="5" width="2.7109375" style="7" hidden="1" customWidth="1" outlineLevel="1"/>
    <col min="6" max="6" width="38" style="8" customWidth="1" collapsed="1"/>
    <col min="7" max="7" width="6" style="7" customWidth="1"/>
    <col min="8" max="8" width="5.7109375" style="7" hidden="1" customWidth="1" outlineLevel="1"/>
    <col min="9" max="9" width="3.5703125" style="7" hidden="1" customWidth="1" outlineLevel="1"/>
    <col min="10" max="10" width="2.28515625" style="7" customWidth="1" collapsed="1"/>
    <col min="11" max="11" width="5.140625" style="7" customWidth="1"/>
    <col min="12" max="12" width="8.42578125" style="7" customWidth="1"/>
    <col min="13" max="15" width="8.42578125" style="140" hidden="1" customWidth="1" outlineLevel="1"/>
    <col min="16" max="16" width="8.42578125" style="7" customWidth="1" collapsed="1"/>
    <col min="17" max="19" width="8.42578125" style="140" hidden="1" customWidth="1" outlineLevel="1"/>
    <col min="20" max="20" width="8.42578125" style="7" customWidth="1" collapsed="1"/>
    <col min="21" max="21" width="4.140625" style="140" hidden="1" customWidth="1" outlineLevel="1"/>
    <col min="22" max="22" width="5" style="140" hidden="1" customWidth="1" outlineLevel="1"/>
    <col min="23" max="23" width="48.7109375" style="140" hidden="1" customWidth="1" outlineLevel="1"/>
    <col min="24" max="24" width="8.42578125" style="7" customWidth="1" collapsed="1"/>
    <col min="25" max="27" width="8.42578125" style="140" hidden="1" customWidth="1" outlineLevel="1"/>
    <col min="28" max="28" width="8.42578125" style="7" customWidth="1" collapsed="1"/>
    <col min="29" max="31" width="8.42578125" style="140" hidden="1" customWidth="1" outlineLevel="1"/>
    <col min="32" max="32" width="8.42578125" style="7" customWidth="1" collapsed="1"/>
    <col min="33" max="35" width="8.42578125" style="140" hidden="1" customWidth="1" outlineLevel="1"/>
    <col min="36" max="36" width="8.42578125" style="7" customWidth="1" collapsed="1"/>
    <col min="37" max="39" width="8.42578125" style="140" hidden="1" customWidth="1" outlineLevel="1"/>
    <col min="40" max="40" width="8.42578125" style="7" customWidth="1" collapsed="1"/>
    <col min="41" max="41" width="5" style="140" customWidth="1" outlineLevel="1"/>
    <col min="42" max="42" width="5.28515625" style="140" customWidth="1" outlineLevel="1"/>
    <col min="43" max="43" width="42.7109375" style="33" customWidth="1" outlineLevel="1"/>
    <col min="44" max="44" width="8.42578125" style="261" customWidth="1"/>
    <col min="45" max="45" width="8.42578125" style="7" customWidth="1"/>
    <col min="46" max="46" width="2.42578125" style="32" customWidth="1" outlineLevel="1"/>
    <col min="47" max="47" width="4.85546875" style="32" customWidth="1" outlineLevel="1"/>
    <col min="48" max="48" width="52" style="33" customWidth="1" outlineLevel="1"/>
    <col min="49" max="16384" width="11.42578125" style="7"/>
  </cols>
  <sheetData>
    <row r="1" spans="1:48">
      <c r="A1" s="36"/>
      <c r="B1" s="169"/>
      <c r="C1" s="35"/>
      <c r="D1" s="36"/>
      <c r="E1" s="36"/>
      <c r="F1" s="37" t="s">
        <v>510</v>
      </c>
      <c r="G1" s="36"/>
      <c r="H1" s="36"/>
      <c r="I1" s="36"/>
      <c r="J1" s="36"/>
      <c r="K1" s="36"/>
      <c r="L1" s="122" t="s">
        <v>759</v>
      </c>
      <c r="M1" s="22"/>
      <c r="N1" s="22"/>
      <c r="O1" s="22"/>
      <c r="P1" s="122" t="s">
        <v>758</v>
      </c>
      <c r="Q1" s="22"/>
      <c r="R1" s="22"/>
      <c r="S1" s="22"/>
      <c r="T1" s="615" t="s">
        <v>882</v>
      </c>
      <c r="U1" s="22"/>
      <c r="V1" s="22"/>
      <c r="W1" s="22"/>
      <c r="X1" s="615" t="s">
        <v>881</v>
      </c>
      <c r="Y1" s="22"/>
      <c r="Z1" s="22"/>
      <c r="AA1" s="22"/>
      <c r="AB1" s="615" t="s">
        <v>884</v>
      </c>
      <c r="AC1" s="22"/>
      <c r="AD1" s="22"/>
      <c r="AE1" s="22"/>
      <c r="AF1" s="615" t="s">
        <v>883</v>
      </c>
      <c r="AG1" s="22"/>
      <c r="AH1" s="22"/>
      <c r="AI1" s="22"/>
      <c r="AJ1" s="122">
        <v>1619</v>
      </c>
      <c r="AK1" s="22"/>
      <c r="AL1" s="22"/>
      <c r="AM1" s="22"/>
      <c r="AN1" s="122">
        <v>1626</v>
      </c>
      <c r="AO1" s="22"/>
      <c r="AP1" s="22"/>
      <c r="AQ1" s="324"/>
      <c r="AS1" s="122">
        <v>4836</v>
      </c>
      <c r="AT1" s="22"/>
      <c r="AU1" s="22"/>
      <c r="AV1" s="22"/>
    </row>
    <row r="2" spans="1:48">
      <c r="A2" s="36"/>
      <c r="B2" s="578"/>
      <c r="C2" s="35" t="s">
        <v>511</v>
      </c>
      <c r="D2" s="147">
        <v>3503</v>
      </c>
      <c r="E2" s="147">
        <v>3504</v>
      </c>
      <c r="F2" s="147">
        <v>3702</v>
      </c>
      <c r="G2" s="147">
        <v>3703</v>
      </c>
      <c r="H2" s="147">
        <v>3506</v>
      </c>
      <c r="I2" s="147">
        <v>3507</v>
      </c>
      <c r="J2" s="147">
        <v>3508</v>
      </c>
      <c r="K2" s="147">
        <v>3706</v>
      </c>
      <c r="L2" s="147">
        <v>3707</v>
      </c>
      <c r="M2" s="133">
        <v>3708</v>
      </c>
      <c r="N2" s="133">
        <v>3709</v>
      </c>
      <c r="O2" s="134">
        <v>3792</v>
      </c>
      <c r="P2" s="147">
        <v>3707</v>
      </c>
      <c r="Q2" s="133">
        <v>3708</v>
      </c>
      <c r="R2" s="133">
        <v>3709</v>
      </c>
      <c r="S2" s="134">
        <v>3792</v>
      </c>
      <c r="T2" s="147">
        <v>3707</v>
      </c>
      <c r="U2" s="133">
        <v>3708</v>
      </c>
      <c r="V2" s="133">
        <v>3709</v>
      </c>
      <c r="W2" s="134">
        <v>3792</v>
      </c>
      <c r="X2" s="147">
        <v>3707</v>
      </c>
      <c r="Y2" s="133">
        <v>3708</v>
      </c>
      <c r="Z2" s="133">
        <v>3709</v>
      </c>
      <c r="AA2" s="134">
        <v>3792</v>
      </c>
      <c r="AB2" s="147">
        <v>3707</v>
      </c>
      <c r="AC2" s="133">
        <v>3708</v>
      </c>
      <c r="AD2" s="133">
        <v>3709</v>
      </c>
      <c r="AE2" s="134">
        <v>3792</v>
      </c>
      <c r="AF2" s="147">
        <v>3707</v>
      </c>
      <c r="AG2" s="133">
        <v>3708</v>
      </c>
      <c r="AH2" s="133">
        <v>3709</v>
      </c>
      <c r="AI2" s="134">
        <v>3792</v>
      </c>
      <c r="AJ2" s="147">
        <v>3707</v>
      </c>
      <c r="AK2" s="133">
        <v>3708</v>
      </c>
      <c r="AL2" s="133">
        <v>3709</v>
      </c>
      <c r="AM2" s="134">
        <v>3792</v>
      </c>
      <c r="AN2" s="147">
        <v>3707</v>
      </c>
      <c r="AO2" s="133">
        <v>3708</v>
      </c>
      <c r="AP2" s="133">
        <v>3709</v>
      </c>
      <c r="AQ2" s="24">
        <v>3792</v>
      </c>
      <c r="AR2" s="695"/>
      <c r="AS2" s="147">
        <v>3707</v>
      </c>
      <c r="AT2" s="23">
        <v>3708</v>
      </c>
      <c r="AU2" s="23">
        <v>3709</v>
      </c>
      <c r="AV2" s="24">
        <v>3792</v>
      </c>
    </row>
    <row r="3" spans="1:48" ht="101.25">
      <c r="A3" s="36" t="s">
        <v>398</v>
      </c>
      <c r="B3" s="579"/>
      <c r="C3" s="544">
        <v>401</v>
      </c>
      <c r="D3" s="545" t="s">
        <v>514</v>
      </c>
      <c r="E3" s="545" t="s">
        <v>515</v>
      </c>
      <c r="F3" s="546" t="s">
        <v>516</v>
      </c>
      <c r="G3" s="547" t="s">
        <v>517</v>
      </c>
      <c r="H3" s="547" t="s">
        <v>518</v>
      </c>
      <c r="I3" s="547" t="s">
        <v>519</v>
      </c>
      <c r="J3" s="547" t="s">
        <v>520</v>
      </c>
      <c r="K3" s="547" t="s">
        <v>394</v>
      </c>
      <c r="L3" s="548" t="s">
        <v>1119</v>
      </c>
      <c r="M3" s="609" t="s">
        <v>265</v>
      </c>
      <c r="N3" s="609" t="s">
        <v>266</v>
      </c>
      <c r="O3" s="610" t="s">
        <v>548</v>
      </c>
      <c r="P3" s="548" t="s">
        <v>1120</v>
      </c>
      <c r="Q3" s="609" t="s">
        <v>265</v>
      </c>
      <c r="R3" s="609" t="s">
        <v>266</v>
      </c>
      <c r="S3" s="610" t="s">
        <v>548</v>
      </c>
      <c r="T3" s="548" t="s">
        <v>1119</v>
      </c>
      <c r="U3" s="609" t="s">
        <v>265</v>
      </c>
      <c r="V3" s="609" t="s">
        <v>266</v>
      </c>
      <c r="W3" s="610" t="s">
        <v>548</v>
      </c>
      <c r="X3" s="548" t="s">
        <v>1120</v>
      </c>
      <c r="Y3" s="609" t="s">
        <v>265</v>
      </c>
      <c r="Z3" s="609" t="s">
        <v>266</v>
      </c>
      <c r="AA3" s="610" t="s">
        <v>548</v>
      </c>
      <c r="AB3" s="548" t="s">
        <v>1119</v>
      </c>
      <c r="AC3" s="609" t="s">
        <v>265</v>
      </c>
      <c r="AD3" s="609" t="s">
        <v>266</v>
      </c>
      <c r="AE3" s="610" t="s">
        <v>548</v>
      </c>
      <c r="AF3" s="548" t="s">
        <v>1120</v>
      </c>
      <c r="AG3" s="609" t="s">
        <v>265</v>
      </c>
      <c r="AH3" s="609" t="s">
        <v>266</v>
      </c>
      <c r="AI3" s="610" t="s">
        <v>548</v>
      </c>
      <c r="AJ3" s="548" t="s">
        <v>1119</v>
      </c>
      <c r="AK3" s="609" t="s">
        <v>265</v>
      </c>
      <c r="AL3" s="609" t="s">
        <v>266</v>
      </c>
      <c r="AM3" s="610" t="s">
        <v>548</v>
      </c>
      <c r="AN3" s="548" t="s">
        <v>1120</v>
      </c>
      <c r="AO3" s="609" t="s">
        <v>265</v>
      </c>
      <c r="AP3" s="609" t="s">
        <v>266</v>
      </c>
      <c r="AQ3" s="550" t="s">
        <v>548</v>
      </c>
      <c r="AR3" s="696"/>
      <c r="AS3" s="548" t="s">
        <v>1236</v>
      </c>
      <c r="AT3" s="549" t="s">
        <v>265</v>
      </c>
      <c r="AU3" s="549" t="s">
        <v>266</v>
      </c>
      <c r="AV3" s="550" t="s">
        <v>548</v>
      </c>
    </row>
    <row r="4" spans="1:48">
      <c r="A4" s="36"/>
      <c r="B4" s="579"/>
      <c r="C4" s="544">
        <v>662</v>
      </c>
      <c r="D4" s="48"/>
      <c r="E4" s="48"/>
      <c r="F4" s="546" t="s">
        <v>517</v>
      </c>
      <c r="G4" s="546"/>
      <c r="H4" s="546"/>
      <c r="I4" s="546"/>
      <c r="J4" s="546"/>
      <c r="K4" s="546"/>
      <c r="L4" s="548" t="s">
        <v>1105</v>
      </c>
      <c r="M4" s="611"/>
      <c r="N4" s="611"/>
      <c r="O4" s="612"/>
      <c r="P4" s="548" t="s">
        <v>1105</v>
      </c>
      <c r="Q4" s="611"/>
      <c r="R4" s="611"/>
      <c r="S4" s="612"/>
      <c r="T4" s="548" t="s">
        <v>465</v>
      </c>
      <c r="U4" s="611"/>
      <c r="V4" s="611"/>
      <c r="W4" s="612"/>
      <c r="X4" s="548" t="s">
        <v>465</v>
      </c>
      <c r="Y4" s="611"/>
      <c r="Z4" s="611"/>
      <c r="AA4" s="612"/>
      <c r="AB4" s="548" t="s">
        <v>956</v>
      </c>
      <c r="AC4" s="611"/>
      <c r="AD4" s="611"/>
      <c r="AE4" s="612"/>
      <c r="AF4" s="548" t="s">
        <v>956</v>
      </c>
      <c r="AG4" s="611"/>
      <c r="AH4" s="611"/>
      <c r="AI4" s="612"/>
      <c r="AJ4" s="548" t="s">
        <v>521</v>
      </c>
      <c r="AK4" s="611">
        <v>0</v>
      </c>
      <c r="AL4" s="611">
        <v>0</v>
      </c>
      <c r="AM4" s="612">
        <v>0</v>
      </c>
      <c r="AN4" s="548" t="s">
        <v>521</v>
      </c>
      <c r="AO4" s="611">
        <v>0</v>
      </c>
      <c r="AP4" s="611">
        <v>0</v>
      </c>
      <c r="AQ4" s="552">
        <v>0</v>
      </c>
      <c r="AR4" s="697"/>
      <c r="AS4" s="548" t="s">
        <v>521</v>
      </c>
      <c r="AT4" s="551"/>
      <c r="AU4" s="551"/>
      <c r="AV4" s="552"/>
    </row>
    <row r="5" spans="1:48">
      <c r="A5" s="36"/>
      <c r="B5" s="579"/>
      <c r="C5" s="544">
        <v>493</v>
      </c>
      <c r="D5" s="48"/>
      <c r="E5" s="48"/>
      <c r="F5" s="546" t="s">
        <v>520</v>
      </c>
      <c r="G5" s="546"/>
      <c r="H5" s="546"/>
      <c r="I5" s="546"/>
      <c r="J5" s="546"/>
      <c r="K5" s="546"/>
      <c r="L5" s="548">
        <v>0</v>
      </c>
      <c r="M5" s="611"/>
      <c r="N5" s="611"/>
      <c r="O5" s="612"/>
      <c r="P5" s="548">
        <v>0</v>
      </c>
      <c r="Q5" s="611"/>
      <c r="R5" s="611"/>
      <c r="S5" s="612"/>
      <c r="T5" s="548">
        <v>0</v>
      </c>
      <c r="U5" s="611"/>
      <c r="V5" s="611"/>
      <c r="W5" s="612"/>
      <c r="X5" s="548">
        <v>0</v>
      </c>
      <c r="Y5" s="611"/>
      <c r="Z5" s="611"/>
      <c r="AA5" s="612"/>
      <c r="AB5" s="548">
        <v>0</v>
      </c>
      <c r="AC5" s="611"/>
      <c r="AD5" s="611"/>
      <c r="AE5" s="612"/>
      <c r="AF5" s="548">
        <v>0</v>
      </c>
      <c r="AG5" s="611"/>
      <c r="AH5" s="611"/>
      <c r="AI5" s="612"/>
      <c r="AJ5" s="548">
        <v>0</v>
      </c>
      <c r="AK5" s="611">
        <v>0</v>
      </c>
      <c r="AL5" s="611">
        <v>0</v>
      </c>
      <c r="AM5" s="612">
        <v>0</v>
      </c>
      <c r="AN5" s="548">
        <v>0</v>
      </c>
      <c r="AO5" s="611">
        <v>0</v>
      </c>
      <c r="AP5" s="611">
        <v>0</v>
      </c>
      <c r="AQ5" s="552">
        <v>0</v>
      </c>
      <c r="AR5" s="697"/>
      <c r="AS5" s="548">
        <v>0</v>
      </c>
      <c r="AT5" s="551"/>
      <c r="AU5" s="551"/>
      <c r="AV5" s="552"/>
    </row>
    <row r="6" spans="1:48">
      <c r="A6" s="36"/>
      <c r="B6" s="579"/>
      <c r="C6" s="544">
        <v>403</v>
      </c>
      <c r="D6" s="48"/>
      <c r="E6" s="48"/>
      <c r="F6" s="546" t="s">
        <v>394</v>
      </c>
      <c r="G6" s="553"/>
      <c r="H6" s="546"/>
      <c r="I6" s="546"/>
      <c r="J6" s="546"/>
      <c r="K6" s="546"/>
      <c r="L6" s="548" t="s">
        <v>396</v>
      </c>
      <c r="M6" s="611"/>
      <c r="N6" s="611"/>
      <c r="O6" s="612"/>
      <c r="P6" s="548" t="s">
        <v>396</v>
      </c>
      <c r="Q6" s="611"/>
      <c r="R6" s="611"/>
      <c r="S6" s="612"/>
      <c r="T6" s="548" t="s">
        <v>396</v>
      </c>
      <c r="U6" s="611"/>
      <c r="V6" s="611"/>
      <c r="W6" s="612"/>
      <c r="X6" s="548" t="s">
        <v>396</v>
      </c>
      <c r="Y6" s="611"/>
      <c r="Z6" s="611"/>
      <c r="AA6" s="612"/>
      <c r="AB6" s="548" t="s">
        <v>396</v>
      </c>
      <c r="AC6" s="611"/>
      <c r="AD6" s="611"/>
      <c r="AE6" s="612"/>
      <c r="AF6" s="548" t="s">
        <v>396</v>
      </c>
      <c r="AG6" s="611"/>
      <c r="AH6" s="611"/>
      <c r="AI6" s="612"/>
      <c r="AJ6" s="548" t="s">
        <v>396</v>
      </c>
      <c r="AK6" s="611">
        <v>0</v>
      </c>
      <c r="AL6" s="611">
        <v>0</v>
      </c>
      <c r="AM6" s="612">
        <v>0</v>
      </c>
      <c r="AN6" s="548" t="s">
        <v>396</v>
      </c>
      <c r="AO6" s="611">
        <v>0</v>
      </c>
      <c r="AP6" s="611">
        <v>0</v>
      </c>
      <c r="AQ6" s="552">
        <v>0</v>
      </c>
      <c r="AR6" s="697"/>
      <c r="AS6" s="548" t="s">
        <v>396</v>
      </c>
      <c r="AT6" s="551"/>
      <c r="AU6" s="551"/>
      <c r="AV6" s="552"/>
    </row>
    <row r="7" spans="1:48" outlineLevel="1">
      <c r="A7" s="471" t="s">
        <v>758</v>
      </c>
      <c r="B7" s="580" t="s">
        <v>523</v>
      </c>
      <c r="C7" s="554"/>
      <c r="D7" s="555" t="s">
        <v>402</v>
      </c>
      <c r="E7" s="556">
        <v>0</v>
      </c>
      <c r="F7" s="557" t="s">
        <v>1120</v>
      </c>
      <c r="G7" s="558" t="s">
        <v>1105</v>
      </c>
      <c r="H7" s="559" t="s">
        <v>402</v>
      </c>
      <c r="I7" s="559" t="s">
        <v>402</v>
      </c>
      <c r="J7" s="560">
        <v>0</v>
      </c>
      <c r="K7" s="558" t="s">
        <v>396</v>
      </c>
      <c r="L7" s="606">
        <v>0</v>
      </c>
      <c r="M7" s="561"/>
      <c r="N7" s="561"/>
      <c r="O7" s="613"/>
      <c r="P7" s="606">
        <v>1</v>
      </c>
      <c r="Q7" s="561"/>
      <c r="R7" s="561"/>
      <c r="S7" s="613"/>
      <c r="T7" s="606">
        <v>0</v>
      </c>
      <c r="U7" s="561"/>
      <c r="V7" s="561"/>
      <c r="W7" s="613"/>
      <c r="X7" s="606">
        <v>0</v>
      </c>
      <c r="Y7" s="561"/>
      <c r="Z7" s="561"/>
      <c r="AA7" s="613"/>
      <c r="AB7" s="606">
        <v>0</v>
      </c>
      <c r="AC7" s="561"/>
      <c r="AD7" s="561"/>
      <c r="AE7" s="613"/>
      <c r="AF7" s="606">
        <v>0</v>
      </c>
      <c r="AG7" s="561"/>
      <c r="AH7" s="561"/>
      <c r="AI7" s="613"/>
      <c r="AJ7" s="606">
        <v>0</v>
      </c>
      <c r="AK7" s="611"/>
      <c r="AL7" s="611"/>
      <c r="AM7" s="612"/>
      <c r="AN7" s="606">
        <v>0</v>
      </c>
      <c r="AO7" s="613"/>
      <c r="AP7" s="613"/>
      <c r="AQ7" s="562"/>
      <c r="AR7" s="697"/>
      <c r="AS7" s="606">
        <v>0</v>
      </c>
      <c r="AT7" s="561"/>
      <c r="AU7" s="563"/>
      <c r="AV7" s="562"/>
    </row>
    <row r="8" spans="1:48" outlineLevel="1">
      <c r="A8" s="471" t="s">
        <v>759</v>
      </c>
      <c r="B8" s="580"/>
      <c r="C8" s="554"/>
      <c r="D8" s="555" t="s">
        <v>402</v>
      </c>
      <c r="E8" s="556">
        <v>0</v>
      </c>
      <c r="F8" s="557" t="s">
        <v>1119</v>
      </c>
      <c r="G8" s="558" t="s">
        <v>1105</v>
      </c>
      <c r="H8" s="559" t="s">
        <v>402</v>
      </c>
      <c r="I8" s="559" t="s">
        <v>402</v>
      </c>
      <c r="J8" s="560">
        <v>0</v>
      </c>
      <c r="K8" s="558" t="s">
        <v>396</v>
      </c>
      <c r="L8" s="606">
        <v>1</v>
      </c>
      <c r="M8" s="561"/>
      <c r="N8" s="561"/>
      <c r="O8" s="613"/>
      <c r="P8" s="606">
        <v>0</v>
      </c>
      <c r="Q8" s="561"/>
      <c r="R8" s="561"/>
      <c r="S8" s="613"/>
      <c r="T8" s="606">
        <v>0</v>
      </c>
      <c r="U8" s="561"/>
      <c r="V8" s="561"/>
      <c r="W8" s="613"/>
      <c r="X8" s="606">
        <v>0</v>
      </c>
      <c r="Y8" s="561"/>
      <c r="Z8" s="561"/>
      <c r="AA8" s="613"/>
      <c r="AB8" s="606">
        <v>0</v>
      </c>
      <c r="AC8" s="561"/>
      <c r="AD8" s="561"/>
      <c r="AE8" s="613"/>
      <c r="AF8" s="606">
        <v>0</v>
      </c>
      <c r="AG8" s="561"/>
      <c r="AH8" s="561"/>
      <c r="AI8" s="613"/>
      <c r="AJ8" s="606">
        <v>0</v>
      </c>
      <c r="AK8" s="611"/>
      <c r="AL8" s="611"/>
      <c r="AM8" s="612"/>
      <c r="AN8" s="606">
        <v>0</v>
      </c>
      <c r="AO8" s="613"/>
      <c r="AP8" s="613"/>
      <c r="AQ8" s="562"/>
      <c r="AR8" s="697"/>
      <c r="AS8" s="606">
        <v>0</v>
      </c>
      <c r="AT8" s="561"/>
      <c r="AU8" s="563"/>
      <c r="AV8" s="562"/>
    </row>
    <row r="9" spans="1:48" outlineLevel="1">
      <c r="A9" s="471" t="s">
        <v>881</v>
      </c>
      <c r="B9" s="580"/>
      <c r="C9" s="554"/>
      <c r="D9" s="555" t="s">
        <v>402</v>
      </c>
      <c r="E9" s="556">
        <v>0</v>
      </c>
      <c r="F9" s="557" t="s">
        <v>1120</v>
      </c>
      <c r="G9" s="558" t="s">
        <v>465</v>
      </c>
      <c r="H9" s="559" t="s">
        <v>402</v>
      </c>
      <c r="I9" s="559" t="s">
        <v>402</v>
      </c>
      <c r="J9" s="560">
        <v>0</v>
      </c>
      <c r="K9" s="558" t="s">
        <v>396</v>
      </c>
      <c r="L9" s="606">
        <v>0</v>
      </c>
      <c r="M9" s="561"/>
      <c r="N9" s="561"/>
      <c r="O9" s="613"/>
      <c r="P9" s="606">
        <v>0</v>
      </c>
      <c r="Q9" s="561"/>
      <c r="R9" s="561"/>
      <c r="S9" s="613"/>
      <c r="T9" s="606">
        <v>0</v>
      </c>
      <c r="U9" s="561"/>
      <c r="V9" s="561"/>
      <c r="W9" s="613"/>
      <c r="X9" s="606">
        <v>1</v>
      </c>
      <c r="Y9" s="561"/>
      <c r="Z9" s="561"/>
      <c r="AA9" s="613"/>
      <c r="AB9" s="606">
        <v>0</v>
      </c>
      <c r="AC9" s="561"/>
      <c r="AD9" s="561"/>
      <c r="AE9" s="613"/>
      <c r="AF9" s="606">
        <v>0</v>
      </c>
      <c r="AG9" s="561"/>
      <c r="AH9" s="561"/>
      <c r="AI9" s="613"/>
      <c r="AJ9" s="606">
        <v>0</v>
      </c>
      <c r="AK9" s="611"/>
      <c r="AL9" s="611"/>
      <c r="AM9" s="612"/>
      <c r="AN9" s="606">
        <v>0</v>
      </c>
      <c r="AO9" s="613"/>
      <c r="AP9" s="613"/>
      <c r="AQ9" s="562"/>
      <c r="AR9" s="697"/>
      <c r="AS9" s="606">
        <v>0</v>
      </c>
      <c r="AT9" s="561"/>
      <c r="AU9" s="563"/>
      <c r="AV9" s="562"/>
    </row>
    <row r="10" spans="1:48" outlineLevel="1">
      <c r="A10" s="471" t="s">
        <v>882</v>
      </c>
      <c r="B10" s="580"/>
      <c r="C10" s="554"/>
      <c r="D10" s="555" t="s">
        <v>402</v>
      </c>
      <c r="E10" s="556">
        <v>0</v>
      </c>
      <c r="F10" s="557" t="s">
        <v>1119</v>
      </c>
      <c r="G10" s="558" t="s">
        <v>465</v>
      </c>
      <c r="H10" s="559" t="s">
        <v>402</v>
      </c>
      <c r="I10" s="559" t="s">
        <v>402</v>
      </c>
      <c r="J10" s="560">
        <v>0</v>
      </c>
      <c r="K10" s="558" t="s">
        <v>396</v>
      </c>
      <c r="L10" s="606">
        <v>0</v>
      </c>
      <c r="M10" s="561"/>
      <c r="N10" s="561"/>
      <c r="O10" s="613"/>
      <c r="P10" s="606">
        <v>0</v>
      </c>
      <c r="Q10" s="561"/>
      <c r="R10" s="561"/>
      <c r="S10" s="613"/>
      <c r="T10" s="606">
        <v>1</v>
      </c>
      <c r="U10" s="561"/>
      <c r="V10" s="561"/>
      <c r="W10" s="613"/>
      <c r="X10" s="606">
        <v>0</v>
      </c>
      <c r="Y10" s="561"/>
      <c r="Z10" s="561"/>
      <c r="AA10" s="613"/>
      <c r="AB10" s="606">
        <v>0</v>
      </c>
      <c r="AC10" s="561"/>
      <c r="AD10" s="561"/>
      <c r="AE10" s="613"/>
      <c r="AF10" s="606">
        <v>0</v>
      </c>
      <c r="AG10" s="561"/>
      <c r="AH10" s="561"/>
      <c r="AI10" s="613"/>
      <c r="AJ10" s="606">
        <v>0</v>
      </c>
      <c r="AK10" s="611"/>
      <c r="AL10" s="611"/>
      <c r="AM10" s="612"/>
      <c r="AN10" s="606">
        <v>0</v>
      </c>
      <c r="AO10" s="613"/>
      <c r="AP10" s="613"/>
      <c r="AQ10" s="562"/>
      <c r="AR10" s="697"/>
      <c r="AS10" s="606">
        <v>0</v>
      </c>
      <c r="AT10" s="561"/>
      <c r="AU10" s="563"/>
      <c r="AV10" s="562"/>
    </row>
    <row r="11" spans="1:48" outlineLevel="1">
      <c r="A11" s="471" t="s">
        <v>883</v>
      </c>
      <c r="B11" s="580"/>
      <c r="C11" s="554"/>
      <c r="D11" s="555" t="s">
        <v>402</v>
      </c>
      <c r="E11" s="556">
        <v>0</v>
      </c>
      <c r="F11" s="557" t="s">
        <v>1120</v>
      </c>
      <c r="G11" s="558" t="s">
        <v>956</v>
      </c>
      <c r="H11" s="559" t="s">
        <v>402</v>
      </c>
      <c r="I11" s="559" t="s">
        <v>402</v>
      </c>
      <c r="J11" s="560">
        <v>0</v>
      </c>
      <c r="K11" s="558" t="s">
        <v>396</v>
      </c>
      <c r="L11" s="606">
        <v>0</v>
      </c>
      <c r="M11" s="561"/>
      <c r="N11" s="561"/>
      <c r="O11" s="613"/>
      <c r="P11" s="606">
        <v>0</v>
      </c>
      <c r="Q11" s="561"/>
      <c r="R11" s="561"/>
      <c r="S11" s="613"/>
      <c r="T11" s="606">
        <v>0</v>
      </c>
      <c r="U11" s="561"/>
      <c r="V11" s="561"/>
      <c r="W11" s="613"/>
      <c r="X11" s="606">
        <v>0</v>
      </c>
      <c r="Y11" s="561"/>
      <c r="Z11" s="561"/>
      <c r="AA11" s="613"/>
      <c r="AB11" s="606">
        <v>0</v>
      </c>
      <c r="AC11" s="561"/>
      <c r="AD11" s="561"/>
      <c r="AE11" s="613"/>
      <c r="AF11" s="606">
        <v>1</v>
      </c>
      <c r="AG11" s="561"/>
      <c r="AH11" s="561"/>
      <c r="AI11" s="613"/>
      <c r="AJ11" s="606">
        <v>0</v>
      </c>
      <c r="AK11" s="611"/>
      <c r="AL11" s="611"/>
      <c r="AM11" s="612"/>
      <c r="AN11" s="606">
        <v>0</v>
      </c>
      <c r="AO11" s="613"/>
      <c r="AP11" s="613"/>
      <c r="AQ11" s="562"/>
      <c r="AR11" s="697"/>
      <c r="AS11" s="606">
        <v>0</v>
      </c>
      <c r="AT11" s="561"/>
      <c r="AU11" s="563"/>
      <c r="AV11" s="562"/>
    </row>
    <row r="12" spans="1:48" outlineLevel="1">
      <c r="A12" s="471" t="s">
        <v>884</v>
      </c>
      <c r="B12" s="580"/>
      <c r="C12" s="554"/>
      <c r="D12" s="555" t="s">
        <v>402</v>
      </c>
      <c r="E12" s="556">
        <v>0</v>
      </c>
      <c r="F12" s="557" t="s">
        <v>1119</v>
      </c>
      <c r="G12" s="558" t="s">
        <v>956</v>
      </c>
      <c r="H12" s="559" t="s">
        <v>402</v>
      </c>
      <c r="I12" s="559" t="s">
        <v>402</v>
      </c>
      <c r="J12" s="560">
        <v>0</v>
      </c>
      <c r="K12" s="558" t="s">
        <v>396</v>
      </c>
      <c r="L12" s="606">
        <v>0</v>
      </c>
      <c r="M12" s="561"/>
      <c r="N12" s="561"/>
      <c r="O12" s="613"/>
      <c r="P12" s="606">
        <v>0</v>
      </c>
      <c r="Q12" s="561"/>
      <c r="R12" s="561"/>
      <c r="S12" s="613"/>
      <c r="T12" s="606">
        <v>0</v>
      </c>
      <c r="U12" s="561"/>
      <c r="V12" s="561"/>
      <c r="W12" s="613"/>
      <c r="X12" s="606">
        <v>0</v>
      </c>
      <c r="Y12" s="561"/>
      <c r="Z12" s="561"/>
      <c r="AA12" s="613"/>
      <c r="AB12" s="606">
        <v>1</v>
      </c>
      <c r="AC12" s="561"/>
      <c r="AD12" s="561"/>
      <c r="AE12" s="613"/>
      <c r="AF12" s="606">
        <v>0</v>
      </c>
      <c r="AG12" s="561"/>
      <c r="AH12" s="561"/>
      <c r="AI12" s="613"/>
      <c r="AJ12" s="606">
        <v>0</v>
      </c>
      <c r="AK12" s="611"/>
      <c r="AL12" s="611"/>
      <c r="AM12" s="612"/>
      <c r="AN12" s="606">
        <v>0</v>
      </c>
      <c r="AO12" s="613"/>
      <c r="AP12" s="613"/>
      <c r="AQ12" s="562"/>
      <c r="AR12" s="697"/>
      <c r="AS12" s="606">
        <v>0</v>
      </c>
      <c r="AT12" s="561"/>
      <c r="AU12" s="563"/>
      <c r="AV12" s="562"/>
    </row>
    <row r="13" spans="1:48" outlineLevel="1">
      <c r="A13" s="146">
        <v>1619</v>
      </c>
      <c r="B13" s="580" t="s">
        <v>523</v>
      </c>
      <c r="C13" s="554"/>
      <c r="D13" s="555" t="s">
        <v>402</v>
      </c>
      <c r="E13" s="556">
        <v>0</v>
      </c>
      <c r="F13" s="557" t="s">
        <v>1119</v>
      </c>
      <c r="G13" s="558" t="s">
        <v>521</v>
      </c>
      <c r="H13" s="559" t="s">
        <v>402</v>
      </c>
      <c r="I13" s="559" t="s">
        <v>402</v>
      </c>
      <c r="J13" s="560">
        <v>0</v>
      </c>
      <c r="K13" s="558" t="s">
        <v>396</v>
      </c>
      <c r="L13" s="606">
        <v>0</v>
      </c>
      <c r="M13" s="561"/>
      <c r="N13" s="561"/>
      <c r="O13" s="613"/>
      <c r="P13" s="606">
        <v>0</v>
      </c>
      <c r="Q13" s="561"/>
      <c r="R13" s="561"/>
      <c r="S13" s="613"/>
      <c r="T13" s="606">
        <v>0</v>
      </c>
      <c r="U13" s="561"/>
      <c r="V13" s="561"/>
      <c r="W13" s="613"/>
      <c r="X13" s="606">
        <v>0</v>
      </c>
      <c r="Y13" s="561"/>
      <c r="Z13" s="561"/>
      <c r="AA13" s="613"/>
      <c r="AB13" s="606">
        <v>0</v>
      </c>
      <c r="AC13" s="561"/>
      <c r="AD13" s="561"/>
      <c r="AE13" s="613"/>
      <c r="AF13" s="606">
        <v>0</v>
      </c>
      <c r="AG13" s="561"/>
      <c r="AH13" s="561"/>
      <c r="AI13" s="613"/>
      <c r="AJ13" s="606">
        <v>1</v>
      </c>
      <c r="AK13" s="561"/>
      <c r="AL13" s="561"/>
      <c r="AM13" s="613"/>
      <c r="AN13" s="606">
        <v>0</v>
      </c>
      <c r="AO13" s="613"/>
      <c r="AP13" s="613"/>
      <c r="AQ13" s="562"/>
      <c r="AR13" s="613"/>
      <c r="AS13" s="606">
        <v>0</v>
      </c>
      <c r="AT13" s="561"/>
      <c r="AU13" s="563"/>
      <c r="AV13" s="562"/>
    </row>
    <row r="14" spans="1:48" outlineLevel="1">
      <c r="A14" s="146">
        <v>4844</v>
      </c>
      <c r="B14" s="580"/>
      <c r="C14" s="554"/>
      <c r="D14" s="555" t="s">
        <v>402</v>
      </c>
      <c r="E14" s="556">
        <v>0</v>
      </c>
      <c r="F14" s="557" t="s">
        <v>1237</v>
      </c>
      <c r="G14" s="558" t="s">
        <v>521</v>
      </c>
      <c r="H14" s="559" t="s">
        <v>402</v>
      </c>
      <c r="I14" s="559" t="s">
        <v>402</v>
      </c>
      <c r="J14" s="560">
        <v>0</v>
      </c>
      <c r="K14" s="558" t="s">
        <v>396</v>
      </c>
      <c r="L14" s="606">
        <v>0</v>
      </c>
      <c r="M14" s="561"/>
      <c r="N14" s="561"/>
      <c r="O14" s="613"/>
      <c r="P14" s="606">
        <v>0</v>
      </c>
      <c r="Q14" s="561"/>
      <c r="R14" s="561"/>
      <c r="S14" s="613"/>
      <c r="T14" s="606">
        <v>0</v>
      </c>
      <c r="U14" s="561"/>
      <c r="V14" s="561"/>
      <c r="W14" s="613"/>
      <c r="X14" s="606">
        <v>0</v>
      </c>
      <c r="Y14" s="561"/>
      <c r="Z14" s="561"/>
      <c r="AA14" s="613"/>
      <c r="AB14" s="606">
        <v>0</v>
      </c>
      <c r="AC14" s="561"/>
      <c r="AD14" s="561"/>
      <c r="AE14" s="613"/>
      <c r="AF14" s="606">
        <v>0</v>
      </c>
      <c r="AG14" s="561"/>
      <c r="AH14" s="561"/>
      <c r="AI14" s="613"/>
      <c r="AJ14" s="606">
        <v>0</v>
      </c>
      <c r="AK14" s="561"/>
      <c r="AL14" s="561"/>
      <c r="AM14" s="613"/>
      <c r="AN14" s="606">
        <v>0</v>
      </c>
      <c r="AO14" s="613"/>
      <c r="AP14" s="613"/>
      <c r="AQ14" s="562"/>
      <c r="AR14" s="613"/>
      <c r="AS14" s="606">
        <v>0</v>
      </c>
      <c r="AT14" s="561"/>
      <c r="AU14" s="563"/>
      <c r="AV14" s="562"/>
    </row>
    <row r="15" spans="1:48" outlineLevel="1">
      <c r="A15" s="146">
        <v>1626</v>
      </c>
      <c r="B15" s="580"/>
      <c r="C15" s="554"/>
      <c r="D15" s="555" t="s">
        <v>402</v>
      </c>
      <c r="E15" s="556">
        <v>0</v>
      </c>
      <c r="F15" s="557" t="s">
        <v>1120</v>
      </c>
      <c r="G15" s="558" t="s">
        <v>521</v>
      </c>
      <c r="H15" s="559" t="s">
        <v>402</v>
      </c>
      <c r="I15" s="559" t="s">
        <v>402</v>
      </c>
      <c r="J15" s="560">
        <v>0</v>
      </c>
      <c r="K15" s="558" t="s">
        <v>396</v>
      </c>
      <c r="L15" s="606">
        <v>0</v>
      </c>
      <c r="M15" s="561"/>
      <c r="N15" s="561"/>
      <c r="O15" s="613"/>
      <c r="P15" s="606">
        <v>0</v>
      </c>
      <c r="Q15" s="561"/>
      <c r="R15" s="561"/>
      <c r="S15" s="613"/>
      <c r="T15" s="606">
        <v>0</v>
      </c>
      <c r="U15" s="561"/>
      <c r="V15" s="561"/>
      <c r="W15" s="613"/>
      <c r="X15" s="606">
        <v>0</v>
      </c>
      <c r="Y15" s="561"/>
      <c r="Z15" s="561"/>
      <c r="AA15" s="613"/>
      <c r="AB15" s="606">
        <v>0</v>
      </c>
      <c r="AC15" s="561"/>
      <c r="AD15" s="561"/>
      <c r="AE15" s="613"/>
      <c r="AF15" s="606">
        <v>0</v>
      </c>
      <c r="AG15" s="561"/>
      <c r="AH15" s="561"/>
      <c r="AI15" s="613"/>
      <c r="AJ15" s="606">
        <v>0</v>
      </c>
      <c r="AK15" s="561"/>
      <c r="AL15" s="561"/>
      <c r="AM15" s="613"/>
      <c r="AN15" s="606">
        <v>1</v>
      </c>
      <c r="AO15" s="613"/>
      <c r="AP15" s="613"/>
      <c r="AQ15" s="562"/>
      <c r="AR15" s="613"/>
      <c r="AS15" s="606">
        <v>0</v>
      </c>
      <c r="AT15" s="561"/>
      <c r="AU15" s="563"/>
      <c r="AV15" s="562"/>
    </row>
    <row r="16" spans="1:48" outlineLevel="1">
      <c r="A16" s="146">
        <v>4836</v>
      </c>
      <c r="B16" s="580"/>
      <c r="C16" s="554"/>
      <c r="D16" s="555" t="s">
        <v>402</v>
      </c>
      <c r="E16" s="556">
        <v>0</v>
      </c>
      <c r="F16" s="557" t="s">
        <v>1236</v>
      </c>
      <c r="G16" s="558" t="s">
        <v>521</v>
      </c>
      <c r="H16" s="559" t="s">
        <v>402</v>
      </c>
      <c r="I16" s="559" t="s">
        <v>402</v>
      </c>
      <c r="J16" s="560">
        <v>0</v>
      </c>
      <c r="K16" s="558" t="s">
        <v>396</v>
      </c>
      <c r="L16" s="606">
        <v>0</v>
      </c>
      <c r="M16" s="561"/>
      <c r="N16" s="561"/>
      <c r="O16" s="613"/>
      <c r="P16" s="606">
        <v>0</v>
      </c>
      <c r="Q16" s="561"/>
      <c r="R16" s="561"/>
      <c r="S16" s="613"/>
      <c r="T16" s="606">
        <v>0</v>
      </c>
      <c r="U16" s="561"/>
      <c r="V16" s="561"/>
      <c r="W16" s="613"/>
      <c r="X16" s="606">
        <v>0</v>
      </c>
      <c r="Y16" s="561"/>
      <c r="Z16" s="561"/>
      <c r="AA16" s="613"/>
      <c r="AB16" s="606">
        <v>0</v>
      </c>
      <c r="AC16" s="561"/>
      <c r="AD16" s="561"/>
      <c r="AE16" s="613"/>
      <c r="AF16" s="606">
        <v>0</v>
      </c>
      <c r="AG16" s="561"/>
      <c r="AH16" s="561"/>
      <c r="AI16" s="613"/>
      <c r="AJ16" s="606">
        <v>0</v>
      </c>
      <c r="AK16" s="561"/>
      <c r="AL16" s="561"/>
      <c r="AM16" s="613"/>
      <c r="AN16" s="606">
        <v>0</v>
      </c>
      <c r="AO16" s="613"/>
      <c r="AP16" s="613"/>
      <c r="AQ16" s="562"/>
      <c r="AR16" s="613"/>
      <c r="AS16" s="606">
        <v>1</v>
      </c>
      <c r="AT16" s="561"/>
      <c r="AU16" s="563"/>
      <c r="AV16" s="562"/>
    </row>
    <row r="17" spans="1:48" ht="36">
      <c r="A17" s="669" t="s">
        <v>1079</v>
      </c>
      <c r="B17" s="580" t="s">
        <v>524</v>
      </c>
      <c r="C17" s="554"/>
      <c r="D17" s="564" t="s">
        <v>526</v>
      </c>
      <c r="E17" s="565" t="s">
        <v>402</v>
      </c>
      <c r="F17" s="566" t="s">
        <v>1210</v>
      </c>
      <c r="G17" s="567" t="s">
        <v>1211</v>
      </c>
      <c r="H17" s="568" t="s">
        <v>402</v>
      </c>
      <c r="I17" s="569" t="s">
        <v>402</v>
      </c>
      <c r="J17" s="570">
        <v>0</v>
      </c>
      <c r="K17" s="567" t="s">
        <v>678</v>
      </c>
      <c r="L17" s="571">
        <v>0</v>
      </c>
      <c r="M17" s="561">
        <v>1</v>
      </c>
      <c r="N17" s="563">
        <v>2.0741629046031922</v>
      </c>
      <c r="O17" s="613" t="s">
        <v>1238</v>
      </c>
      <c r="P17" s="571">
        <v>0</v>
      </c>
      <c r="Q17" s="561">
        <v>1</v>
      </c>
      <c r="R17" s="563">
        <v>2.0741629046031922</v>
      </c>
      <c r="S17" s="613" t="s">
        <v>1238</v>
      </c>
      <c r="T17" s="571">
        <v>0</v>
      </c>
      <c r="U17" s="561">
        <v>1</v>
      </c>
      <c r="V17" s="563">
        <v>2.0741629046031922</v>
      </c>
      <c r="W17" s="613" t="s">
        <v>1238</v>
      </c>
      <c r="X17" s="571">
        <v>0</v>
      </c>
      <c r="Y17" s="561">
        <v>1</v>
      </c>
      <c r="Z17" s="563">
        <v>2.0741629046031922</v>
      </c>
      <c r="AA17" s="613" t="s">
        <v>1238</v>
      </c>
      <c r="AB17" s="571">
        <v>0</v>
      </c>
      <c r="AC17" s="561">
        <v>1</v>
      </c>
      <c r="AD17" s="563">
        <v>2.0741629046031922</v>
      </c>
      <c r="AE17" s="613" t="s">
        <v>1238</v>
      </c>
      <c r="AF17" s="571">
        <v>0</v>
      </c>
      <c r="AG17" s="561">
        <v>1</v>
      </c>
      <c r="AH17" s="563">
        <v>2.0741629046031922</v>
      </c>
      <c r="AI17" s="613" t="s">
        <v>1238</v>
      </c>
      <c r="AJ17" s="571">
        <v>25.682117028270874</v>
      </c>
      <c r="AK17" s="561">
        <v>1</v>
      </c>
      <c r="AL17" s="563">
        <v>2.0741629046031922</v>
      </c>
      <c r="AM17" s="613" t="s">
        <v>1238</v>
      </c>
      <c r="AN17" s="571">
        <v>20.792241946088101</v>
      </c>
      <c r="AO17" s="561">
        <v>1</v>
      </c>
      <c r="AP17" s="563">
        <v>2.0741629046031922</v>
      </c>
      <c r="AQ17" s="562" t="s">
        <v>1238</v>
      </c>
      <c r="AR17" s="613"/>
      <c r="AS17" s="571">
        <v>42.3</v>
      </c>
      <c r="AT17" s="561">
        <v>1</v>
      </c>
      <c r="AU17" s="563">
        <v>2.0741629046031922</v>
      </c>
      <c r="AV17" s="562" t="s">
        <v>1238</v>
      </c>
    </row>
    <row r="18" spans="1:48" ht="36" outlineLevel="1">
      <c r="A18" s="226">
        <v>32004</v>
      </c>
      <c r="B18" s="580"/>
      <c r="C18" s="554"/>
      <c r="D18" s="564" t="s">
        <v>526</v>
      </c>
      <c r="E18" s="565" t="s">
        <v>402</v>
      </c>
      <c r="F18" s="566" t="s">
        <v>1133</v>
      </c>
      <c r="G18" s="567" t="s">
        <v>1105</v>
      </c>
      <c r="H18" s="568" t="s">
        <v>402</v>
      </c>
      <c r="I18" s="569" t="s">
        <v>402</v>
      </c>
      <c r="J18" s="570">
        <v>0</v>
      </c>
      <c r="K18" s="567" t="s">
        <v>678</v>
      </c>
      <c r="L18" s="571">
        <v>25.682117028270874</v>
      </c>
      <c r="M18" s="561">
        <v>1</v>
      </c>
      <c r="N18" s="563">
        <v>2.0741629046031922</v>
      </c>
      <c r="O18" s="613" t="s">
        <v>1238</v>
      </c>
      <c r="P18" s="571">
        <v>20.792241946088101</v>
      </c>
      <c r="Q18" s="561">
        <v>1</v>
      </c>
      <c r="R18" s="563">
        <v>2.0741629046031922</v>
      </c>
      <c r="S18" s="613" t="s">
        <v>1238</v>
      </c>
      <c r="T18" s="571">
        <v>0</v>
      </c>
      <c r="U18" s="561">
        <v>1</v>
      </c>
      <c r="V18" s="563">
        <v>2.0741629046031922</v>
      </c>
      <c r="W18" s="613" t="s">
        <v>1238</v>
      </c>
      <c r="X18" s="571">
        <v>0</v>
      </c>
      <c r="Y18" s="561">
        <v>1</v>
      </c>
      <c r="Z18" s="563">
        <v>2.0741629046031922</v>
      </c>
      <c r="AA18" s="613" t="s">
        <v>1238</v>
      </c>
      <c r="AB18" s="571">
        <v>0</v>
      </c>
      <c r="AC18" s="561">
        <v>1</v>
      </c>
      <c r="AD18" s="563">
        <v>2.0741629046031922</v>
      </c>
      <c r="AE18" s="613" t="s">
        <v>1238</v>
      </c>
      <c r="AF18" s="571">
        <v>0</v>
      </c>
      <c r="AG18" s="561">
        <v>1</v>
      </c>
      <c r="AH18" s="563">
        <v>2.0741629046031922</v>
      </c>
      <c r="AI18" s="613" t="s">
        <v>1238</v>
      </c>
      <c r="AJ18" s="571">
        <v>0</v>
      </c>
      <c r="AK18" s="561">
        <v>1</v>
      </c>
      <c r="AL18" s="563">
        <v>2.0741629046031922</v>
      </c>
      <c r="AM18" s="613" t="s">
        <v>1238</v>
      </c>
      <c r="AN18" s="571">
        <v>0</v>
      </c>
      <c r="AO18" s="561">
        <v>1</v>
      </c>
      <c r="AP18" s="563">
        <v>2.0741629046031922</v>
      </c>
      <c r="AQ18" s="562" t="s">
        <v>1238</v>
      </c>
      <c r="AR18" s="613"/>
      <c r="AS18" s="571">
        <v>0</v>
      </c>
      <c r="AT18" s="561">
        <v>1</v>
      </c>
      <c r="AU18" s="563">
        <v>2.0741629046031922</v>
      </c>
      <c r="AV18" s="562" t="s">
        <v>1238</v>
      </c>
    </row>
    <row r="19" spans="1:48" ht="36" outlineLevel="1">
      <c r="A19" s="226" t="s">
        <v>866</v>
      </c>
      <c r="B19" s="580"/>
      <c r="C19" s="554"/>
      <c r="D19" s="564" t="s">
        <v>526</v>
      </c>
      <c r="E19" s="565" t="s">
        <v>402</v>
      </c>
      <c r="F19" s="566" t="s">
        <v>1133</v>
      </c>
      <c r="G19" s="567" t="s">
        <v>465</v>
      </c>
      <c r="H19" s="568" t="s">
        <v>402</v>
      </c>
      <c r="I19" s="569" t="s">
        <v>402</v>
      </c>
      <c r="J19" s="570">
        <v>0</v>
      </c>
      <c r="K19" s="567" t="s">
        <v>678</v>
      </c>
      <c r="L19" s="571">
        <v>0</v>
      </c>
      <c r="M19" s="561">
        <v>1</v>
      </c>
      <c r="N19" s="563">
        <v>2.0741629046031922</v>
      </c>
      <c r="O19" s="613" t="s">
        <v>1238</v>
      </c>
      <c r="P19" s="571">
        <v>0</v>
      </c>
      <c r="Q19" s="561">
        <v>1</v>
      </c>
      <c r="R19" s="563">
        <v>2.0741629046031922</v>
      </c>
      <c r="S19" s="613" t="s">
        <v>1238</v>
      </c>
      <c r="T19" s="571">
        <v>25.682117028270874</v>
      </c>
      <c r="U19" s="561">
        <v>1</v>
      </c>
      <c r="V19" s="563">
        <v>2.0741629046031922</v>
      </c>
      <c r="W19" s="613" t="s">
        <v>1238</v>
      </c>
      <c r="X19" s="571">
        <v>20.792241946088101</v>
      </c>
      <c r="Y19" s="561">
        <v>1</v>
      </c>
      <c r="Z19" s="563">
        <v>2.0741629046031922</v>
      </c>
      <c r="AA19" s="613" t="s">
        <v>1238</v>
      </c>
      <c r="AB19" s="571">
        <v>0</v>
      </c>
      <c r="AC19" s="561">
        <v>1</v>
      </c>
      <c r="AD19" s="563">
        <v>2.0741629046031922</v>
      </c>
      <c r="AE19" s="613" t="s">
        <v>1238</v>
      </c>
      <c r="AF19" s="571">
        <v>0</v>
      </c>
      <c r="AG19" s="561">
        <v>1</v>
      </c>
      <c r="AH19" s="563">
        <v>2.0741629046031922</v>
      </c>
      <c r="AI19" s="613" t="s">
        <v>1238</v>
      </c>
      <c r="AJ19" s="571">
        <v>0</v>
      </c>
      <c r="AK19" s="561">
        <v>1</v>
      </c>
      <c r="AL19" s="563">
        <v>2.0741629046031922</v>
      </c>
      <c r="AM19" s="613" t="s">
        <v>1238</v>
      </c>
      <c r="AN19" s="571">
        <v>0</v>
      </c>
      <c r="AO19" s="561">
        <v>1</v>
      </c>
      <c r="AP19" s="563">
        <v>2.0741629046031922</v>
      </c>
      <c r="AQ19" s="562" t="s">
        <v>1238</v>
      </c>
      <c r="AR19" s="613"/>
      <c r="AS19" s="571">
        <v>0</v>
      </c>
      <c r="AT19" s="561">
        <v>1</v>
      </c>
      <c r="AU19" s="563">
        <v>2.0741629046031922</v>
      </c>
      <c r="AV19" s="562" t="s">
        <v>1238</v>
      </c>
    </row>
    <row r="20" spans="1:48" ht="36" outlineLevel="1">
      <c r="A20" s="226" t="s">
        <v>880</v>
      </c>
      <c r="B20" s="580"/>
      <c r="C20" s="554"/>
      <c r="D20" s="564" t="s">
        <v>526</v>
      </c>
      <c r="E20" s="565" t="s">
        <v>402</v>
      </c>
      <c r="F20" s="566" t="s">
        <v>1133</v>
      </c>
      <c r="G20" s="567" t="s">
        <v>496</v>
      </c>
      <c r="H20" s="568" t="s">
        <v>402</v>
      </c>
      <c r="I20" s="569" t="s">
        <v>402</v>
      </c>
      <c r="J20" s="570">
        <v>0</v>
      </c>
      <c r="K20" s="567" t="s">
        <v>678</v>
      </c>
      <c r="L20" s="571">
        <v>0</v>
      </c>
      <c r="M20" s="561">
        <v>1</v>
      </c>
      <c r="N20" s="563">
        <v>2.0741629046031922</v>
      </c>
      <c r="O20" s="613" t="s">
        <v>1238</v>
      </c>
      <c r="P20" s="571">
        <v>0</v>
      </c>
      <c r="Q20" s="561">
        <v>1</v>
      </c>
      <c r="R20" s="563">
        <v>2.0741629046031922</v>
      </c>
      <c r="S20" s="613" t="s">
        <v>1238</v>
      </c>
      <c r="T20" s="571">
        <v>0</v>
      </c>
      <c r="U20" s="561">
        <v>1</v>
      </c>
      <c r="V20" s="563">
        <v>2.0741629046031922</v>
      </c>
      <c r="W20" s="613" t="s">
        <v>1238</v>
      </c>
      <c r="X20" s="571">
        <v>0</v>
      </c>
      <c r="Y20" s="561">
        <v>1</v>
      </c>
      <c r="Z20" s="563">
        <v>2.0741629046031922</v>
      </c>
      <c r="AA20" s="613" t="s">
        <v>1238</v>
      </c>
      <c r="AB20" s="571">
        <v>25.682117028270874</v>
      </c>
      <c r="AC20" s="561">
        <v>1</v>
      </c>
      <c r="AD20" s="563">
        <v>2.0741629046031922</v>
      </c>
      <c r="AE20" s="613" t="s">
        <v>1238</v>
      </c>
      <c r="AF20" s="571">
        <v>20.792241946088101</v>
      </c>
      <c r="AG20" s="561">
        <v>1</v>
      </c>
      <c r="AH20" s="563">
        <v>2.0741629046031922</v>
      </c>
      <c r="AI20" s="613" t="s">
        <v>1238</v>
      </c>
      <c r="AJ20" s="571">
        <v>0</v>
      </c>
      <c r="AK20" s="561">
        <v>1</v>
      </c>
      <c r="AL20" s="563">
        <v>2.0741629046031922</v>
      </c>
      <c r="AM20" s="613" t="s">
        <v>1238</v>
      </c>
      <c r="AN20" s="571">
        <v>0</v>
      </c>
      <c r="AO20" s="561">
        <v>1</v>
      </c>
      <c r="AP20" s="563">
        <v>2.0741629046031922</v>
      </c>
      <c r="AQ20" s="562" t="s">
        <v>1238</v>
      </c>
      <c r="AR20" s="613"/>
      <c r="AS20" s="571">
        <v>0</v>
      </c>
      <c r="AT20" s="561">
        <v>1</v>
      </c>
      <c r="AU20" s="563">
        <v>2.0741629046031922</v>
      </c>
      <c r="AV20" s="562" t="s">
        <v>1238</v>
      </c>
    </row>
    <row r="21" spans="1:48" ht="36">
      <c r="A21" s="2">
        <v>2561</v>
      </c>
      <c r="B21" s="580"/>
      <c r="C21" s="554"/>
      <c r="D21" s="564" t="s">
        <v>526</v>
      </c>
      <c r="E21" s="565" t="s">
        <v>402</v>
      </c>
      <c r="F21" s="566" t="s">
        <v>1212</v>
      </c>
      <c r="G21" s="567" t="s">
        <v>521</v>
      </c>
      <c r="H21" s="568" t="s">
        <v>402</v>
      </c>
      <c r="I21" s="569" t="s">
        <v>402</v>
      </c>
      <c r="J21" s="570">
        <v>0</v>
      </c>
      <c r="K21" s="567" t="s">
        <v>677</v>
      </c>
      <c r="L21" s="571">
        <v>4</v>
      </c>
      <c r="M21" s="561">
        <v>1</v>
      </c>
      <c r="N21" s="563">
        <v>1.0744244531716256</v>
      </c>
      <c r="O21" s="613" t="s">
        <v>1239</v>
      </c>
      <c r="P21" s="571">
        <v>4</v>
      </c>
      <c r="Q21" s="561">
        <v>1</v>
      </c>
      <c r="R21" s="563">
        <v>1.0744244531716256</v>
      </c>
      <c r="S21" s="613" t="s">
        <v>1239</v>
      </c>
      <c r="T21" s="571">
        <v>4</v>
      </c>
      <c r="U21" s="561">
        <v>1</v>
      </c>
      <c r="V21" s="563">
        <v>1.0744244531716256</v>
      </c>
      <c r="W21" s="613" t="s">
        <v>1239</v>
      </c>
      <c r="X21" s="571">
        <v>4</v>
      </c>
      <c r="Y21" s="561">
        <v>1</v>
      </c>
      <c r="Z21" s="563">
        <v>1.0744244531716256</v>
      </c>
      <c r="AA21" s="613" t="s">
        <v>1239</v>
      </c>
      <c r="AB21" s="571">
        <v>4</v>
      </c>
      <c r="AC21" s="561">
        <v>1</v>
      </c>
      <c r="AD21" s="563">
        <v>1.0744244531716256</v>
      </c>
      <c r="AE21" s="613" t="s">
        <v>1239</v>
      </c>
      <c r="AF21" s="571">
        <v>4</v>
      </c>
      <c r="AG21" s="561">
        <v>1</v>
      </c>
      <c r="AH21" s="563">
        <v>1.0744244531716256</v>
      </c>
      <c r="AI21" s="613" t="s">
        <v>1239</v>
      </c>
      <c r="AJ21" s="571">
        <v>4</v>
      </c>
      <c r="AK21" s="561">
        <v>1</v>
      </c>
      <c r="AL21" s="563">
        <v>1.0744244531716256</v>
      </c>
      <c r="AM21" s="613" t="s">
        <v>1239</v>
      </c>
      <c r="AN21" s="571">
        <v>4</v>
      </c>
      <c r="AO21" s="561">
        <v>1</v>
      </c>
      <c r="AP21" s="563">
        <v>1.0744244531716256</v>
      </c>
      <c r="AQ21" s="562" t="s">
        <v>1239</v>
      </c>
      <c r="AR21" s="613"/>
      <c r="AS21" s="571">
        <v>0</v>
      </c>
      <c r="AT21" s="561">
        <v>1</v>
      </c>
      <c r="AU21" s="563">
        <v>1.0744244531716256</v>
      </c>
      <c r="AV21" s="562" t="s">
        <v>1239</v>
      </c>
    </row>
    <row r="22" spans="1:48" ht="36">
      <c r="A22" s="36">
        <v>679</v>
      </c>
      <c r="B22" s="580" t="s">
        <v>211</v>
      </c>
      <c r="C22" s="554"/>
      <c r="D22" s="564" t="s">
        <v>526</v>
      </c>
      <c r="E22" s="565" t="s">
        <v>402</v>
      </c>
      <c r="F22" s="566" t="s">
        <v>111</v>
      </c>
      <c r="G22" s="567" t="s">
        <v>521</v>
      </c>
      <c r="H22" s="568" t="s">
        <v>402</v>
      </c>
      <c r="I22" s="569" t="s">
        <v>402</v>
      </c>
      <c r="J22" s="570">
        <v>0</v>
      </c>
      <c r="K22" s="567" t="s">
        <v>395</v>
      </c>
      <c r="L22" s="571">
        <v>6.0000000000000001E-3</v>
      </c>
      <c r="M22" s="561">
        <v>1</v>
      </c>
      <c r="N22" s="563">
        <v>1.0744244531716256</v>
      </c>
      <c r="O22" s="613" t="s">
        <v>1239</v>
      </c>
      <c r="P22" s="571">
        <v>163.95463510848128</v>
      </c>
      <c r="Q22" s="561">
        <v>1</v>
      </c>
      <c r="R22" s="563">
        <v>1.0744244531716256</v>
      </c>
      <c r="S22" s="613" t="s">
        <v>1239</v>
      </c>
      <c r="T22" s="571">
        <v>6.0000000000000001E-3</v>
      </c>
      <c r="U22" s="561">
        <v>1</v>
      </c>
      <c r="V22" s="563">
        <v>1.0744244531716256</v>
      </c>
      <c r="W22" s="613" t="s">
        <v>1239</v>
      </c>
      <c r="X22" s="571">
        <v>163.95463510848128</v>
      </c>
      <c r="Y22" s="561">
        <v>1</v>
      </c>
      <c r="Z22" s="563">
        <v>1.0744244531716256</v>
      </c>
      <c r="AA22" s="613" t="s">
        <v>1239</v>
      </c>
      <c r="AB22" s="571">
        <v>6.0000000000000001E-3</v>
      </c>
      <c r="AC22" s="561">
        <v>1</v>
      </c>
      <c r="AD22" s="563">
        <v>1.0744244531716256</v>
      </c>
      <c r="AE22" s="613" t="s">
        <v>1239</v>
      </c>
      <c r="AF22" s="571">
        <v>163.95463510848128</v>
      </c>
      <c r="AG22" s="561">
        <v>1</v>
      </c>
      <c r="AH22" s="563">
        <v>1.0744244531716256</v>
      </c>
      <c r="AI22" s="613" t="s">
        <v>1239</v>
      </c>
      <c r="AJ22" s="571">
        <v>6.0000000000000001E-3</v>
      </c>
      <c r="AK22" s="561">
        <v>1</v>
      </c>
      <c r="AL22" s="563">
        <v>1.0744244531716256</v>
      </c>
      <c r="AM22" s="613" t="s">
        <v>1239</v>
      </c>
      <c r="AN22" s="571">
        <v>163.95463510848128</v>
      </c>
      <c r="AO22" s="561">
        <v>1</v>
      </c>
      <c r="AP22" s="563">
        <v>1.0744244531716256</v>
      </c>
      <c r="AQ22" s="562" t="s">
        <v>1239</v>
      </c>
      <c r="AR22" s="613"/>
      <c r="AS22" s="571">
        <v>0</v>
      </c>
      <c r="AT22" s="561">
        <v>1</v>
      </c>
      <c r="AU22" s="563">
        <v>1.0744244531716256</v>
      </c>
      <c r="AV22" s="562" t="s">
        <v>1239</v>
      </c>
    </row>
    <row r="23" spans="1:48" ht="36">
      <c r="A23" s="36">
        <v>916</v>
      </c>
      <c r="B23" s="580" t="s">
        <v>525</v>
      </c>
      <c r="C23" s="554"/>
      <c r="D23" s="564" t="s">
        <v>526</v>
      </c>
      <c r="E23" s="565" t="s">
        <v>402</v>
      </c>
      <c r="F23" s="566" t="s">
        <v>1178</v>
      </c>
      <c r="G23" s="567" t="s">
        <v>521</v>
      </c>
      <c r="H23" s="568" t="s">
        <v>402</v>
      </c>
      <c r="I23" s="569" t="s">
        <v>402</v>
      </c>
      <c r="J23" s="570">
        <v>0</v>
      </c>
      <c r="K23" s="567" t="s">
        <v>395</v>
      </c>
      <c r="L23" s="571">
        <v>0</v>
      </c>
      <c r="M23" s="561">
        <v>1</v>
      </c>
      <c r="N23" s="563">
        <v>1.0744244531716256</v>
      </c>
      <c r="O23" s="613" t="s">
        <v>1239</v>
      </c>
      <c r="P23" s="571">
        <v>0</v>
      </c>
      <c r="Q23" s="561">
        <v>1</v>
      </c>
      <c r="R23" s="563">
        <v>1.0744244531716256</v>
      </c>
      <c r="S23" s="613" t="s">
        <v>1239</v>
      </c>
      <c r="T23" s="571">
        <v>0</v>
      </c>
      <c r="U23" s="561">
        <v>1</v>
      </c>
      <c r="V23" s="563">
        <v>1.0744244531716256</v>
      </c>
      <c r="W23" s="613" t="s">
        <v>1239</v>
      </c>
      <c r="X23" s="571">
        <v>0</v>
      </c>
      <c r="Y23" s="561">
        <v>1</v>
      </c>
      <c r="Z23" s="563">
        <v>1.0744244531716256</v>
      </c>
      <c r="AA23" s="613" t="s">
        <v>1239</v>
      </c>
      <c r="AB23" s="571">
        <v>0</v>
      </c>
      <c r="AC23" s="561">
        <v>1</v>
      </c>
      <c r="AD23" s="563">
        <v>1.0744244531716256</v>
      </c>
      <c r="AE23" s="613" t="s">
        <v>1239</v>
      </c>
      <c r="AF23" s="571">
        <v>0</v>
      </c>
      <c r="AG23" s="561">
        <v>1</v>
      </c>
      <c r="AH23" s="563">
        <v>1.0744244531716256</v>
      </c>
      <c r="AI23" s="613" t="s">
        <v>1239</v>
      </c>
      <c r="AJ23" s="571">
        <v>0</v>
      </c>
      <c r="AK23" s="561">
        <v>1</v>
      </c>
      <c r="AL23" s="563">
        <v>1.0744244531716256</v>
      </c>
      <c r="AM23" s="613" t="s">
        <v>1239</v>
      </c>
      <c r="AN23" s="571">
        <v>0</v>
      </c>
      <c r="AO23" s="561">
        <v>1</v>
      </c>
      <c r="AP23" s="563">
        <v>1.0744244531716256</v>
      </c>
      <c r="AQ23" s="562" t="s">
        <v>1239</v>
      </c>
      <c r="AR23" s="613"/>
      <c r="AS23" s="571">
        <v>0</v>
      </c>
      <c r="AT23" s="561">
        <v>1</v>
      </c>
      <c r="AU23" s="563">
        <v>1.0744244531716256</v>
      </c>
      <c r="AV23" s="562" t="s">
        <v>1239</v>
      </c>
    </row>
    <row r="24" spans="1:48" s="689" customFormat="1" ht="36">
      <c r="A24" s="670">
        <v>1780</v>
      </c>
      <c r="B24" s="698"/>
      <c r="C24" s="699"/>
      <c r="D24" s="700" t="s">
        <v>526</v>
      </c>
      <c r="E24" s="701" t="s">
        <v>402</v>
      </c>
      <c r="F24" s="702" t="s">
        <v>1107</v>
      </c>
      <c r="G24" s="703" t="s">
        <v>393</v>
      </c>
      <c r="H24" s="704" t="s">
        <v>402</v>
      </c>
      <c r="I24" s="705" t="s">
        <v>402</v>
      </c>
      <c r="J24" s="706">
        <v>0</v>
      </c>
      <c r="K24" s="703" t="s">
        <v>395</v>
      </c>
      <c r="L24" s="707">
        <v>17.99802761341223</v>
      </c>
      <c r="M24" s="708">
        <v>1</v>
      </c>
      <c r="N24" s="709">
        <v>1.2644524816734823</v>
      </c>
      <c r="O24" s="710" t="s">
        <v>1240</v>
      </c>
      <c r="P24" s="707">
        <v>0</v>
      </c>
      <c r="Q24" s="708">
        <v>1</v>
      </c>
      <c r="R24" s="709">
        <v>1.2644524816734823</v>
      </c>
      <c r="S24" s="710" t="s">
        <v>1240</v>
      </c>
      <c r="T24" s="707">
        <v>17.99802761341223</v>
      </c>
      <c r="U24" s="708">
        <v>1</v>
      </c>
      <c r="V24" s="709">
        <v>1.2644524816734823</v>
      </c>
      <c r="W24" s="710" t="s">
        <v>1240</v>
      </c>
      <c r="X24" s="707">
        <v>0</v>
      </c>
      <c r="Y24" s="708">
        <v>1</v>
      </c>
      <c r="Z24" s="709">
        <v>1.2644524816734823</v>
      </c>
      <c r="AA24" s="710" t="s">
        <v>1240</v>
      </c>
      <c r="AB24" s="707">
        <v>17.99802761341223</v>
      </c>
      <c r="AC24" s="708">
        <v>1</v>
      </c>
      <c r="AD24" s="709">
        <v>1.2644524816734823</v>
      </c>
      <c r="AE24" s="710" t="s">
        <v>1240</v>
      </c>
      <c r="AF24" s="707">
        <v>0</v>
      </c>
      <c r="AG24" s="708">
        <v>1</v>
      </c>
      <c r="AH24" s="709">
        <v>1.2644524816734823</v>
      </c>
      <c r="AI24" s="710" t="s">
        <v>1240</v>
      </c>
      <c r="AJ24" s="707">
        <v>17.99802761341223</v>
      </c>
      <c r="AK24" s="708">
        <v>1</v>
      </c>
      <c r="AL24" s="709">
        <v>1.2644524816734823</v>
      </c>
      <c r="AM24" s="710" t="s">
        <v>1240</v>
      </c>
      <c r="AN24" s="707">
        <v>0</v>
      </c>
      <c r="AO24" s="708">
        <v>1</v>
      </c>
      <c r="AP24" s="709">
        <v>1.2644524816734823</v>
      </c>
      <c r="AQ24" s="711" t="s">
        <v>1240</v>
      </c>
      <c r="AR24" s="710"/>
      <c r="AS24" s="707">
        <v>1.1083184035200765E-2</v>
      </c>
      <c r="AT24" s="708">
        <v>1</v>
      </c>
      <c r="AU24" s="709">
        <v>1.2644524816734823</v>
      </c>
      <c r="AV24" s="711" t="s">
        <v>1240</v>
      </c>
    </row>
    <row r="25" spans="1:48" ht="36">
      <c r="A25" s="36">
        <v>4841</v>
      </c>
      <c r="B25" s="580" t="s">
        <v>41</v>
      </c>
      <c r="C25" s="554"/>
      <c r="D25" s="564" t="s">
        <v>526</v>
      </c>
      <c r="E25" s="565" t="s">
        <v>402</v>
      </c>
      <c r="F25" s="566" t="s">
        <v>862</v>
      </c>
      <c r="G25" s="567" t="s">
        <v>521</v>
      </c>
      <c r="H25" s="568" t="s">
        <v>402</v>
      </c>
      <c r="I25" s="569" t="s">
        <v>402</v>
      </c>
      <c r="J25" s="570">
        <v>0</v>
      </c>
      <c r="K25" s="567" t="s">
        <v>395</v>
      </c>
      <c r="L25" s="571">
        <v>0</v>
      </c>
      <c r="M25" s="561">
        <v>1</v>
      </c>
      <c r="N25" s="563">
        <v>1.0744244531716256</v>
      </c>
      <c r="O25" s="613" t="s">
        <v>1239</v>
      </c>
      <c r="P25" s="571">
        <v>0</v>
      </c>
      <c r="Q25" s="561">
        <v>1</v>
      </c>
      <c r="R25" s="563">
        <v>1.0744244531716256</v>
      </c>
      <c r="S25" s="613" t="s">
        <v>1239</v>
      </c>
      <c r="T25" s="571">
        <v>0</v>
      </c>
      <c r="U25" s="561">
        <v>1</v>
      </c>
      <c r="V25" s="563">
        <v>1.0744244531716256</v>
      </c>
      <c r="W25" s="613" t="s">
        <v>1239</v>
      </c>
      <c r="X25" s="571">
        <v>0</v>
      </c>
      <c r="Y25" s="561">
        <v>1</v>
      </c>
      <c r="Z25" s="563">
        <v>1.0744244531716256</v>
      </c>
      <c r="AA25" s="613" t="s">
        <v>1239</v>
      </c>
      <c r="AB25" s="571">
        <v>0</v>
      </c>
      <c r="AC25" s="561">
        <v>1</v>
      </c>
      <c r="AD25" s="563">
        <v>1.0744244531716256</v>
      </c>
      <c r="AE25" s="613" t="s">
        <v>1239</v>
      </c>
      <c r="AF25" s="571">
        <v>0</v>
      </c>
      <c r="AG25" s="561">
        <v>1</v>
      </c>
      <c r="AH25" s="563">
        <v>1.0744244531716256</v>
      </c>
      <c r="AI25" s="613" t="s">
        <v>1239</v>
      </c>
      <c r="AJ25" s="571">
        <v>0</v>
      </c>
      <c r="AK25" s="561">
        <v>1</v>
      </c>
      <c r="AL25" s="563">
        <v>1.0744244531716256</v>
      </c>
      <c r="AM25" s="613" t="s">
        <v>1239</v>
      </c>
      <c r="AN25" s="571">
        <v>1.0190664036817882</v>
      </c>
      <c r="AO25" s="561">
        <v>1</v>
      </c>
      <c r="AP25" s="563">
        <v>1.0744244531716256</v>
      </c>
      <c r="AQ25" s="562" t="s">
        <v>1239</v>
      </c>
      <c r="AR25" s="613"/>
      <c r="AS25" s="571">
        <v>0</v>
      </c>
      <c r="AT25" s="561">
        <v>1</v>
      </c>
      <c r="AU25" s="563">
        <v>1.0744244531716256</v>
      </c>
      <c r="AV25" s="562" t="s">
        <v>1239</v>
      </c>
    </row>
    <row r="26" spans="1:48" ht="36">
      <c r="A26" s="36">
        <v>4843</v>
      </c>
      <c r="B26" s="580" t="s">
        <v>525</v>
      </c>
      <c r="C26" s="554"/>
      <c r="D26" s="564" t="s">
        <v>526</v>
      </c>
      <c r="E26" s="565" t="s">
        <v>402</v>
      </c>
      <c r="F26" s="566" t="s">
        <v>861</v>
      </c>
      <c r="G26" s="567" t="s">
        <v>521</v>
      </c>
      <c r="H26" s="568" t="s">
        <v>402</v>
      </c>
      <c r="I26" s="569" t="s">
        <v>402</v>
      </c>
      <c r="J26" s="570">
        <v>0</v>
      </c>
      <c r="K26" s="567" t="s">
        <v>395</v>
      </c>
      <c r="L26" s="571">
        <v>0</v>
      </c>
      <c r="M26" s="561">
        <v>1</v>
      </c>
      <c r="N26" s="563">
        <v>1.0744244531716256</v>
      </c>
      <c r="O26" s="613" t="s">
        <v>1239</v>
      </c>
      <c r="P26" s="571">
        <v>0</v>
      </c>
      <c r="Q26" s="561">
        <v>1</v>
      </c>
      <c r="R26" s="563">
        <v>1.0744244531716256</v>
      </c>
      <c r="S26" s="613" t="s">
        <v>1239</v>
      </c>
      <c r="T26" s="571">
        <v>0</v>
      </c>
      <c r="U26" s="561">
        <v>1</v>
      </c>
      <c r="V26" s="563">
        <v>1.0744244531716256</v>
      </c>
      <c r="W26" s="613" t="s">
        <v>1239</v>
      </c>
      <c r="X26" s="571">
        <v>0</v>
      </c>
      <c r="Y26" s="561">
        <v>1</v>
      </c>
      <c r="Z26" s="563">
        <v>1.0744244531716256</v>
      </c>
      <c r="AA26" s="613" t="s">
        <v>1239</v>
      </c>
      <c r="AB26" s="571">
        <v>0</v>
      </c>
      <c r="AC26" s="561">
        <v>1</v>
      </c>
      <c r="AD26" s="563">
        <v>1.0744244531716256</v>
      </c>
      <c r="AE26" s="613" t="s">
        <v>1239</v>
      </c>
      <c r="AF26" s="571">
        <v>0</v>
      </c>
      <c r="AG26" s="561">
        <v>1</v>
      </c>
      <c r="AH26" s="563">
        <v>1.0744244531716256</v>
      </c>
      <c r="AI26" s="613" t="s">
        <v>1239</v>
      </c>
      <c r="AJ26" s="571">
        <v>1.5820184089414859</v>
      </c>
      <c r="AK26" s="561">
        <v>1</v>
      </c>
      <c r="AL26" s="563">
        <v>1.0744244531716256</v>
      </c>
      <c r="AM26" s="613" t="s">
        <v>1239</v>
      </c>
      <c r="AN26" s="571">
        <v>0</v>
      </c>
      <c r="AO26" s="561">
        <v>1</v>
      </c>
      <c r="AP26" s="563">
        <v>1.0744244531716256</v>
      </c>
      <c r="AQ26" s="562" t="s">
        <v>1239</v>
      </c>
      <c r="AR26" s="613"/>
      <c r="AS26" s="571">
        <v>0</v>
      </c>
      <c r="AT26" s="561">
        <v>1</v>
      </c>
      <c r="AU26" s="563">
        <v>1.0744244531716256</v>
      </c>
      <c r="AV26" s="562" t="s">
        <v>1239</v>
      </c>
    </row>
    <row r="27" spans="1:48" ht="36" outlineLevel="1">
      <c r="A27" s="146" t="s">
        <v>756</v>
      </c>
      <c r="B27" s="580" t="s">
        <v>525</v>
      </c>
      <c r="C27" s="554"/>
      <c r="D27" s="564" t="s">
        <v>526</v>
      </c>
      <c r="E27" s="565" t="s">
        <v>402</v>
      </c>
      <c r="F27" s="566" t="s">
        <v>862</v>
      </c>
      <c r="G27" s="567" t="s">
        <v>1105</v>
      </c>
      <c r="H27" s="568" t="s">
        <v>402</v>
      </c>
      <c r="I27" s="569" t="s">
        <v>402</v>
      </c>
      <c r="J27" s="570">
        <v>0</v>
      </c>
      <c r="K27" s="567" t="s">
        <v>395</v>
      </c>
      <c r="L27" s="571">
        <v>0</v>
      </c>
      <c r="M27" s="561">
        <v>1</v>
      </c>
      <c r="N27" s="563">
        <v>1.0744244531716256</v>
      </c>
      <c r="O27" s="613" t="s">
        <v>1239</v>
      </c>
      <c r="P27" s="571">
        <v>1.0190664036817882</v>
      </c>
      <c r="Q27" s="561">
        <v>1</v>
      </c>
      <c r="R27" s="563">
        <v>1.0744244531716256</v>
      </c>
      <c r="S27" s="613" t="s">
        <v>1239</v>
      </c>
      <c r="T27" s="571">
        <v>0</v>
      </c>
      <c r="U27" s="561">
        <v>1</v>
      </c>
      <c r="V27" s="563">
        <v>1.0744244531716256</v>
      </c>
      <c r="W27" s="613" t="s">
        <v>1239</v>
      </c>
      <c r="X27" s="571">
        <v>0</v>
      </c>
      <c r="Y27" s="561">
        <v>1</v>
      </c>
      <c r="Z27" s="563">
        <v>1.0744244531716256</v>
      </c>
      <c r="AA27" s="613" t="s">
        <v>1239</v>
      </c>
      <c r="AB27" s="571">
        <v>0</v>
      </c>
      <c r="AC27" s="561">
        <v>1</v>
      </c>
      <c r="AD27" s="563">
        <v>1.0744244531716256</v>
      </c>
      <c r="AE27" s="613" t="s">
        <v>1239</v>
      </c>
      <c r="AF27" s="571">
        <v>0</v>
      </c>
      <c r="AG27" s="561">
        <v>1</v>
      </c>
      <c r="AH27" s="563">
        <v>1.0744244531716256</v>
      </c>
      <c r="AI27" s="613" t="s">
        <v>1239</v>
      </c>
      <c r="AJ27" s="571">
        <v>0</v>
      </c>
      <c r="AK27" s="561">
        <v>1</v>
      </c>
      <c r="AL27" s="563">
        <v>1.0744244531716256</v>
      </c>
      <c r="AM27" s="613" t="s">
        <v>1239</v>
      </c>
      <c r="AN27" s="571">
        <v>0</v>
      </c>
      <c r="AO27" s="561">
        <v>1</v>
      </c>
      <c r="AP27" s="563">
        <v>1.0744244531716256</v>
      </c>
      <c r="AQ27" s="562" t="s">
        <v>1239</v>
      </c>
      <c r="AR27" s="613"/>
      <c r="AS27" s="571">
        <v>0</v>
      </c>
      <c r="AT27" s="561">
        <v>1</v>
      </c>
      <c r="AU27" s="563">
        <v>1.0744244531716256</v>
      </c>
      <c r="AV27" s="562" t="s">
        <v>1239</v>
      </c>
    </row>
    <row r="28" spans="1:48" ht="36" outlineLevel="1">
      <c r="A28" s="471" t="s">
        <v>757</v>
      </c>
      <c r="B28" s="580" t="s">
        <v>525</v>
      </c>
      <c r="C28" s="554"/>
      <c r="D28" s="564" t="s">
        <v>526</v>
      </c>
      <c r="E28" s="565" t="s">
        <v>402</v>
      </c>
      <c r="F28" s="566" t="s">
        <v>861</v>
      </c>
      <c r="G28" s="567" t="s">
        <v>1105</v>
      </c>
      <c r="H28" s="568" t="s">
        <v>402</v>
      </c>
      <c r="I28" s="569" t="s">
        <v>402</v>
      </c>
      <c r="J28" s="570">
        <v>0</v>
      </c>
      <c r="K28" s="567" t="s">
        <v>395</v>
      </c>
      <c r="L28" s="571">
        <v>1.5820184089414859</v>
      </c>
      <c r="M28" s="561">
        <v>1</v>
      </c>
      <c r="N28" s="563">
        <v>1.0744244531716256</v>
      </c>
      <c r="O28" s="613" t="s">
        <v>1239</v>
      </c>
      <c r="P28" s="571">
        <v>0</v>
      </c>
      <c r="Q28" s="561">
        <v>1</v>
      </c>
      <c r="R28" s="563">
        <v>1.0744244531716256</v>
      </c>
      <c r="S28" s="613" t="s">
        <v>1239</v>
      </c>
      <c r="T28" s="571">
        <v>0</v>
      </c>
      <c r="U28" s="561">
        <v>1</v>
      </c>
      <c r="V28" s="563">
        <v>1.0744244531716256</v>
      </c>
      <c r="W28" s="613" t="s">
        <v>1239</v>
      </c>
      <c r="X28" s="571">
        <v>0</v>
      </c>
      <c r="Y28" s="561">
        <v>1</v>
      </c>
      <c r="Z28" s="563">
        <v>1.0744244531716256</v>
      </c>
      <c r="AA28" s="613" t="s">
        <v>1239</v>
      </c>
      <c r="AB28" s="571">
        <v>0</v>
      </c>
      <c r="AC28" s="561">
        <v>1</v>
      </c>
      <c r="AD28" s="563">
        <v>1.0744244531716256</v>
      </c>
      <c r="AE28" s="613" t="s">
        <v>1239</v>
      </c>
      <c r="AF28" s="571">
        <v>0</v>
      </c>
      <c r="AG28" s="561">
        <v>1</v>
      </c>
      <c r="AH28" s="563">
        <v>1.0744244531716256</v>
      </c>
      <c r="AI28" s="613" t="s">
        <v>1239</v>
      </c>
      <c r="AJ28" s="571">
        <v>0</v>
      </c>
      <c r="AK28" s="561">
        <v>1</v>
      </c>
      <c r="AL28" s="563">
        <v>1.0744244531716256</v>
      </c>
      <c r="AM28" s="613" t="s">
        <v>1239</v>
      </c>
      <c r="AN28" s="571">
        <v>0</v>
      </c>
      <c r="AO28" s="561">
        <v>1</v>
      </c>
      <c r="AP28" s="563">
        <v>1.0744244531716256</v>
      </c>
      <c r="AQ28" s="562" t="s">
        <v>1239</v>
      </c>
      <c r="AR28" s="613"/>
      <c r="AS28" s="571">
        <v>0</v>
      </c>
      <c r="AT28" s="561">
        <v>1</v>
      </c>
      <c r="AU28" s="563">
        <v>1.0744244531716256</v>
      </c>
      <c r="AV28" s="562" t="s">
        <v>1239</v>
      </c>
    </row>
    <row r="29" spans="1:48" ht="36" outlineLevel="1">
      <c r="A29" s="471" t="s">
        <v>878</v>
      </c>
      <c r="B29" s="580" t="s">
        <v>525</v>
      </c>
      <c r="C29" s="554"/>
      <c r="D29" s="564" t="s">
        <v>526</v>
      </c>
      <c r="E29" s="565" t="s">
        <v>402</v>
      </c>
      <c r="F29" s="566" t="s">
        <v>862</v>
      </c>
      <c r="G29" s="567" t="s">
        <v>465</v>
      </c>
      <c r="H29" s="568" t="s">
        <v>402</v>
      </c>
      <c r="I29" s="569" t="s">
        <v>402</v>
      </c>
      <c r="J29" s="570">
        <v>0</v>
      </c>
      <c r="K29" s="567" t="s">
        <v>395</v>
      </c>
      <c r="L29" s="571">
        <v>0</v>
      </c>
      <c r="M29" s="561">
        <v>1</v>
      </c>
      <c r="N29" s="563">
        <v>1.0744244531716256</v>
      </c>
      <c r="O29" s="613" t="s">
        <v>1239</v>
      </c>
      <c r="P29" s="571">
        <v>0</v>
      </c>
      <c r="Q29" s="561">
        <v>1</v>
      </c>
      <c r="R29" s="563">
        <v>1.0744244531716256</v>
      </c>
      <c r="S29" s="613" t="s">
        <v>1239</v>
      </c>
      <c r="T29" s="571">
        <v>0</v>
      </c>
      <c r="U29" s="561">
        <v>1</v>
      </c>
      <c r="V29" s="563">
        <v>1.0744244531716256</v>
      </c>
      <c r="W29" s="613" t="s">
        <v>1239</v>
      </c>
      <c r="X29" s="571">
        <v>1.0190664036817882</v>
      </c>
      <c r="Y29" s="561">
        <v>1</v>
      </c>
      <c r="Z29" s="563">
        <v>1.0744244531716256</v>
      </c>
      <c r="AA29" s="613" t="s">
        <v>1239</v>
      </c>
      <c r="AB29" s="571">
        <v>0</v>
      </c>
      <c r="AC29" s="561">
        <v>1</v>
      </c>
      <c r="AD29" s="563">
        <v>1.0744244531716256</v>
      </c>
      <c r="AE29" s="613" t="s">
        <v>1239</v>
      </c>
      <c r="AF29" s="571">
        <v>0</v>
      </c>
      <c r="AG29" s="561">
        <v>1</v>
      </c>
      <c r="AH29" s="563">
        <v>1.0744244531716256</v>
      </c>
      <c r="AI29" s="613" t="s">
        <v>1239</v>
      </c>
      <c r="AJ29" s="571">
        <v>0</v>
      </c>
      <c r="AK29" s="561">
        <v>1</v>
      </c>
      <c r="AL29" s="563">
        <v>1.0744244531716256</v>
      </c>
      <c r="AM29" s="613" t="s">
        <v>1239</v>
      </c>
      <c r="AN29" s="571">
        <v>0</v>
      </c>
      <c r="AO29" s="561">
        <v>1</v>
      </c>
      <c r="AP29" s="563">
        <v>1.0744244531716256</v>
      </c>
      <c r="AQ29" s="562" t="s">
        <v>1239</v>
      </c>
      <c r="AR29" s="613"/>
      <c r="AS29" s="571">
        <v>0</v>
      </c>
      <c r="AT29" s="561">
        <v>1</v>
      </c>
      <c r="AU29" s="563">
        <v>1.0744244531716256</v>
      </c>
      <c r="AV29" s="562" t="s">
        <v>1239</v>
      </c>
    </row>
    <row r="30" spans="1:48" ht="36" outlineLevel="1">
      <c r="A30" s="146" t="s">
        <v>877</v>
      </c>
      <c r="B30" s="580" t="s">
        <v>525</v>
      </c>
      <c r="C30" s="554"/>
      <c r="D30" s="564" t="s">
        <v>526</v>
      </c>
      <c r="E30" s="565" t="s">
        <v>402</v>
      </c>
      <c r="F30" s="566" t="s">
        <v>861</v>
      </c>
      <c r="G30" s="567" t="s">
        <v>465</v>
      </c>
      <c r="H30" s="568" t="s">
        <v>402</v>
      </c>
      <c r="I30" s="569" t="s">
        <v>402</v>
      </c>
      <c r="J30" s="570">
        <v>0</v>
      </c>
      <c r="K30" s="567" t="s">
        <v>395</v>
      </c>
      <c r="L30" s="571">
        <v>0</v>
      </c>
      <c r="M30" s="561">
        <v>1</v>
      </c>
      <c r="N30" s="563">
        <v>1.0744244531716256</v>
      </c>
      <c r="O30" s="613" t="s">
        <v>1239</v>
      </c>
      <c r="P30" s="571">
        <v>0</v>
      </c>
      <c r="Q30" s="561">
        <v>1</v>
      </c>
      <c r="R30" s="563">
        <v>1.0744244531716256</v>
      </c>
      <c r="S30" s="613" t="s">
        <v>1239</v>
      </c>
      <c r="T30" s="571">
        <v>1.5820184089414859</v>
      </c>
      <c r="U30" s="561">
        <v>1</v>
      </c>
      <c r="V30" s="563">
        <v>1.0744244531716256</v>
      </c>
      <c r="W30" s="613" t="s">
        <v>1239</v>
      </c>
      <c r="X30" s="571">
        <v>0</v>
      </c>
      <c r="Y30" s="561">
        <v>1</v>
      </c>
      <c r="Z30" s="563">
        <v>1.0744244531716256</v>
      </c>
      <c r="AA30" s="613" t="s">
        <v>1239</v>
      </c>
      <c r="AB30" s="571">
        <v>0</v>
      </c>
      <c r="AC30" s="561">
        <v>1</v>
      </c>
      <c r="AD30" s="563">
        <v>1.0744244531716256</v>
      </c>
      <c r="AE30" s="613" t="s">
        <v>1239</v>
      </c>
      <c r="AF30" s="571">
        <v>0</v>
      </c>
      <c r="AG30" s="561">
        <v>1</v>
      </c>
      <c r="AH30" s="563">
        <v>1.0744244531716256</v>
      </c>
      <c r="AI30" s="613" t="s">
        <v>1239</v>
      </c>
      <c r="AJ30" s="571">
        <v>0</v>
      </c>
      <c r="AK30" s="561">
        <v>1</v>
      </c>
      <c r="AL30" s="563">
        <v>1.0744244531716256</v>
      </c>
      <c r="AM30" s="613" t="s">
        <v>1239</v>
      </c>
      <c r="AN30" s="571">
        <v>0</v>
      </c>
      <c r="AO30" s="561">
        <v>1</v>
      </c>
      <c r="AP30" s="563">
        <v>1.0744244531716256</v>
      </c>
      <c r="AQ30" s="562" t="s">
        <v>1239</v>
      </c>
      <c r="AR30" s="613"/>
      <c r="AS30" s="571">
        <v>0</v>
      </c>
      <c r="AT30" s="561">
        <v>1</v>
      </c>
      <c r="AU30" s="563">
        <v>1.0744244531716256</v>
      </c>
      <c r="AV30" s="562" t="s">
        <v>1239</v>
      </c>
    </row>
    <row r="31" spans="1:48" ht="36" outlineLevel="1">
      <c r="A31" s="471" t="s">
        <v>879</v>
      </c>
      <c r="B31" s="580" t="s">
        <v>525</v>
      </c>
      <c r="C31" s="554"/>
      <c r="D31" s="564" t="s">
        <v>526</v>
      </c>
      <c r="E31" s="565" t="s">
        <v>402</v>
      </c>
      <c r="F31" s="566" t="s">
        <v>862</v>
      </c>
      <c r="G31" s="567" t="s">
        <v>956</v>
      </c>
      <c r="H31" s="568" t="s">
        <v>402</v>
      </c>
      <c r="I31" s="569" t="s">
        <v>402</v>
      </c>
      <c r="J31" s="570">
        <v>0</v>
      </c>
      <c r="K31" s="567" t="s">
        <v>395</v>
      </c>
      <c r="L31" s="571">
        <v>0</v>
      </c>
      <c r="M31" s="561">
        <v>1</v>
      </c>
      <c r="N31" s="563">
        <v>1.0744244531716256</v>
      </c>
      <c r="O31" s="613" t="s">
        <v>1239</v>
      </c>
      <c r="P31" s="571">
        <v>0</v>
      </c>
      <c r="Q31" s="561">
        <v>1</v>
      </c>
      <c r="R31" s="563">
        <v>1.0744244531716256</v>
      </c>
      <c r="S31" s="613" t="s">
        <v>1239</v>
      </c>
      <c r="T31" s="571">
        <v>0</v>
      </c>
      <c r="U31" s="561">
        <v>1</v>
      </c>
      <c r="V31" s="563">
        <v>1.0744244531716256</v>
      </c>
      <c r="W31" s="613" t="s">
        <v>1239</v>
      </c>
      <c r="X31" s="571">
        <v>0</v>
      </c>
      <c r="Y31" s="561">
        <v>1</v>
      </c>
      <c r="Z31" s="563">
        <v>1.0744244531716256</v>
      </c>
      <c r="AA31" s="613" t="s">
        <v>1239</v>
      </c>
      <c r="AB31" s="571">
        <v>0</v>
      </c>
      <c r="AC31" s="561">
        <v>1</v>
      </c>
      <c r="AD31" s="563">
        <v>1.0744244531716256</v>
      </c>
      <c r="AE31" s="613" t="s">
        <v>1239</v>
      </c>
      <c r="AF31" s="571">
        <v>1.0190664036817882</v>
      </c>
      <c r="AG31" s="561">
        <v>1</v>
      </c>
      <c r="AH31" s="563">
        <v>1.0744244531716256</v>
      </c>
      <c r="AI31" s="613" t="s">
        <v>1239</v>
      </c>
      <c r="AJ31" s="571">
        <v>0</v>
      </c>
      <c r="AK31" s="561">
        <v>1</v>
      </c>
      <c r="AL31" s="563">
        <v>1.0744244531716256</v>
      </c>
      <c r="AM31" s="613" t="s">
        <v>1239</v>
      </c>
      <c r="AN31" s="571">
        <v>0</v>
      </c>
      <c r="AO31" s="561">
        <v>1</v>
      </c>
      <c r="AP31" s="563">
        <v>1.0744244531716256</v>
      </c>
      <c r="AQ31" s="562" t="s">
        <v>1239</v>
      </c>
      <c r="AR31" s="613"/>
      <c r="AS31" s="571">
        <v>0</v>
      </c>
      <c r="AT31" s="561">
        <v>1</v>
      </c>
      <c r="AU31" s="563">
        <v>1.0744244531716256</v>
      </c>
      <c r="AV31" s="562" t="s">
        <v>1239</v>
      </c>
    </row>
    <row r="32" spans="1:48" ht="36" outlineLevel="1">
      <c r="A32" s="146" t="s">
        <v>876</v>
      </c>
      <c r="B32" s="580" t="s">
        <v>525</v>
      </c>
      <c r="C32" s="554"/>
      <c r="D32" s="564" t="s">
        <v>526</v>
      </c>
      <c r="E32" s="565" t="s">
        <v>402</v>
      </c>
      <c r="F32" s="566" t="s">
        <v>861</v>
      </c>
      <c r="G32" s="567" t="s">
        <v>956</v>
      </c>
      <c r="H32" s="568" t="s">
        <v>402</v>
      </c>
      <c r="I32" s="569" t="s">
        <v>402</v>
      </c>
      <c r="J32" s="570">
        <v>0</v>
      </c>
      <c r="K32" s="567" t="s">
        <v>395</v>
      </c>
      <c r="L32" s="571">
        <v>0</v>
      </c>
      <c r="M32" s="561">
        <v>1</v>
      </c>
      <c r="N32" s="563">
        <v>1.0744244531716256</v>
      </c>
      <c r="O32" s="613" t="s">
        <v>1239</v>
      </c>
      <c r="P32" s="571">
        <v>0</v>
      </c>
      <c r="Q32" s="561">
        <v>1</v>
      </c>
      <c r="R32" s="563">
        <v>1.0744244531716256</v>
      </c>
      <c r="S32" s="613" t="s">
        <v>1239</v>
      </c>
      <c r="T32" s="571">
        <v>0</v>
      </c>
      <c r="U32" s="561">
        <v>1</v>
      </c>
      <c r="V32" s="563">
        <v>1.0744244531716256</v>
      </c>
      <c r="W32" s="613" t="s">
        <v>1239</v>
      </c>
      <c r="X32" s="571">
        <v>0</v>
      </c>
      <c r="Y32" s="561">
        <v>1</v>
      </c>
      <c r="Z32" s="563">
        <v>1.0744244531716256</v>
      </c>
      <c r="AA32" s="613" t="s">
        <v>1239</v>
      </c>
      <c r="AB32" s="571">
        <v>1.5820184089414859</v>
      </c>
      <c r="AC32" s="561">
        <v>1</v>
      </c>
      <c r="AD32" s="563">
        <v>1.0744244531716256</v>
      </c>
      <c r="AE32" s="613" t="s">
        <v>1239</v>
      </c>
      <c r="AF32" s="571">
        <v>0</v>
      </c>
      <c r="AG32" s="561">
        <v>1</v>
      </c>
      <c r="AH32" s="563">
        <v>1.0744244531716256</v>
      </c>
      <c r="AI32" s="613" t="s">
        <v>1239</v>
      </c>
      <c r="AJ32" s="571">
        <v>0</v>
      </c>
      <c r="AK32" s="561">
        <v>1</v>
      </c>
      <c r="AL32" s="563">
        <v>1.0744244531716256</v>
      </c>
      <c r="AM32" s="613" t="s">
        <v>1239</v>
      </c>
      <c r="AN32" s="571">
        <v>0</v>
      </c>
      <c r="AO32" s="561">
        <v>1</v>
      </c>
      <c r="AP32" s="563">
        <v>1.0744244531716256</v>
      </c>
      <c r="AQ32" s="562" t="s">
        <v>1239</v>
      </c>
      <c r="AR32" s="613"/>
      <c r="AS32" s="571">
        <v>0</v>
      </c>
      <c r="AT32" s="561">
        <v>1</v>
      </c>
      <c r="AU32" s="563">
        <v>1.0744244531716256</v>
      </c>
      <c r="AV32" s="562" t="s">
        <v>1239</v>
      </c>
    </row>
    <row r="33" spans="1:48" ht="36">
      <c r="A33" s="260">
        <v>32124</v>
      </c>
      <c r="B33" s="580" t="s">
        <v>525</v>
      </c>
      <c r="C33" s="554"/>
      <c r="D33" s="564" t="s">
        <v>526</v>
      </c>
      <c r="E33" s="565" t="s">
        <v>402</v>
      </c>
      <c r="F33" s="566" t="s">
        <v>863</v>
      </c>
      <c r="G33" s="567" t="s">
        <v>51</v>
      </c>
      <c r="H33" s="568" t="s">
        <v>402</v>
      </c>
      <c r="I33" s="569" t="s">
        <v>402</v>
      </c>
      <c r="J33" s="570">
        <v>0</v>
      </c>
      <c r="K33" s="567" t="s">
        <v>395</v>
      </c>
      <c r="L33" s="571">
        <v>0</v>
      </c>
      <c r="M33" s="561">
        <v>1</v>
      </c>
      <c r="N33" s="563">
        <v>1.0744244531716256</v>
      </c>
      <c r="O33" s="613" t="s">
        <v>1239</v>
      </c>
      <c r="P33" s="571">
        <v>0</v>
      </c>
      <c r="Q33" s="561">
        <v>1</v>
      </c>
      <c r="R33" s="563">
        <v>1.0744244531716256</v>
      </c>
      <c r="S33" s="613" t="s">
        <v>1239</v>
      </c>
      <c r="T33" s="571">
        <v>0</v>
      </c>
      <c r="U33" s="561">
        <v>1</v>
      </c>
      <c r="V33" s="563">
        <v>1.0744244531716256</v>
      </c>
      <c r="W33" s="613" t="s">
        <v>1239</v>
      </c>
      <c r="X33" s="571">
        <v>0</v>
      </c>
      <c r="Y33" s="561">
        <v>1</v>
      </c>
      <c r="Z33" s="563">
        <v>1.0744244531716256</v>
      </c>
      <c r="AA33" s="613" t="s">
        <v>1239</v>
      </c>
      <c r="AB33" s="571">
        <v>0</v>
      </c>
      <c r="AC33" s="561">
        <v>1</v>
      </c>
      <c r="AD33" s="563">
        <v>1.0744244531716256</v>
      </c>
      <c r="AE33" s="613" t="s">
        <v>1239</v>
      </c>
      <c r="AF33" s="571">
        <v>0</v>
      </c>
      <c r="AG33" s="561">
        <v>1</v>
      </c>
      <c r="AH33" s="563">
        <v>1.0744244531716256</v>
      </c>
      <c r="AI33" s="613" t="s">
        <v>1239</v>
      </c>
      <c r="AJ33" s="571">
        <v>0</v>
      </c>
      <c r="AK33" s="561">
        <v>1</v>
      </c>
      <c r="AL33" s="563">
        <v>1.0744244531716256</v>
      </c>
      <c r="AM33" s="613" t="s">
        <v>1239</v>
      </c>
      <c r="AN33" s="571">
        <v>0</v>
      </c>
      <c r="AO33" s="561">
        <v>1</v>
      </c>
      <c r="AP33" s="563">
        <v>1.0744244531716256</v>
      </c>
      <c r="AQ33" s="562" t="s">
        <v>1239</v>
      </c>
      <c r="AR33" s="613"/>
      <c r="AS33" s="571">
        <v>0.74</v>
      </c>
      <c r="AT33" s="561">
        <v>1</v>
      </c>
      <c r="AU33" s="563">
        <v>1.0744244531716256</v>
      </c>
      <c r="AV33" s="562" t="s">
        <v>1239</v>
      </c>
    </row>
    <row r="34" spans="1:48" ht="36">
      <c r="A34" s="122">
        <v>4850</v>
      </c>
      <c r="B34" s="580" t="s">
        <v>525</v>
      </c>
      <c r="C34" s="554"/>
      <c r="D34" s="564" t="s">
        <v>526</v>
      </c>
      <c r="E34" s="565" t="s">
        <v>402</v>
      </c>
      <c r="F34" s="566" t="s">
        <v>1241</v>
      </c>
      <c r="G34" s="567" t="s">
        <v>521</v>
      </c>
      <c r="H34" s="568" t="s">
        <v>402</v>
      </c>
      <c r="I34" s="569" t="s">
        <v>402</v>
      </c>
      <c r="J34" s="570">
        <v>0</v>
      </c>
      <c r="K34" s="567" t="s">
        <v>395</v>
      </c>
      <c r="L34" s="571">
        <v>0.62047994740302437</v>
      </c>
      <c r="M34" s="561">
        <v>1</v>
      </c>
      <c r="N34" s="563">
        <v>1.0744244531716256</v>
      </c>
      <c r="O34" s="613" t="s">
        <v>1239</v>
      </c>
      <c r="P34" s="571">
        <v>0.62047994740302437</v>
      </c>
      <c r="Q34" s="561">
        <v>1</v>
      </c>
      <c r="R34" s="563">
        <v>1.0744244531716256</v>
      </c>
      <c r="S34" s="613" t="s">
        <v>1239</v>
      </c>
      <c r="T34" s="571">
        <v>0.62047994740302437</v>
      </c>
      <c r="U34" s="561">
        <v>1</v>
      </c>
      <c r="V34" s="563">
        <v>1.0744244531716256</v>
      </c>
      <c r="W34" s="613" t="s">
        <v>1239</v>
      </c>
      <c r="X34" s="571">
        <v>0.62047994740302437</v>
      </c>
      <c r="Y34" s="561">
        <v>1</v>
      </c>
      <c r="Z34" s="563">
        <v>1.0744244531716256</v>
      </c>
      <c r="AA34" s="613" t="s">
        <v>1239</v>
      </c>
      <c r="AB34" s="571">
        <v>0.62047994740302437</v>
      </c>
      <c r="AC34" s="561">
        <v>1</v>
      </c>
      <c r="AD34" s="563">
        <v>1.0744244531716256</v>
      </c>
      <c r="AE34" s="613" t="s">
        <v>1239</v>
      </c>
      <c r="AF34" s="571">
        <v>0.62047994740302437</v>
      </c>
      <c r="AG34" s="561">
        <v>1</v>
      </c>
      <c r="AH34" s="563">
        <v>1.0744244531716256</v>
      </c>
      <c r="AI34" s="613" t="s">
        <v>1239</v>
      </c>
      <c r="AJ34" s="571">
        <v>0.62047994740302437</v>
      </c>
      <c r="AK34" s="561">
        <v>1</v>
      </c>
      <c r="AL34" s="563">
        <v>1.0744244531716256</v>
      </c>
      <c r="AM34" s="613" t="s">
        <v>1239</v>
      </c>
      <c r="AN34" s="571">
        <v>0.62047994740302437</v>
      </c>
      <c r="AO34" s="561">
        <v>1</v>
      </c>
      <c r="AP34" s="563">
        <v>1.0744244531716256</v>
      </c>
      <c r="AQ34" s="562" t="s">
        <v>1239</v>
      </c>
      <c r="AR34" s="613"/>
      <c r="AS34" s="571">
        <v>0</v>
      </c>
      <c r="AT34" s="561">
        <v>1</v>
      </c>
      <c r="AU34" s="563">
        <v>1.0744244531716256</v>
      </c>
      <c r="AV34" s="562" t="s">
        <v>1239</v>
      </c>
    </row>
    <row r="35" spans="1:48" ht="36">
      <c r="A35" s="120">
        <v>32072</v>
      </c>
      <c r="B35" s="580" t="s">
        <v>525</v>
      </c>
      <c r="C35" s="554"/>
      <c r="D35" s="564" t="s">
        <v>526</v>
      </c>
      <c r="E35" s="565" t="s">
        <v>402</v>
      </c>
      <c r="F35" s="566" t="s">
        <v>1242</v>
      </c>
      <c r="G35" s="567" t="s">
        <v>521</v>
      </c>
      <c r="H35" s="568" t="s">
        <v>402</v>
      </c>
      <c r="I35" s="569" t="s">
        <v>402</v>
      </c>
      <c r="J35" s="570">
        <v>0</v>
      </c>
      <c r="K35" s="567" t="s">
        <v>395</v>
      </c>
      <c r="L35" s="571">
        <v>1.4094345825115056</v>
      </c>
      <c r="M35" s="561">
        <v>1</v>
      </c>
      <c r="N35" s="563">
        <v>1.0744244531716256</v>
      </c>
      <c r="O35" s="613" t="s">
        <v>1239</v>
      </c>
      <c r="P35" s="571">
        <v>1.4094345825115056</v>
      </c>
      <c r="Q35" s="561">
        <v>1</v>
      </c>
      <c r="R35" s="563">
        <v>1.0744244531716256</v>
      </c>
      <c r="S35" s="613" t="s">
        <v>1239</v>
      </c>
      <c r="T35" s="571">
        <v>1.4094345825115056</v>
      </c>
      <c r="U35" s="561">
        <v>1</v>
      </c>
      <c r="V35" s="563">
        <v>1.0744244531716256</v>
      </c>
      <c r="W35" s="613" t="s">
        <v>1239</v>
      </c>
      <c r="X35" s="571">
        <v>1.4094345825115056</v>
      </c>
      <c r="Y35" s="561">
        <v>1</v>
      </c>
      <c r="Z35" s="563">
        <v>1.0744244531716256</v>
      </c>
      <c r="AA35" s="613" t="s">
        <v>1239</v>
      </c>
      <c r="AB35" s="571">
        <v>1.4094345825115056</v>
      </c>
      <c r="AC35" s="561">
        <v>1</v>
      </c>
      <c r="AD35" s="563">
        <v>1.0744244531716256</v>
      </c>
      <c r="AE35" s="613" t="s">
        <v>1239</v>
      </c>
      <c r="AF35" s="571">
        <v>1.4094345825115056</v>
      </c>
      <c r="AG35" s="561">
        <v>1</v>
      </c>
      <c r="AH35" s="563">
        <v>1.0744244531716256</v>
      </c>
      <c r="AI35" s="613" t="s">
        <v>1239</v>
      </c>
      <c r="AJ35" s="571">
        <v>1.4094345825115056</v>
      </c>
      <c r="AK35" s="561">
        <v>1</v>
      </c>
      <c r="AL35" s="563">
        <v>1.0744244531716256</v>
      </c>
      <c r="AM35" s="613" t="s">
        <v>1239</v>
      </c>
      <c r="AN35" s="571">
        <v>1.4094345825115056</v>
      </c>
      <c r="AO35" s="561">
        <v>1</v>
      </c>
      <c r="AP35" s="563">
        <v>1.0744244531716256</v>
      </c>
      <c r="AQ35" s="562" t="s">
        <v>1239</v>
      </c>
      <c r="AR35" s="613"/>
      <c r="AS35" s="571">
        <v>0</v>
      </c>
      <c r="AT35" s="561">
        <v>1</v>
      </c>
      <c r="AU35" s="563">
        <v>1.0744244531716256</v>
      </c>
      <c r="AV35" s="562" t="s">
        <v>1239</v>
      </c>
    </row>
    <row r="36" spans="1:48" ht="36">
      <c r="A36" s="226">
        <v>4225</v>
      </c>
      <c r="B36" s="580" t="s">
        <v>42</v>
      </c>
      <c r="C36" s="554" t="s">
        <v>525</v>
      </c>
      <c r="D36" s="564" t="s">
        <v>526</v>
      </c>
      <c r="E36" s="565" t="s">
        <v>402</v>
      </c>
      <c r="F36" s="566" t="s">
        <v>1139</v>
      </c>
      <c r="G36" s="567" t="s">
        <v>521</v>
      </c>
      <c r="H36" s="568" t="s">
        <v>402</v>
      </c>
      <c r="I36" s="569" t="s">
        <v>402</v>
      </c>
      <c r="J36" s="570">
        <v>0</v>
      </c>
      <c r="K36" s="567" t="s">
        <v>395</v>
      </c>
      <c r="L36" s="571">
        <v>0</v>
      </c>
      <c r="M36" s="561">
        <v>1</v>
      </c>
      <c r="N36" s="563">
        <v>1.0744244531716256</v>
      </c>
      <c r="O36" s="613" t="s">
        <v>1239</v>
      </c>
      <c r="P36" s="571">
        <v>0</v>
      </c>
      <c r="Q36" s="561">
        <v>1</v>
      </c>
      <c r="R36" s="563">
        <v>1.0744244531716256</v>
      </c>
      <c r="S36" s="613" t="s">
        <v>1239</v>
      </c>
      <c r="T36" s="571">
        <v>0</v>
      </c>
      <c r="U36" s="561">
        <v>1</v>
      </c>
      <c r="V36" s="563">
        <v>1.0744244531716256</v>
      </c>
      <c r="W36" s="613" t="s">
        <v>1239</v>
      </c>
      <c r="X36" s="571">
        <v>0</v>
      </c>
      <c r="Y36" s="561">
        <v>1</v>
      </c>
      <c r="Z36" s="563">
        <v>1.0744244531716256</v>
      </c>
      <c r="AA36" s="613" t="s">
        <v>1239</v>
      </c>
      <c r="AB36" s="571">
        <v>0</v>
      </c>
      <c r="AC36" s="561">
        <v>1</v>
      </c>
      <c r="AD36" s="563">
        <v>1.0744244531716256</v>
      </c>
      <c r="AE36" s="613" t="s">
        <v>1239</v>
      </c>
      <c r="AF36" s="571">
        <v>0</v>
      </c>
      <c r="AG36" s="561">
        <v>1</v>
      </c>
      <c r="AH36" s="563">
        <v>1.0744244531716256</v>
      </c>
      <c r="AI36" s="613" t="s">
        <v>1239</v>
      </c>
      <c r="AJ36" s="571">
        <v>0</v>
      </c>
      <c r="AK36" s="561">
        <v>1</v>
      </c>
      <c r="AL36" s="563">
        <v>1.0744244531716256</v>
      </c>
      <c r="AM36" s="613" t="s">
        <v>1239</v>
      </c>
      <c r="AN36" s="571">
        <v>0</v>
      </c>
      <c r="AO36" s="561">
        <v>1</v>
      </c>
      <c r="AP36" s="563">
        <v>1.0744244531716256</v>
      </c>
      <c r="AQ36" s="562" t="s">
        <v>1239</v>
      </c>
      <c r="AR36" s="613"/>
      <c r="AS36" s="571">
        <v>6.6E-3</v>
      </c>
      <c r="AT36" s="561">
        <v>1</v>
      </c>
      <c r="AU36" s="563">
        <v>1.0744244531716256</v>
      </c>
      <c r="AV36" s="562" t="s">
        <v>1239</v>
      </c>
    </row>
    <row r="37" spans="1:48" s="689" customFormat="1" ht="36">
      <c r="A37" s="670">
        <v>1014</v>
      </c>
      <c r="B37" s="698"/>
      <c r="C37" s="699"/>
      <c r="D37" s="700" t="s">
        <v>526</v>
      </c>
      <c r="E37" s="701" t="s">
        <v>402</v>
      </c>
      <c r="F37" s="702" t="s">
        <v>1087</v>
      </c>
      <c r="G37" s="703" t="s">
        <v>521</v>
      </c>
      <c r="H37" s="704" t="s">
        <v>402</v>
      </c>
      <c r="I37" s="705" t="s">
        <v>402</v>
      </c>
      <c r="J37" s="706">
        <v>0</v>
      </c>
      <c r="K37" s="703" t="s">
        <v>395</v>
      </c>
      <c r="L37" s="707">
        <v>9.9852071005917167E-3</v>
      </c>
      <c r="M37" s="708">
        <v>2</v>
      </c>
      <c r="N37" s="709">
        <v>1.2644524816734823</v>
      </c>
      <c r="O37" s="710" t="s">
        <v>1240</v>
      </c>
      <c r="P37" s="707">
        <v>4.0844838921762001E-2</v>
      </c>
      <c r="Q37" s="708">
        <v>2</v>
      </c>
      <c r="R37" s="709">
        <v>1.2644524816734823</v>
      </c>
      <c r="S37" s="710" t="s">
        <v>1240</v>
      </c>
      <c r="T37" s="707">
        <v>9.9852071005917167E-3</v>
      </c>
      <c r="U37" s="708">
        <v>2</v>
      </c>
      <c r="V37" s="709">
        <v>1.2644524816734823</v>
      </c>
      <c r="W37" s="710" t="s">
        <v>1240</v>
      </c>
      <c r="X37" s="707">
        <v>4.0844838921762001E-2</v>
      </c>
      <c r="Y37" s="708">
        <v>2</v>
      </c>
      <c r="Z37" s="709">
        <v>1.2644524816734823</v>
      </c>
      <c r="AA37" s="710" t="s">
        <v>1240</v>
      </c>
      <c r="AB37" s="707">
        <v>9.9852071005917167E-3</v>
      </c>
      <c r="AC37" s="708">
        <v>2</v>
      </c>
      <c r="AD37" s="709">
        <v>1.2644524816734823</v>
      </c>
      <c r="AE37" s="710" t="s">
        <v>1240</v>
      </c>
      <c r="AF37" s="707">
        <v>4.0844838921762001E-2</v>
      </c>
      <c r="AG37" s="708">
        <v>2</v>
      </c>
      <c r="AH37" s="709">
        <v>1.2644524816734823</v>
      </c>
      <c r="AI37" s="710" t="s">
        <v>1240</v>
      </c>
      <c r="AJ37" s="707">
        <v>9.9852071005917167E-3</v>
      </c>
      <c r="AK37" s="708">
        <v>2</v>
      </c>
      <c r="AL37" s="709">
        <v>1.2644524816734823</v>
      </c>
      <c r="AM37" s="710" t="s">
        <v>1240</v>
      </c>
      <c r="AN37" s="707">
        <v>4.0844838921762001E-2</v>
      </c>
      <c r="AO37" s="708">
        <v>1</v>
      </c>
      <c r="AP37" s="709">
        <v>1.2644524816734823</v>
      </c>
      <c r="AQ37" s="711" t="s">
        <v>1240</v>
      </c>
      <c r="AR37" s="710"/>
      <c r="AS37" s="707">
        <v>1.1083184035200765E-2</v>
      </c>
      <c r="AT37" s="708">
        <v>1</v>
      </c>
      <c r="AU37" s="709">
        <v>1.2644524816734823</v>
      </c>
      <c r="AV37" s="711" t="s">
        <v>1240</v>
      </c>
    </row>
    <row r="38" spans="1:48" ht="36">
      <c r="A38" s="36">
        <v>775</v>
      </c>
      <c r="B38" s="580" t="s">
        <v>525</v>
      </c>
      <c r="C38" s="554"/>
      <c r="D38" s="564" t="s">
        <v>526</v>
      </c>
      <c r="E38" s="565" t="s">
        <v>402</v>
      </c>
      <c r="F38" s="566" t="s">
        <v>1110</v>
      </c>
      <c r="G38" s="567" t="s">
        <v>521</v>
      </c>
      <c r="H38" s="568" t="s">
        <v>402</v>
      </c>
      <c r="I38" s="569" t="s">
        <v>402</v>
      </c>
      <c r="J38" s="570">
        <v>0</v>
      </c>
      <c r="K38" s="567" t="s">
        <v>395</v>
      </c>
      <c r="L38" s="571">
        <v>0</v>
      </c>
      <c r="M38" s="561">
        <v>1</v>
      </c>
      <c r="N38" s="563">
        <v>1.2644524816734823</v>
      </c>
      <c r="O38" s="613" t="s">
        <v>1240</v>
      </c>
      <c r="P38" s="571">
        <v>0</v>
      </c>
      <c r="Q38" s="561">
        <v>1</v>
      </c>
      <c r="R38" s="563">
        <v>1.2644524816734823</v>
      </c>
      <c r="S38" s="613" t="s">
        <v>1240</v>
      </c>
      <c r="T38" s="571">
        <v>0</v>
      </c>
      <c r="U38" s="561">
        <v>1</v>
      </c>
      <c r="V38" s="563">
        <v>1.2644524816734823</v>
      </c>
      <c r="W38" s="613" t="s">
        <v>1240</v>
      </c>
      <c r="X38" s="571">
        <v>0</v>
      </c>
      <c r="Y38" s="561">
        <v>1</v>
      </c>
      <c r="Z38" s="563">
        <v>1.2644524816734823</v>
      </c>
      <c r="AA38" s="613" t="s">
        <v>1240</v>
      </c>
      <c r="AB38" s="571">
        <v>0</v>
      </c>
      <c r="AC38" s="561">
        <v>1</v>
      </c>
      <c r="AD38" s="563">
        <v>1.2644524816734823</v>
      </c>
      <c r="AE38" s="613" t="s">
        <v>1240</v>
      </c>
      <c r="AF38" s="571">
        <v>0</v>
      </c>
      <c r="AG38" s="561">
        <v>1</v>
      </c>
      <c r="AH38" s="563">
        <v>1.2644524816734823</v>
      </c>
      <c r="AI38" s="613" t="s">
        <v>1240</v>
      </c>
      <c r="AJ38" s="571">
        <v>0</v>
      </c>
      <c r="AK38" s="561">
        <v>1</v>
      </c>
      <c r="AL38" s="563">
        <v>1.2644524816734823</v>
      </c>
      <c r="AM38" s="613" t="s">
        <v>1240</v>
      </c>
      <c r="AN38" s="571">
        <v>0</v>
      </c>
      <c r="AO38" s="561">
        <v>1</v>
      </c>
      <c r="AP38" s="563">
        <v>1.2644524816734823</v>
      </c>
      <c r="AQ38" s="562" t="s">
        <v>1240</v>
      </c>
      <c r="AR38" s="613"/>
      <c r="AS38" s="571">
        <v>5.21</v>
      </c>
      <c r="AT38" s="561">
        <v>1</v>
      </c>
      <c r="AU38" s="563">
        <v>1.2644524816734823</v>
      </c>
      <c r="AV38" s="562" t="s">
        <v>1240</v>
      </c>
    </row>
    <row r="39" spans="1:48" ht="36">
      <c r="A39" s="3">
        <v>1280</v>
      </c>
      <c r="B39" s="580" t="s">
        <v>525</v>
      </c>
      <c r="C39" s="554"/>
      <c r="D39" s="564" t="s">
        <v>526</v>
      </c>
      <c r="E39" s="565" t="s">
        <v>402</v>
      </c>
      <c r="F39" s="566" t="s">
        <v>1173</v>
      </c>
      <c r="G39" s="567" t="s">
        <v>521</v>
      </c>
      <c r="H39" s="568" t="s">
        <v>402</v>
      </c>
      <c r="I39" s="569" t="s">
        <v>402</v>
      </c>
      <c r="J39" s="570">
        <v>0</v>
      </c>
      <c r="K39" s="567" t="s">
        <v>395</v>
      </c>
      <c r="L39" s="571">
        <v>1.499835634451019E-2</v>
      </c>
      <c r="M39" s="561">
        <v>1</v>
      </c>
      <c r="N39" s="563">
        <v>1.0744244531716256</v>
      </c>
      <c r="O39" s="613" t="s">
        <v>1239</v>
      </c>
      <c r="P39" s="571">
        <v>1.499835634451019E-2</v>
      </c>
      <c r="Q39" s="561">
        <v>1</v>
      </c>
      <c r="R39" s="563">
        <v>1.0744244531716256</v>
      </c>
      <c r="S39" s="613" t="s">
        <v>1239</v>
      </c>
      <c r="T39" s="571">
        <v>1.499835634451019E-2</v>
      </c>
      <c r="U39" s="561">
        <v>1</v>
      </c>
      <c r="V39" s="563">
        <v>1.0744244531716256</v>
      </c>
      <c r="W39" s="613" t="s">
        <v>1239</v>
      </c>
      <c r="X39" s="571">
        <v>1.499835634451019E-2</v>
      </c>
      <c r="Y39" s="561">
        <v>1</v>
      </c>
      <c r="Z39" s="563">
        <v>1.0744244531716256</v>
      </c>
      <c r="AA39" s="613" t="s">
        <v>1239</v>
      </c>
      <c r="AB39" s="571">
        <v>1.499835634451019E-2</v>
      </c>
      <c r="AC39" s="561">
        <v>1</v>
      </c>
      <c r="AD39" s="563">
        <v>1.0744244531716256</v>
      </c>
      <c r="AE39" s="613" t="s">
        <v>1239</v>
      </c>
      <c r="AF39" s="571">
        <v>1.499835634451019E-2</v>
      </c>
      <c r="AG39" s="561">
        <v>1</v>
      </c>
      <c r="AH39" s="563">
        <v>1.0744244531716256</v>
      </c>
      <c r="AI39" s="613" t="s">
        <v>1239</v>
      </c>
      <c r="AJ39" s="571">
        <v>1.499835634451019E-2</v>
      </c>
      <c r="AK39" s="561">
        <v>1</v>
      </c>
      <c r="AL39" s="563">
        <v>1.0744244531716256</v>
      </c>
      <c r="AM39" s="613" t="s">
        <v>1239</v>
      </c>
      <c r="AN39" s="571">
        <v>1.499835634451019E-2</v>
      </c>
      <c r="AO39" s="561">
        <v>1</v>
      </c>
      <c r="AP39" s="563">
        <v>1.0744244531716256</v>
      </c>
      <c r="AQ39" s="562" t="s">
        <v>1239</v>
      </c>
      <c r="AR39" s="613"/>
      <c r="AS39" s="571">
        <v>0</v>
      </c>
      <c r="AT39" s="561">
        <v>1</v>
      </c>
      <c r="AU39" s="563">
        <v>1.0744244531716256</v>
      </c>
      <c r="AV39" s="562" t="s">
        <v>1239</v>
      </c>
    </row>
    <row r="40" spans="1:48" ht="36">
      <c r="A40" s="3">
        <v>1216</v>
      </c>
      <c r="B40" s="580" t="s">
        <v>525</v>
      </c>
      <c r="C40" s="554"/>
      <c r="D40" s="564" t="s">
        <v>526</v>
      </c>
      <c r="E40" s="565" t="s">
        <v>402</v>
      </c>
      <c r="F40" s="566" t="s">
        <v>1168</v>
      </c>
      <c r="G40" s="567" t="s">
        <v>521</v>
      </c>
      <c r="H40" s="568" t="s">
        <v>402</v>
      </c>
      <c r="I40" s="569" t="s">
        <v>402</v>
      </c>
      <c r="J40" s="570">
        <v>0</v>
      </c>
      <c r="K40" s="567" t="s">
        <v>395</v>
      </c>
      <c r="L40" s="571">
        <v>2.6997041420118344E-3</v>
      </c>
      <c r="M40" s="561">
        <v>1</v>
      </c>
      <c r="N40" s="563">
        <v>1.0744244531716256</v>
      </c>
      <c r="O40" s="613" t="s">
        <v>1239</v>
      </c>
      <c r="P40" s="571">
        <v>2.6997041420118344E-3</v>
      </c>
      <c r="Q40" s="561">
        <v>1</v>
      </c>
      <c r="R40" s="563">
        <v>1.0744244531716256</v>
      </c>
      <c r="S40" s="613" t="s">
        <v>1239</v>
      </c>
      <c r="T40" s="571">
        <v>2.6997041420118344E-3</v>
      </c>
      <c r="U40" s="561">
        <v>1</v>
      </c>
      <c r="V40" s="563">
        <v>1.0744244531716256</v>
      </c>
      <c r="W40" s="613" t="s">
        <v>1239</v>
      </c>
      <c r="X40" s="571">
        <v>2.6997041420118344E-3</v>
      </c>
      <c r="Y40" s="561">
        <v>1</v>
      </c>
      <c r="Z40" s="563">
        <v>1.0744244531716256</v>
      </c>
      <c r="AA40" s="613" t="s">
        <v>1239</v>
      </c>
      <c r="AB40" s="571">
        <v>2.6997041420118344E-3</v>
      </c>
      <c r="AC40" s="561">
        <v>1</v>
      </c>
      <c r="AD40" s="563">
        <v>1.0744244531716256</v>
      </c>
      <c r="AE40" s="613" t="s">
        <v>1239</v>
      </c>
      <c r="AF40" s="571">
        <v>2.6997041420118344E-3</v>
      </c>
      <c r="AG40" s="561">
        <v>1</v>
      </c>
      <c r="AH40" s="563">
        <v>1.0744244531716256</v>
      </c>
      <c r="AI40" s="613" t="s">
        <v>1239</v>
      </c>
      <c r="AJ40" s="571">
        <v>2.6997041420118344E-3</v>
      </c>
      <c r="AK40" s="561">
        <v>1</v>
      </c>
      <c r="AL40" s="563">
        <v>1.0744244531716256</v>
      </c>
      <c r="AM40" s="613" t="s">
        <v>1239</v>
      </c>
      <c r="AN40" s="571">
        <v>2.6997041420118344E-3</v>
      </c>
      <c r="AO40" s="561">
        <v>1</v>
      </c>
      <c r="AP40" s="563">
        <v>1.0744244531716256</v>
      </c>
      <c r="AQ40" s="562" t="s">
        <v>1239</v>
      </c>
      <c r="AR40" s="613"/>
      <c r="AS40" s="571">
        <v>0</v>
      </c>
      <c r="AT40" s="561">
        <v>1</v>
      </c>
      <c r="AU40" s="563">
        <v>1.0744244531716256</v>
      </c>
      <c r="AV40" s="562" t="s">
        <v>1239</v>
      </c>
    </row>
    <row r="41" spans="1:48" ht="36">
      <c r="A41" s="226">
        <v>2757</v>
      </c>
      <c r="B41" s="580" t="s">
        <v>525</v>
      </c>
      <c r="C41" s="554"/>
      <c r="D41" s="564" t="s">
        <v>526</v>
      </c>
      <c r="E41" s="565" t="s">
        <v>402</v>
      </c>
      <c r="F41" s="566" t="s">
        <v>1216</v>
      </c>
      <c r="G41" s="567" t="s">
        <v>521</v>
      </c>
      <c r="H41" s="568" t="s">
        <v>402</v>
      </c>
      <c r="I41" s="569" t="s">
        <v>402</v>
      </c>
      <c r="J41" s="570">
        <v>0</v>
      </c>
      <c r="K41" s="567" t="s">
        <v>395</v>
      </c>
      <c r="L41" s="571">
        <v>3.8995726495726496E-2</v>
      </c>
      <c r="M41" s="561">
        <v>1</v>
      </c>
      <c r="N41" s="563">
        <v>1.0744244531716256</v>
      </c>
      <c r="O41" s="613" t="s">
        <v>1239</v>
      </c>
      <c r="P41" s="571">
        <v>3.8995726495726496E-2</v>
      </c>
      <c r="Q41" s="561">
        <v>1</v>
      </c>
      <c r="R41" s="563">
        <v>1.0744244531716256</v>
      </c>
      <c r="S41" s="613" t="s">
        <v>1239</v>
      </c>
      <c r="T41" s="571">
        <v>3.8995726495726496E-2</v>
      </c>
      <c r="U41" s="561">
        <v>1</v>
      </c>
      <c r="V41" s="563">
        <v>1.0744244531716256</v>
      </c>
      <c r="W41" s="613" t="s">
        <v>1239</v>
      </c>
      <c r="X41" s="571">
        <v>3.8995726495726496E-2</v>
      </c>
      <c r="Y41" s="561">
        <v>1</v>
      </c>
      <c r="Z41" s="563">
        <v>1.0744244531716256</v>
      </c>
      <c r="AA41" s="613" t="s">
        <v>1239</v>
      </c>
      <c r="AB41" s="571">
        <v>3.8995726495726496E-2</v>
      </c>
      <c r="AC41" s="561">
        <v>1</v>
      </c>
      <c r="AD41" s="563">
        <v>1.0744244531716256</v>
      </c>
      <c r="AE41" s="613" t="s">
        <v>1239</v>
      </c>
      <c r="AF41" s="571">
        <v>3.8995726495726496E-2</v>
      </c>
      <c r="AG41" s="561">
        <v>1</v>
      </c>
      <c r="AH41" s="563">
        <v>1.0744244531716256</v>
      </c>
      <c r="AI41" s="613" t="s">
        <v>1239</v>
      </c>
      <c r="AJ41" s="571">
        <v>3.8995726495726496E-2</v>
      </c>
      <c r="AK41" s="561">
        <v>1</v>
      </c>
      <c r="AL41" s="563">
        <v>1.0744244531716256</v>
      </c>
      <c r="AM41" s="613" t="s">
        <v>1239</v>
      </c>
      <c r="AN41" s="571">
        <v>3.8995726495726496E-2</v>
      </c>
      <c r="AO41" s="561">
        <v>1</v>
      </c>
      <c r="AP41" s="563">
        <v>1.0744244531716256</v>
      </c>
      <c r="AQ41" s="562" t="s">
        <v>1239</v>
      </c>
      <c r="AR41" s="613"/>
      <c r="AS41" s="571">
        <v>0</v>
      </c>
      <c r="AT41" s="561">
        <v>1</v>
      </c>
      <c r="AU41" s="563">
        <v>1.0744244531716256</v>
      </c>
      <c r="AV41" s="562" t="s">
        <v>1239</v>
      </c>
    </row>
    <row r="42" spans="1:48" ht="36">
      <c r="A42" s="226">
        <v>1239</v>
      </c>
      <c r="B42" s="580" t="s">
        <v>525</v>
      </c>
      <c r="C42" s="554"/>
      <c r="D42" s="564" t="s">
        <v>526</v>
      </c>
      <c r="E42" s="565" t="s">
        <v>402</v>
      </c>
      <c r="F42" s="566" t="s">
        <v>1215</v>
      </c>
      <c r="G42" s="567" t="s">
        <v>521</v>
      </c>
      <c r="H42" s="568" t="s">
        <v>402</v>
      </c>
      <c r="I42" s="569" t="s">
        <v>402</v>
      </c>
      <c r="J42" s="570">
        <v>0</v>
      </c>
      <c r="K42" s="567" t="s">
        <v>395</v>
      </c>
      <c r="L42" s="571">
        <v>0</v>
      </c>
      <c r="M42" s="561">
        <v>1</v>
      </c>
      <c r="N42" s="563">
        <v>1.5804528752110836</v>
      </c>
      <c r="O42" s="613" t="s">
        <v>1243</v>
      </c>
      <c r="P42" s="571">
        <v>0</v>
      </c>
      <c r="Q42" s="561">
        <v>1</v>
      </c>
      <c r="R42" s="563">
        <v>1.5804528752110836</v>
      </c>
      <c r="S42" s="613" t="s">
        <v>1243</v>
      </c>
      <c r="T42" s="571">
        <v>0</v>
      </c>
      <c r="U42" s="561">
        <v>1</v>
      </c>
      <c r="V42" s="563">
        <v>1.5804528752110836</v>
      </c>
      <c r="W42" s="613" t="s">
        <v>1243</v>
      </c>
      <c r="X42" s="571">
        <v>0</v>
      </c>
      <c r="Y42" s="561">
        <v>1</v>
      </c>
      <c r="Z42" s="563">
        <v>1.5804528752110836</v>
      </c>
      <c r="AA42" s="613" t="s">
        <v>1243</v>
      </c>
      <c r="AB42" s="571">
        <v>0</v>
      </c>
      <c r="AC42" s="561">
        <v>1</v>
      </c>
      <c r="AD42" s="563">
        <v>1.5804528752110836</v>
      </c>
      <c r="AE42" s="613" t="s">
        <v>1243</v>
      </c>
      <c r="AF42" s="571">
        <v>0</v>
      </c>
      <c r="AG42" s="561">
        <v>1</v>
      </c>
      <c r="AH42" s="563">
        <v>1.5804528752110836</v>
      </c>
      <c r="AI42" s="613" t="s">
        <v>1243</v>
      </c>
      <c r="AJ42" s="571">
        <v>0</v>
      </c>
      <c r="AK42" s="561">
        <v>1</v>
      </c>
      <c r="AL42" s="563">
        <v>1.5804528752110836</v>
      </c>
      <c r="AM42" s="613" t="s">
        <v>1243</v>
      </c>
      <c r="AN42" s="571">
        <v>0</v>
      </c>
      <c r="AO42" s="561">
        <v>1</v>
      </c>
      <c r="AP42" s="563">
        <v>1.5804528752110836</v>
      </c>
      <c r="AQ42" s="562" t="s">
        <v>1243</v>
      </c>
      <c r="AR42" s="613"/>
      <c r="AS42" s="571">
        <v>0</v>
      </c>
      <c r="AT42" s="561">
        <v>1</v>
      </c>
      <c r="AU42" s="563">
        <v>1.5804528752110836</v>
      </c>
      <c r="AV42" s="562" t="s">
        <v>1243</v>
      </c>
    </row>
    <row r="43" spans="1:48" ht="36">
      <c r="A43" s="226">
        <v>5902</v>
      </c>
      <c r="B43" s="580" t="s">
        <v>525</v>
      </c>
      <c r="C43" s="554"/>
      <c r="D43" s="564" t="s">
        <v>526</v>
      </c>
      <c r="E43" s="565" t="s">
        <v>402</v>
      </c>
      <c r="F43" s="566" t="s">
        <v>1244</v>
      </c>
      <c r="G43" s="567" t="s">
        <v>521</v>
      </c>
      <c r="H43" s="568" t="s">
        <v>402</v>
      </c>
      <c r="I43" s="569" t="s">
        <v>402</v>
      </c>
      <c r="J43" s="570">
        <v>0</v>
      </c>
      <c r="K43" s="567" t="s">
        <v>395</v>
      </c>
      <c r="L43" s="571">
        <v>0.21778435239973701</v>
      </c>
      <c r="M43" s="561">
        <v>1</v>
      </c>
      <c r="N43" s="563">
        <v>1.0744244531716256</v>
      </c>
      <c r="O43" s="613" t="s">
        <v>1239</v>
      </c>
      <c r="P43" s="571">
        <v>0.21778435239973701</v>
      </c>
      <c r="Q43" s="561">
        <v>1</v>
      </c>
      <c r="R43" s="563">
        <v>1.0744244531716256</v>
      </c>
      <c r="S43" s="613" t="s">
        <v>1239</v>
      </c>
      <c r="T43" s="571">
        <v>0.21778435239973701</v>
      </c>
      <c r="U43" s="561">
        <v>1</v>
      </c>
      <c r="V43" s="563">
        <v>1.0744244531716256</v>
      </c>
      <c r="W43" s="613" t="s">
        <v>1239</v>
      </c>
      <c r="X43" s="571">
        <v>0.21778435239973701</v>
      </c>
      <c r="Y43" s="561">
        <v>1</v>
      </c>
      <c r="Z43" s="563">
        <v>1.0744244531716256</v>
      </c>
      <c r="AA43" s="613" t="s">
        <v>1239</v>
      </c>
      <c r="AB43" s="571">
        <v>0.21778435239973701</v>
      </c>
      <c r="AC43" s="561">
        <v>1</v>
      </c>
      <c r="AD43" s="563">
        <v>1.0744244531716256</v>
      </c>
      <c r="AE43" s="613" t="s">
        <v>1239</v>
      </c>
      <c r="AF43" s="571">
        <v>0.21778435239973701</v>
      </c>
      <c r="AG43" s="561">
        <v>1</v>
      </c>
      <c r="AH43" s="563">
        <v>1.0744244531716256</v>
      </c>
      <c r="AI43" s="613" t="s">
        <v>1239</v>
      </c>
      <c r="AJ43" s="571">
        <v>0.21778435239973701</v>
      </c>
      <c r="AK43" s="561">
        <v>1</v>
      </c>
      <c r="AL43" s="563">
        <v>1.0744244531716256</v>
      </c>
      <c r="AM43" s="613" t="s">
        <v>1239</v>
      </c>
      <c r="AN43" s="571">
        <v>0.21778435239973701</v>
      </c>
      <c r="AO43" s="561">
        <v>1</v>
      </c>
      <c r="AP43" s="563">
        <v>1.0744244531716256</v>
      </c>
      <c r="AQ43" s="562" t="s">
        <v>1239</v>
      </c>
      <c r="AR43" s="613"/>
      <c r="AS43" s="571">
        <v>0</v>
      </c>
      <c r="AT43" s="561">
        <v>1</v>
      </c>
      <c r="AU43" s="563">
        <v>1.0744244531716256</v>
      </c>
      <c r="AV43" s="562" t="s">
        <v>1239</v>
      </c>
    </row>
    <row r="44" spans="1:48" ht="36">
      <c r="A44" s="226">
        <v>32121</v>
      </c>
      <c r="B44" s="580" t="s">
        <v>525</v>
      </c>
      <c r="C44" s="554"/>
      <c r="D44" s="564" t="s">
        <v>526</v>
      </c>
      <c r="E44" s="565" t="s">
        <v>402</v>
      </c>
      <c r="F44" s="566" t="s">
        <v>1245</v>
      </c>
      <c r="G44" s="567" t="s">
        <v>521</v>
      </c>
      <c r="H44" s="568" t="s">
        <v>402</v>
      </c>
      <c r="I44" s="569" t="s">
        <v>402</v>
      </c>
      <c r="J44" s="570">
        <v>0</v>
      </c>
      <c r="K44" s="567" t="s">
        <v>395</v>
      </c>
      <c r="L44" s="571">
        <v>1.947731755424063</v>
      </c>
      <c r="M44" s="561">
        <v>1</v>
      </c>
      <c r="N44" s="563">
        <v>1.0744244531716256</v>
      </c>
      <c r="O44" s="613" t="s">
        <v>1239</v>
      </c>
      <c r="P44" s="571">
        <v>1.947731755424063</v>
      </c>
      <c r="Q44" s="561">
        <v>1</v>
      </c>
      <c r="R44" s="563">
        <v>1.0744244531716256</v>
      </c>
      <c r="S44" s="613" t="s">
        <v>1239</v>
      </c>
      <c r="T44" s="571">
        <v>1.947731755424063</v>
      </c>
      <c r="U44" s="561">
        <v>1</v>
      </c>
      <c r="V44" s="563">
        <v>1.0744244531716256</v>
      </c>
      <c r="W44" s="613" t="s">
        <v>1239</v>
      </c>
      <c r="X44" s="571">
        <v>1.947731755424063</v>
      </c>
      <c r="Y44" s="561">
        <v>1</v>
      </c>
      <c r="Z44" s="563">
        <v>1.0744244531716256</v>
      </c>
      <c r="AA44" s="613" t="s">
        <v>1239</v>
      </c>
      <c r="AB44" s="571">
        <v>1.947731755424063</v>
      </c>
      <c r="AC44" s="561">
        <v>1</v>
      </c>
      <c r="AD44" s="563">
        <v>1.0744244531716256</v>
      </c>
      <c r="AE44" s="613" t="s">
        <v>1239</v>
      </c>
      <c r="AF44" s="571">
        <v>1.947731755424063</v>
      </c>
      <c r="AG44" s="561">
        <v>1</v>
      </c>
      <c r="AH44" s="563">
        <v>1.0744244531716256</v>
      </c>
      <c r="AI44" s="613" t="s">
        <v>1239</v>
      </c>
      <c r="AJ44" s="571">
        <v>1.947731755424063</v>
      </c>
      <c r="AK44" s="561">
        <v>1</v>
      </c>
      <c r="AL44" s="563">
        <v>1.0744244531716256</v>
      </c>
      <c r="AM44" s="613" t="s">
        <v>1239</v>
      </c>
      <c r="AN44" s="571">
        <v>1.947731755424063</v>
      </c>
      <c r="AO44" s="561">
        <v>1</v>
      </c>
      <c r="AP44" s="563">
        <v>1.0744244531716256</v>
      </c>
      <c r="AQ44" s="562" t="s">
        <v>1239</v>
      </c>
      <c r="AR44" s="613"/>
      <c r="AS44" s="571">
        <v>0</v>
      </c>
      <c r="AT44" s="561">
        <v>1</v>
      </c>
      <c r="AU44" s="563">
        <v>1.0744244531716256</v>
      </c>
      <c r="AV44" s="562" t="s">
        <v>1239</v>
      </c>
    </row>
    <row r="45" spans="1:48" ht="36">
      <c r="A45" s="226">
        <v>33079</v>
      </c>
      <c r="B45" s="580" t="s">
        <v>525</v>
      </c>
      <c r="C45" s="554" t="s">
        <v>525</v>
      </c>
      <c r="D45" s="564" t="s">
        <v>526</v>
      </c>
      <c r="E45" s="565" t="s">
        <v>402</v>
      </c>
      <c r="F45" s="566" t="s">
        <v>1246</v>
      </c>
      <c r="G45" s="567" t="s">
        <v>521</v>
      </c>
      <c r="H45" s="568" t="s">
        <v>402</v>
      </c>
      <c r="I45" s="569" t="s">
        <v>402</v>
      </c>
      <c r="J45" s="570">
        <v>0</v>
      </c>
      <c r="K45" s="567" t="s">
        <v>395</v>
      </c>
      <c r="L45" s="571">
        <v>0.29996712689020383</v>
      </c>
      <c r="M45" s="561">
        <v>1</v>
      </c>
      <c r="N45" s="563">
        <v>1.0744244531716256</v>
      </c>
      <c r="O45" s="613" t="s">
        <v>1239</v>
      </c>
      <c r="P45" s="571">
        <v>0.29996712689020383</v>
      </c>
      <c r="Q45" s="561">
        <v>1</v>
      </c>
      <c r="R45" s="563">
        <v>1.0744244531716256</v>
      </c>
      <c r="S45" s="613" t="s">
        <v>1239</v>
      </c>
      <c r="T45" s="571">
        <v>0.29996712689020383</v>
      </c>
      <c r="U45" s="561">
        <v>1</v>
      </c>
      <c r="V45" s="563">
        <v>1.0744244531716256</v>
      </c>
      <c r="W45" s="613" t="s">
        <v>1239</v>
      </c>
      <c r="X45" s="571">
        <v>0.29996712689020383</v>
      </c>
      <c r="Y45" s="561">
        <v>1</v>
      </c>
      <c r="Z45" s="563">
        <v>1.0744244531716256</v>
      </c>
      <c r="AA45" s="613" t="s">
        <v>1239</v>
      </c>
      <c r="AB45" s="571">
        <v>0.29996712689020383</v>
      </c>
      <c r="AC45" s="561">
        <v>1</v>
      </c>
      <c r="AD45" s="563">
        <v>1.0744244531716256</v>
      </c>
      <c r="AE45" s="613" t="s">
        <v>1239</v>
      </c>
      <c r="AF45" s="571">
        <v>0.29996712689020383</v>
      </c>
      <c r="AG45" s="561">
        <v>1</v>
      </c>
      <c r="AH45" s="563">
        <v>1.0744244531716256</v>
      </c>
      <c r="AI45" s="613" t="s">
        <v>1239</v>
      </c>
      <c r="AJ45" s="571">
        <v>0.29996712689020383</v>
      </c>
      <c r="AK45" s="561">
        <v>1</v>
      </c>
      <c r="AL45" s="563">
        <v>1.0744244531716256</v>
      </c>
      <c r="AM45" s="613" t="s">
        <v>1239</v>
      </c>
      <c r="AN45" s="571">
        <v>0.29996712689020383</v>
      </c>
      <c r="AO45" s="561">
        <v>1</v>
      </c>
      <c r="AP45" s="563">
        <v>1.0744244531716256</v>
      </c>
      <c r="AQ45" s="562" t="s">
        <v>1239</v>
      </c>
      <c r="AR45" s="613"/>
      <c r="AS45" s="571">
        <v>0</v>
      </c>
      <c r="AT45" s="561">
        <v>1</v>
      </c>
      <c r="AU45" s="563">
        <v>1.0744244531716256</v>
      </c>
      <c r="AV45" s="562" t="s">
        <v>1239</v>
      </c>
    </row>
    <row r="46" spans="1:48" ht="36">
      <c r="A46" s="2">
        <v>1224</v>
      </c>
      <c r="B46" s="580" t="s">
        <v>525</v>
      </c>
      <c r="C46" s="554" t="s">
        <v>525</v>
      </c>
      <c r="D46" s="564" t="s">
        <v>526</v>
      </c>
      <c r="E46" s="565" t="s">
        <v>402</v>
      </c>
      <c r="F46" s="566" t="s">
        <v>1247</v>
      </c>
      <c r="G46" s="567" t="s">
        <v>521</v>
      </c>
      <c r="H46" s="568" t="s">
        <v>402</v>
      </c>
      <c r="I46" s="569" t="s">
        <v>402</v>
      </c>
      <c r="J46" s="570">
        <v>0</v>
      </c>
      <c r="K46" s="567" t="s">
        <v>395</v>
      </c>
      <c r="L46" s="571">
        <v>0.23997370151216305</v>
      </c>
      <c r="M46" s="561">
        <v>1</v>
      </c>
      <c r="N46" s="563">
        <v>1.0744244531716256</v>
      </c>
      <c r="O46" s="613" t="s">
        <v>1239</v>
      </c>
      <c r="P46" s="571">
        <v>0.23997370151216305</v>
      </c>
      <c r="Q46" s="561">
        <v>1</v>
      </c>
      <c r="R46" s="563">
        <v>1.0744244531716256</v>
      </c>
      <c r="S46" s="613" t="s">
        <v>1239</v>
      </c>
      <c r="T46" s="571">
        <v>0.23997370151216305</v>
      </c>
      <c r="U46" s="561">
        <v>1</v>
      </c>
      <c r="V46" s="563">
        <v>1.0744244531716256</v>
      </c>
      <c r="W46" s="613" t="s">
        <v>1239</v>
      </c>
      <c r="X46" s="571">
        <v>0.23997370151216305</v>
      </c>
      <c r="Y46" s="561">
        <v>1</v>
      </c>
      <c r="Z46" s="563">
        <v>1.0744244531716256</v>
      </c>
      <c r="AA46" s="613" t="s">
        <v>1239</v>
      </c>
      <c r="AB46" s="571">
        <v>0.23997370151216305</v>
      </c>
      <c r="AC46" s="561">
        <v>1</v>
      </c>
      <c r="AD46" s="563">
        <v>1.0744244531716256</v>
      </c>
      <c r="AE46" s="613" t="s">
        <v>1239</v>
      </c>
      <c r="AF46" s="571">
        <v>0.23997370151216305</v>
      </c>
      <c r="AG46" s="561">
        <v>1</v>
      </c>
      <c r="AH46" s="563">
        <v>1.0744244531716256</v>
      </c>
      <c r="AI46" s="613" t="s">
        <v>1239</v>
      </c>
      <c r="AJ46" s="571">
        <v>0.23997370151216305</v>
      </c>
      <c r="AK46" s="561">
        <v>1</v>
      </c>
      <c r="AL46" s="563">
        <v>1.0744244531716256</v>
      </c>
      <c r="AM46" s="613" t="s">
        <v>1239</v>
      </c>
      <c r="AN46" s="571">
        <v>0.23997370151216305</v>
      </c>
      <c r="AO46" s="561">
        <v>1</v>
      </c>
      <c r="AP46" s="563">
        <v>1.0744244531716256</v>
      </c>
      <c r="AQ46" s="562" t="s">
        <v>1239</v>
      </c>
      <c r="AR46" s="613"/>
      <c r="AS46" s="571">
        <v>0</v>
      </c>
      <c r="AT46" s="561">
        <v>1</v>
      </c>
      <c r="AU46" s="563">
        <v>1.0744244531716256</v>
      </c>
      <c r="AV46" s="562" t="s">
        <v>1239</v>
      </c>
    </row>
    <row r="47" spans="1:48" ht="36">
      <c r="A47" s="120">
        <v>20</v>
      </c>
      <c r="B47" s="580" t="s">
        <v>525</v>
      </c>
      <c r="C47" s="554" t="s">
        <v>525</v>
      </c>
      <c r="D47" s="564" t="s">
        <v>526</v>
      </c>
      <c r="E47" s="565" t="s">
        <v>402</v>
      </c>
      <c r="F47" s="566" t="s">
        <v>1248</v>
      </c>
      <c r="G47" s="567" t="s">
        <v>521</v>
      </c>
      <c r="H47" s="568" t="s">
        <v>402</v>
      </c>
      <c r="I47" s="569" t="s">
        <v>402</v>
      </c>
      <c r="J47" s="570">
        <v>0</v>
      </c>
      <c r="K47" s="567" t="s">
        <v>395</v>
      </c>
      <c r="L47" s="571">
        <v>2.0011505588428667E-3</v>
      </c>
      <c r="M47" s="561">
        <v>1</v>
      </c>
      <c r="N47" s="563">
        <v>1.0744244531716256</v>
      </c>
      <c r="O47" s="613" t="s">
        <v>1239</v>
      </c>
      <c r="P47" s="571">
        <v>3.8543721236028931E-3</v>
      </c>
      <c r="Q47" s="561">
        <v>1</v>
      </c>
      <c r="R47" s="563">
        <v>1.0744244531716256</v>
      </c>
      <c r="S47" s="613" t="s">
        <v>1239</v>
      </c>
      <c r="T47" s="571">
        <v>2.0011505588428667E-3</v>
      </c>
      <c r="U47" s="561">
        <v>1</v>
      </c>
      <c r="V47" s="563">
        <v>1.0744244531716256</v>
      </c>
      <c r="W47" s="613" t="s">
        <v>1239</v>
      </c>
      <c r="X47" s="571">
        <v>3.8543721236028931E-3</v>
      </c>
      <c r="Y47" s="561">
        <v>1</v>
      </c>
      <c r="Z47" s="563">
        <v>1.0744244531716256</v>
      </c>
      <c r="AA47" s="613" t="s">
        <v>1239</v>
      </c>
      <c r="AB47" s="571">
        <v>3.8543721236028931E-3</v>
      </c>
      <c r="AC47" s="561">
        <v>1</v>
      </c>
      <c r="AD47" s="563">
        <v>1.0744244531716256</v>
      </c>
      <c r="AE47" s="613" t="s">
        <v>1239</v>
      </c>
      <c r="AF47" s="571">
        <v>3.8543721236028931E-3</v>
      </c>
      <c r="AG47" s="561">
        <v>1</v>
      </c>
      <c r="AH47" s="563">
        <v>1.0744244531716256</v>
      </c>
      <c r="AI47" s="613" t="s">
        <v>1239</v>
      </c>
      <c r="AJ47" s="571">
        <v>2.0011505588428667E-3</v>
      </c>
      <c r="AK47" s="561">
        <v>1</v>
      </c>
      <c r="AL47" s="563">
        <v>1.0744244531716256</v>
      </c>
      <c r="AM47" s="613" t="s">
        <v>1239</v>
      </c>
      <c r="AN47" s="571">
        <v>3.8543721236028931E-3</v>
      </c>
      <c r="AO47" s="561">
        <v>1</v>
      </c>
      <c r="AP47" s="563">
        <v>1.0744244531716256</v>
      </c>
      <c r="AQ47" s="562" t="s">
        <v>1239</v>
      </c>
      <c r="AR47" s="613"/>
      <c r="AS47" s="571">
        <v>0</v>
      </c>
      <c r="AT47" s="561">
        <v>1</v>
      </c>
      <c r="AU47" s="563">
        <v>1.0744244531716256</v>
      </c>
      <c r="AV47" s="562" t="s">
        <v>1239</v>
      </c>
    </row>
    <row r="48" spans="1:48" ht="36">
      <c r="A48" s="2">
        <v>1018</v>
      </c>
      <c r="B48" s="580" t="s">
        <v>525</v>
      </c>
      <c r="C48" s="554"/>
      <c r="D48" s="564" t="s">
        <v>526</v>
      </c>
      <c r="E48" s="565" t="s">
        <v>402</v>
      </c>
      <c r="F48" s="566" t="s">
        <v>1249</v>
      </c>
      <c r="G48" s="567" t="s">
        <v>393</v>
      </c>
      <c r="H48" s="568" t="s">
        <v>402</v>
      </c>
      <c r="I48" s="569" t="s">
        <v>402</v>
      </c>
      <c r="J48" s="570">
        <v>0</v>
      </c>
      <c r="K48" s="567" t="s">
        <v>395</v>
      </c>
      <c r="L48" s="571">
        <v>0</v>
      </c>
      <c r="M48" s="561">
        <v>1</v>
      </c>
      <c r="N48" s="563">
        <v>1.0744244531716256</v>
      </c>
      <c r="O48" s="613" t="s">
        <v>1250</v>
      </c>
      <c r="P48" s="571">
        <v>0</v>
      </c>
      <c r="Q48" s="561">
        <v>1</v>
      </c>
      <c r="R48" s="563">
        <v>1.0744244531716256</v>
      </c>
      <c r="S48" s="613" t="s">
        <v>1250</v>
      </c>
      <c r="T48" s="571">
        <v>0</v>
      </c>
      <c r="U48" s="561">
        <v>1</v>
      </c>
      <c r="V48" s="563">
        <v>1.0744244531716256</v>
      </c>
      <c r="W48" s="613" t="s">
        <v>1250</v>
      </c>
      <c r="X48" s="571">
        <v>0</v>
      </c>
      <c r="Y48" s="561">
        <v>1</v>
      </c>
      <c r="Z48" s="563">
        <v>1.0744244531716256</v>
      </c>
      <c r="AA48" s="613" t="s">
        <v>1250</v>
      </c>
      <c r="AB48" s="571">
        <v>0</v>
      </c>
      <c r="AC48" s="561">
        <v>1</v>
      </c>
      <c r="AD48" s="563">
        <v>1.0744244531716256</v>
      </c>
      <c r="AE48" s="613" t="s">
        <v>1250</v>
      </c>
      <c r="AF48" s="571">
        <v>0</v>
      </c>
      <c r="AG48" s="561">
        <v>1</v>
      </c>
      <c r="AH48" s="563">
        <v>1.0744244531716256</v>
      </c>
      <c r="AI48" s="613" t="s">
        <v>1250</v>
      </c>
      <c r="AJ48" s="571">
        <v>0</v>
      </c>
      <c r="AK48" s="561">
        <v>1</v>
      </c>
      <c r="AL48" s="563">
        <v>1.0744244531716256</v>
      </c>
      <c r="AM48" s="613" t="s">
        <v>1250</v>
      </c>
      <c r="AN48" s="571">
        <v>0</v>
      </c>
      <c r="AO48" s="561">
        <v>1</v>
      </c>
      <c r="AP48" s="563">
        <v>1.0744244531716256</v>
      </c>
      <c r="AQ48" s="562" t="s">
        <v>1250</v>
      </c>
      <c r="AR48" s="613"/>
      <c r="AS48" s="571">
        <v>0</v>
      </c>
      <c r="AT48" s="561">
        <v>1</v>
      </c>
      <c r="AU48" s="563">
        <v>1.0744244531716256</v>
      </c>
      <c r="AV48" s="562" t="s">
        <v>1250</v>
      </c>
    </row>
    <row r="49" spans="1:48" ht="36">
      <c r="A49" s="36">
        <v>1246</v>
      </c>
      <c r="B49" s="580" t="s">
        <v>525</v>
      </c>
      <c r="C49" s="554" t="s">
        <v>525</v>
      </c>
      <c r="D49" s="564" t="s">
        <v>526</v>
      </c>
      <c r="E49" s="565" t="s">
        <v>402</v>
      </c>
      <c r="F49" s="566" t="s">
        <v>1251</v>
      </c>
      <c r="G49" s="567" t="s">
        <v>521</v>
      </c>
      <c r="H49" s="568" t="s">
        <v>402</v>
      </c>
      <c r="I49" s="569" t="s">
        <v>402</v>
      </c>
      <c r="J49" s="570">
        <v>0</v>
      </c>
      <c r="K49" s="567" t="s">
        <v>395</v>
      </c>
      <c r="L49" s="571">
        <v>0</v>
      </c>
      <c r="M49" s="561">
        <v>1</v>
      </c>
      <c r="N49" s="563">
        <v>1.2859877072397368</v>
      </c>
      <c r="O49" s="613" t="s">
        <v>1252</v>
      </c>
      <c r="P49" s="571">
        <v>0</v>
      </c>
      <c r="Q49" s="561">
        <v>1</v>
      </c>
      <c r="R49" s="563">
        <v>1.2859877072397368</v>
      </c>
      <c r="S49" s="613" t="s">
        <v>1252</v>
      </c>
      <c r="T49" s="571">
        <v>0</v>
      </c>
      <c r="U49" s="561">
        <v>1</v>
      </c>
      <c r="V49" s="563">
        <v>1.2859877072397368</v>
      </c>
      <c r="W49" s="613" t="s">
        <v>1252</v>
      </c>
      <c r="X49" s="571">
        <v>0</v>
      </c>
      <c r="Y49" s="561">
        <v>1</v>
      </c>
      <c r="Z49" s="563">
        <v>1.2859877072397368</v>
      </c>
      <c r="AA49" s="613" t="s">
        <v>1252</v>
      </c>
      <c r="AB49" s="571">
        <v>0</v>
      </c>
      <c r="AC49" s="561">
        <v>1</v>
      </c>
      <c r="AD49" s="563">
        <v>1.2859877072397368</v>
      </c>
      <c r="AE49" s="613" t="s">
        <v>1252</v>
      </c>
      <c r="AF49" s="571">
        <v>0</v>
      </c>
      <c r="AG49" s="561">
        <v>1</v>
      </c>
      <c r="AH49" s="563">
        <v>1.2859877072397368</v>
      </c>
      <c r="AI49" s="613" t="s">
        <v>1252</v>
      </c>
      <c r="AJ49" s="571">
        <v>0</v>
      </c>
      <c r="AK49" s="561">
        <v>1</v>
      </c>
      <c r="AL49" s="563">
        <v>1.2859877072397368</v>
      </c>
      <c r="AM49" s="613" t="s">
        <v>1252</v>
      </c>
      <c r="AN49" s="571">
        <v>0</v>
      </c>
      <c r="AO49" s="561">
        <v>1</v>
      </c>
      <c r="AP49" s="563">
        <v>1.2859877072397368</v>
      </c>
      <c r="AQ49" s="562" t="s">
        <v>1252</v>
      </c>
      <c r="AR49" s="613"/>
      <c r="AS49" s="571">
        <v>0</v>
      </c>
      <c r="AT49" s="561">
        <v>1</v>
      </c>
      <c r="AU49" s="563">
        <v>1.2859877072397368</v>
      </c>
      <c r="AV49" s="562" t="s">
        <v>1252</v>
      </c>
    </row>
    <row r="50" spans="1:48" ht="36">
      <c r="A50" s="36">
        <v>1266</v>
      </c>
      <c r="B50" s="580" t="s">
        <v>525</v>
      </c>
      <c r="C50" s="554" t="s">
        <v>525</v>
      </c>
      <c r="D50" s="564" t="s">
        <v>526</v>
      </c>
      <c r="E50" s="565" t="s">
        <v>402</v>
      </c>
      <c r="F50" s="566" t="s">
        <v>56</v>
      </c>
      <c r="G50" s="567" t="s">
        <v>521</v>
      </c>
      <c r="H50" s="568" t="s">
        <v>402</v>
      </c>
      <c r="I50" s="569" t="s">
        <v>402</v>
      </c>
      <c r="J50" s="570">
        <v>0</v>
      </c>
      <c r="K50" s="567" t="s">
        <v>395</v>
      </c>
      <c r="L50" s="571">
        <v>0</v>
      </c>
      <c r="M50" s="561">
        <v>1</v>
      </c>
      <c r="N50" s="563">
        <v>1.3440316373092398</v>
      </c>
      <c r="O50" s="613" t="s">
        <v>1253</v>
      </c>
      <c r="P50" s="571">
        <v>0</v>
      </c>
      <c r="Q50" s="561">
        <v>1</v>
      </c>
      <c r="R50" s="563">
        <v>1.3440316373092398</v>
      </c>
      <c r="S50" s="613" t="s">
        <v>1253</v>
      </c>
      <c r="T50" s="571">
        <v>0</v>
      </c>
      <c r="U50" s="561">
        <v>1</v>
      </c>
      <c r="V50" s="563">
        <v>1.3440316373092398</v>
      </c>
      <c r="W50" s="613" t="s">
        <v>1253</v>
      </c>
      <c r="X50" s="571">
        <v>0</v>
      </c>
      <c r="Y50" s="561">
        <v>1</v>
      </c>
      <c r="Z50" s="563">
        <v>1.3440316373092398</v>
      </c>
      <c r="AA50" s="613" t="s">
        <v>1253</v>
      </c>
      <c r="AB50" s="571">
        <v>0</v>
      </c>
      <c r="AC50" s="561">
        <v>1</v>
      </c>
      <c r="AD50" s="563">
        <v>1.3440316373092398</v>
      </c>
      <c r="AE50" s="613" t="s">
        <v>1253</v>
      </c>
      <c r="AF50" s="571">
        <v>0</v>
      </c>
      <c r="AG50" s="561">
        <v>1</v>
      </c>
      <c r="AH50" s="563">
        <v>1.3440316373092398</v>
      </c>
      <c r="AI50" s="613" t="s">
        <v>1253</v>
      </c>
      <c r="AJ50" s="571">
        <v>0</v>
      </c>
      <c r="AK50" s="561">
        <v>1</v>
      </c>
      <c r="AL50" s="563">
        <v>1.3440316373092398</v>
      </c>
      <c r="AM50" s="613" t="s">
        <v>1253</v>
      </c>
      <c r="AN50" s="571">
        <v>0</v>
      </c>
      <c r="AO50" s="561">
        <v>1</v>
      </c>
      <c r="AP50" s="563">
        <v>1.3440316373092398</v>
      </c>
      <c r="AQ50" s="562" t="s">
        <v>1253</v>
      </c>
      <c r="AR50" s="613"/>
      <c r="AS50" s="571">
        <v>0</v>
      </c>
      <c r="AT50" s="561">
        <v>1</v>
      </c>
      <c r="AU50" s="563">
        <v>1.3440316373092398</v>
      </c>
      <c r="AV50" s="562" t="s">
        <v>1253</v>
      </c>
    </row>
    <row r="51" spans="1:48" ht="36">
      <c r="A51" s="226">
        <v>3200</v>
      </c>
      <c r="B51" s="580" t="s">
        <v>525</v>
      </c>
      <c r="C51" s="554" t="s">
        <v>525</v>
      </c>
      <c r="D51" s="564" t="s">
        <v>526</v>
      </c>
      <c r="E51" s="565" t="s">
        <v>402</v>
      </c>
      <c r="F51" s="566" t="s">
        <v>1103</v>
      </c>
      <c r="G51" s="567" t="s">
        <v>521</v>
      </c>
      <c r="H51" s="568" t="s">
        <v>402</v>
      </c>
      <c r="I51" s="569" t="s">
        <v>402</v>
      </c>
      <c r="J51" s="570">
        <v>0</v>
      </c>
      <c r="K51" s="567" t="s">
        <v>395</v>
      </c>
      <c r="L51" s="571">
        <v>0</v>
      </c>
      <c r="M51" s="561">
        <v>1</v>
      </c>
      <c r="N51" s="563">
        <v>1.3440316373092398</v>
      </c>
      <c r="O51" s="613" t="s">
        <v>1253</v>
      </c>
      <c r="P51" s="571">
        <v>0</v>
      </c>
      <c r="Q51" s="561">
        <v>1</v>
      </c>
      <c r="R51" s="563">
        <v>1.3440316373092398</v>
      </c>
      <c r="S51" s="613" t="s">
        <v>1253</v>
      </c>
      <c r="T51" s="571">
        <v>0</v>
      </c>
      <c r="U51" s="561">
        <v>1</v>
      </c>
      <c r="V51" s="563">
        <v>1.3440316373092398</v>
      </c>
      <c r="W51" s="613" t="s">
        <v>1253</v>
      </c>
      <c r="X51" s="571">
        <v>0</v>
      </c>
      <c r="Y51" s="561">
        <v>1</v>
      </c>
      <c r="Z51" s="563">
        <v>1.3440316373092398</v>
      </c>
      <c r="AA51" s="613" t="s">
        <v>1253</v>
      </c>
      <c r="AB51" s="571">
        <v>0</v>
      </c>
      <c r="AC51" s="561">
        <v>1</v>
      </c>
      <c r="AD51" s="563">
        <v>1.3440316373092398</v>
      </c>
      <c r="AE51" s="613" t="s">
        <v>1253</v>
      </c>
      <c r="AF51" s="571">
        <v>0</v>
      </c>
      <c r="AG51" s="561">
        <v>1</v>
      </c>
      <c r="AH51" s="563">
        <v>1.3440316373092398</v>
      </c>
      <c r="AI51" s="613" t="s">
        <v>1253</v>
      </c>
      <c r="AJ51" s="571">
        <v>0</v>
      </c>
      <c r="AK51" s="561">
        <v>1</v>
      </c>
      <c r="AL51" s="563">
        <v>1.3440316373092398</v>
      </c>
      <c r="AM51" s="613" t="s">
        <v>1253</v>
      </c>
      <c r="AN51" s="571">
        <v>0</v>
      </c>
      <c r="AO51" s="561">
        <v>1</v>
      </c>
      <c r="AP51" s="563">
        <v>1.3440316373092398</v>
      </c>
      <c r="AQ51" s="562" t="s">
        <v>1253</v>
      </c>
      <c r="AR51" s="613"/>
      <c r="AS51" s="571">
        <v>0</v>
      </c>
      <c r="AT51" s="561">
        <v>1</v>
      </c>
      <c r="AU51" s="563">
        <v>1.3440316373092398</v>
      </c>
      <c r="AV51" s="562" t="s">
        <v>1253</v>
      </c>
    </row>
    <row r="52" spans="1:48" ht="36">
      <c r="A52" s="120">
        <v>956</v>
      </c>
      <c r="B52" s="580" t="s">
        <v>525</v>
      </c>
      <c r="C52" s="554" t="s">
        <v>525</v>
      </c>
      <c r="D52" s="564" t="s">
        <v>526</v>
      </c>
      <c r="E52" s="565" t="s">
        <v>402</v>
      </c>
      <c r="F52" s="566" t="s">
        <v>1254</v>
      </c>
      <c r="G52" s="567" t="s">
        <v>393</v>
      </c>
      <c r="H52" s="568" t="s">
        <v>402</v>
      </c>
      <c r="I52" s="569" t="s">
        <v>402</v>
      </c>
      <c r="J52" s="570">
        <v>0</v>
      </c>
      <c r="K52" s="567" t="s">
        <v>395</v>
      </c>
      <c r="L52" s="571">
        <v>7.4375410913872456E-3</v>
      </c>
      <c r="M52" s="561">
        <v>1</v>
      </c>
      <c r="N52" s="563">
        <v>1.0744244531716256</v>
      </c>
      <c r="O52" s="613" t="s">
        <v>1239</v>
      </c>
      <c r="P52" s="571">
        <v>7.4375410913872456E-3</v>
      </c>
      <c r="Q52" s="561">
        <v>1</v>
      </c>
      <c r="R52" s="563">
        <v>1.0744244531716256</v>
      </c>
      <c r="S52" s="613" t="s">
        <v>1239</v>
      </c>
      <c r="T52" s="571">
        <v>7.4375410913872456E-3</v>
      </c>
      <c r="U52" s="561">
        <v>1</v>
      </c>
      <c r="V52" s="563">
        <v>1.0744244531716256</v>
      </c>
      <c r="W52" s="613" t="s">
        <v>1239</v>
      </c>
      <c r="X52" s="571">
        <v>7.4375410913872456E-3</v>
      </c>
      <c r="Y52" s="561">
        <v>1</v>
      </c>
      <c r="Z52" s="563">
        <v>1.0744244531716256</v>
      </c>
      <c r="AA52" s="613" t="s">
        <v>1239</v>
      </c>
      <c r="AB52" s="571">
        <v>7.4375410913872456E-3</v>
      </c>
      <c r="AC52" s="561">
        <v>1</v>
      </c>
      <c r="AD52" s="563">
        <v>1.0744244531716256</v>
      </c>
      <c r="AE52" s="613" t="s">
        <v>1239</v>
      </c>
      <c r="AF52" s="571">
        <v>7.4375410913872456E-3</v>
      </c>
      <c r="AG52" s="561">
        <v>1</v>
      </c>
      <c r="AH52" s="563">
        <v>1.0744244531716256</v>
      </c>
      <c r="AI52" s="613" t="s">
        <v>1239</v>
      </c>
      <c r="AJ52" s="571">
        <v>7.4375410913872456E-3</v>
      </c>
      <c r="AK52" s="561">
        <v>1</v>
      </c>
      <c r="AL52" s="563">
        <v>1.0744244531716256</v>
      </c>
      <c r="AM52" s="613" t="s">
        <v>1239</v>
      </c>
      <c r="AN52" s="571">
        <v>7.4375410913872456E-3</v>
      </c>
      <c r="AO52" s="561">
        <v>1</v>
      </c>
      <c r="AP52" s="563">
        <v>1.0744244531716256</v>
      </c>
      <c r="AQ52" s="562" t="s">
        <v>1239</v>
      </c>
      <c r="AR52" s="613"/>
      <c r="AS52" s="571">
        <v>0</v>
      </c>
      <c r="AT52" s="561">
        <v>1</v>
      </c>
      <c r="AU52" s="563">
        <v>1.0744244531716256</v>
      </c>
      <c r="AV52" s="562" t="s">
        <v>1239</v>
      </c>
    </row>
    <row r="53" spans="1:48" ht="36">
      <c r="A53" s="226">
        <v>1132</v>
      </c>
      <c r="B53" s="580" t="s">
        <v>525</v>
      </c>
      <c r="C53" s="554" t="s">
        <v>525</v>
      </c>
      <c r="D53" s="564" t="s">
        <v>526</v>
      </c>
      <c r="E53" s="565" t="s">
        <v>402</v>
      </c>
      <c r="F53" s="566" t="s">
        <v>620</v>
      </c>
      <c r="G53" s="567" t="s">
        <v>521</v>
      </c>
      <c r="H53" s="568" t="s">
        <v>402</v>
      </c>
      <c r="I53" s="569" t="s">
        <v>402</v>
      </c>
      <c r="J53" s="570">
        <v>0</v>
      </c>
      <c r="K53" s="567" t="s">
        <v>395</v>
      </c>
      <c r="L53" s="571">
        <v>0.79717291255752798</v>
      </c>
      <c r="M53" s="561">
        <v>1</v>
      </c>
      <c r="N53" s="563">
        <v>1.0744244531716256</v>
      </c>
      <c r="O53" s="613" t="s">
        <v>1239</v>
      </c>
      <c r="P53" s="571">
        <v>0.79717291255752798</v>
      </c>
      <c r="Q53" s="561">
        <v>1</v>
      </c>
      <c r="R53" s="563">
        <v>1.0744244531716256</v>
      </c>
      <c r="S53" s="613" t="s">
        <v>1239</v>
      </c>
      <c r="T53" s="571">
        <v>0.79717291255752798</v>
      </c>
      <c r="U53" s="561">
        <v>1</v>
      </c>
      <c r="V53" s="563">
        <v>1.0744244531716256</v>
      </c>
      <c r="W53" s="613" t="s">
        <v>1239</v>
      </c>
      <c r="X53" s="571">
        <v>0.79717291255752798</v>
      </c>
      <c r="Y53" s="561">
        <v>1</v>
      </c>
      <c r="Z53" s="563">
        <v>1.0744244531716256</v>
      </c>
      <c r="AA53" s="613" t="s">
        <v>1239</v>
      </c>
      <c r="AB53" s="571">
        <v>0.79717291255752798</v>
      </c>
      <c r="AC53" s="561">
        <v>1</v>
      </c>
      <c r="AD53" s="563">
        <v>1.0744244531716256</v>
      </c>
      <c r="AE53" s="613" t="s">
        <v>1239</v>
      </c>
      <c r="AF53" s="571">
        <v>0.79717291255752798</v>
      </c>
      <c r="AG53" s="561">
        <v>1</v>
      </c>
      <c r="AH53" s="563">
        <v>1.0744244531716256</v>
      </c>
      <c r="AI53" s="613" t="s">
        <v>1239</v>
      </c>
      <c r="AJ53" s="571">
        <v>0.79717291255752798</v>
      </c>
      <c r="AK53" s="561">
        <v>1</v>
      </c>
      <c r="AL53" s="563">
        <v>1.0744244531716256</v>
      </c>
      <c r="AM53" s="613" t="s">
        <v>1239</v>
      </c>
      <c r="AN53" s="571">
        <v>0.79717291255752798</v>
      </c>
      <c r="AO53" s="561">
        <v>1</v>
      </c>
      <c r="AP53" s="563">
        <v>1.0744244531716256</v>
      </c>
      <c r="AQ53" s="562" t="s">
        <v>1239</v>
      </c>
      <c r="AR53" s="613"/>
      <c r="AS53" s="571">
        <v>0</v>
      </c>
      <c r="AT53" s="561">
        <v>1</v>
      </c>
      <c r="AU53" s="563">
        <v>1.0744244531716256</v>
      </c>
      <c r="AV53" s="562" t="s">
        <v>1239</v>
      </c>
    </row>
    <row r="54" spans="1:48" ht="36">
      <c r="A54" s="120">
        <v>1154</v>
      </c>
      <c r="B54" s="580" t="s">
        <v>525</v>
      </c>
      <c r="C54" s="554" t="s">
        <v>525</v>
      </c>
      <c r="D54" s="564" t="s">
        <v>526</v>
      </c>
      <c r="E54" s="565" t="s">
        <v>402</v>
      </c>
      <c r="F54" s="566" t="s">
        <v>58</v>
      </c>
      <c r="G54" s="567" t="s">
        <v>521</v>
      </c>
      <c r="H54" s="568" t="s">
        <v>402</v>
      </c>
      <c r="I54" s="569" t="s">
        <v>402</v>
      </c>
      <c r="J54" s="570">
        <v>0</v>
      </c>
      <c r="K54" s="567" t="s">
        <v>395</v>
      </c>
      <c r="L54" s="571">
        <v>0.80461045364891526</v>
      </c>
      <c r="M54" s="561">
        <v>1</v>
      </c>
      <c r="N54" s="563">
        <v>1.0744244531716256</v>
      </c>
      <c r="O54" s="613" t="s">
        <v>1239</v>
      </c>
      <c r="P54" s="571">
        <v>0.80461045364891526</v>
      </c>
      <c r="Q54" s="561">
        <v>1</v>
      </c>
      <c r="R54" s="563">
        <v>1.0744244531716256</v>
      </c>
      <c r="S54" s="613" t="s">
        <v>1239</v>
      </c>
      <c r="T54" s="571">
        <v>0.80461045364891526</v>
      </c>
      <c r="U54" s="561">
        <v>1</v>
      </c>
      <c r="V54" s="563">
        <v>1.0744244531716256</v>
      </c>
      <c r="W54" s="613" t="s">
        <v>1239</v>
      </c>
      <c r="X54" s="571">
        <v>0.80461045364891526</v>
      </c>
      <c r="Y54" s="561">
        <v>1</v>
      </c>
      <c r="Z54" s="563">
        <v>1.0744244531716256</v>
      </c>
      <c r="AA54" s="613" t="s">
        <v>1239</v>
      </c>
      <c r="AB54" s="571">
        <v>0.80461045364891526</v>
      </c>
      <c r="AC54" s="561">
        <v>1</v>
      </c>
      <c r="AD54" s="563">
        <v>1.0744244531716256</v>
      </c>
      <c r="AE54" s="613" t="s">
        <v>1239</v>
      </c>
      <c r="AF54" s="571">
        <v>0.80461045364891526</v>
      </c>
      <c r="AG54" s="561">
        <v>1</v>
      </c>
      <c r="AH54" s="563">
        <v>1.0744244531716256</v>
      </c>
      <c r="AI54" s="613" t="s">
        <v>1239</v>
      </c>
      <c r="AJ54" s="571">
        <v>0.80461045364891526</v>
      </c>
      <c r="AK54" s="561">
        <v>1</v>
      </c>
      <c r="AL54" s="563">
        <v>1.0744244531716256</v>
      </c>
      <c r="AM54" s="613" t="s">
        <v>1239</v>
      </c>
      <c r="AN54" s="571">
        <v>0.80461045364891526</v>
      </c>
      <c r="AO54" s="561">
        <v>1</v>
      </c>
      <c r="AP54" s="563">
        <v>1.0744244531716256</v>
      </c>
      <c r="AQ54" s="562" t="s">
        <v>1239</v>
      </c>
      <c r="AR54" s="613"/>
      <c r="AS54" s="571">
        <v>0</v>
      </c>
      <c r="AT54" s="561">
        <v>1</v>
      </c>
      <c r="AU54" s="563">
        <v>1.0744244531716256</v>
      </c>
      <c r="AV54" s="562" t="s">
        <v>1239</v>
      </c>
    </row>
    <row r="55" spans="1:48" ht="36">
      <c r="A55" s="176">
        <v>1408</v>
      </c>
      <c r="B55" s="580" t="s">
        <v>374</v>
      </c>
      <c r="C55" s="554" t="s">
        <v>525</v>
      </c>
      <c r="D55" s="564" t="s">
        <v>526</v>
      </c>
      <c r="E55" s="565" t="s">
        <v>402</v>
      </c>
      <c r="F55" s="566" t="s">
        <v>1255</v>
      </c>
      <c r="G55" s="567" t="s">
        <v>268</v>
      </c>
      <c r="H55" s="568" t="s">
        <v>402</v>
      </c>
      <c r="I55" s="569" t="s">
        <v>402</v>
      </c>
      <c r="J55" s="570">
        <v>0</v>
      </c>
      <c r="K55" s="567" t="s">
        <v>395</v>
      </c>
      <c r="L55" s="571">
        <v>0.11012491781722551</v>
      </c>
      <c r="M55" s="561">
        <v>1</v>
      </c>
      <c r="N55" s="563">
        <v>1.0744244531716256</v>
      </c>
      <c r="O55" s="613" t="s">
        <v>1239</v>
      </c>
      <c r="P55" s="571">
        <v>0.17011834319526625</v>
      </c>
      <c r="Q55" s="561">
        <v>1</v>
      </c>
      <c r="R55" s="563">
        <v>1.0744244531716256</v>
      </c>
      <c r="S55" s="613" t="s">
        <v>1239</v>
      </c>
      <c r="T55" s="571">
        <v>0.11012491781722551</v>
      </c>
      <c r="U55" s="561">
        <v>1</v>
      </c>
      <c r="V55" s="563">
        <v>1.0744244531716256</v>
      </c>
      <c r="W55" s="613" t="s">
        <v>1239</v>
      </c>
      <c r="X55" s="571">
        <v>0.17011834319526625</v>
      </c>
      <c r="Y55" s="561">
        <v>1</v>
      </c>
      <c r="Z55" s="563">
        <v>1.0744244531716256</v>
      </c>
      <c r="AA55" s="613" t="s">
        <v>1239</v>
      </c>
      <c r="AB55" s="571">
        <v>0.17011834319526625</v>
      </c>
      <c r="AC55" s="561">
        <v>1</v>
      </c>
      <c r="AD55" s="563">
        <v>1.0744244531716256</v>
      </c>
      <c r="AE55" s="613" t="s">
        <v>1239</v>
      </c>
      <c r="AF55" s="571">
        <v>0.17011834319526625</v>
      </c>
      <c r="AG55" s="561">
        <v>1</v>
      </c>
      <c r="AH55" s="563">
        <v>1.0744244531716256</v>
      </c>
      <c r="AI55" s="613" t="s">
        <v>1239</v>
      </c>
      <c r="AJ55" s="571">
        <v>0.11012491781722551</v>
      </c>
      <c r="AK55" s="561">
        <v>1</v>
      </c>
      <c r="AL55" s="563">
        <v>1.0744244531716256</v>
      </c>
      <c r="AM55" s="613" t="s">
        <v>1239</v>
      </c>
      <c r="AN55" s="571">
        <v>0.17011834319526625</v>
      </c>
      <c r="AO55" s="561">
        <v>1</v>
      </c>
      <c r="AP55" s="563">
        <v>1.0744244531716256</v>
      </c>
      <c r="AQ55" s="562" t="s">
        <v>1239</v>
      </c>
      <c r="AR55" s="613"/>
      <c r="AS55" s="571">
        <v>7.0000000000000001E-3</v>
      </c>
      <c r="AT55" s="561">
        <v>1</v>
      </c>
      <c r="AU55" s="563">
        <v>1.0744244531716256</v>
      </c>
      <c r="AV55" s="562" t="s">
        <v>1239</v>
      </c>
    </row>
    <row r="56" spans="1:48" ht="36">
      <c r="A56" s="2">
        <v>1434</v>
      </c>
      <c r="B56" s="580" t="s">
        <v>525</v>
      </c>
      <c r="C56" s="554" t="s">
        <v>525</v>
      </c>
      <c r="D56" s="564" t="s">
        <v>526</v>
      </c>
      <c r="E56" s="565" t="s">
        <v>402</v>
      </c>
      <c r="F56" s="566" t="s">
        <v>1256</v>
      </c>
      <c r="G56" s="567" t="s">
        <v>393</v>
      </c>
      <c r="H56" s="568" t="s">
        <v>402</v>
      </c>
      <c r="I56" s="569" t="s">
        <v>402</v>
      </c>
      <c r="J56" s="570">
        <v>0</v>
      </c>
      <c r="K56" s="567" t="s">
        <v>395</v>
      </c>
      <c r="L56" s="571">
        <v>0</v>
      </c>
      <c r="M56" s="561">
        <v>1</v>
      </c>
      <c r="N56" s="563">
        <v>1.2434566510799234</v>
      </c>
      <c r="O56" s="613" t="s">
        <v>1257</v>
      </c>
      <c r="P56" s="571">
        <v>0</v>
      </c>
      <c r="Q56" s="561">
        <v>1</v>
      </c>
      <c r="R56" s="563">
        <v>1.2434566510799234</v>
      </c>
      <c r="S56" s="613" t="s">
        <v>1257</v>
      </c>
      <c r="T56" s="571">
        <v>0</v>
      </c>
      <c r="U56" s="561">
        <v>1</v>
      </c>
      <c r="V56" s="563">
        <v>1.2434566510799234</v>
      </c>
      <c r="W56" s="613" t="s">
        <v>1257</v>
      </c>
      <c r="X56" s="571">
        <v>0</v>
      </c>
      <c r="Y56" s="561">
        <v>1</v>
      </c>
      <c r="Z56" s="563">
        <v>1.2434566510799234</v>
      </c>
      <c r="AA56" s="613" t="s">
        <v>1257</v>
      </c>
      <c r="AB56" s="571">
        <v>0</v>
      </c>
      <c r="AC56" s="561">
        <v>1</v>
      </c>
      <c r="AD56" s="563">
        <v>1.2434566510799234</v>
      </c>
      <c r="AE56" s="613" t="s">
        <v>1257</v>
      </c>
      <c r="AF56" s="571">
        <v>0</v>
      </c>
      <c r="AG56" s="561">
        <v>1</v>
      </c>
      <c r="AH56" s="563">
        <v>1.2434566510799234</v>
      </c>
      <c r="AI56" s="613" t="s">
        <v>1257</v>
      </c>
      <c r="AJ56" s="571">
        <v>0</v>
      </c>
      <c r="AK56" s="561">
        <v>1</v>
      </c>
      <c r="AL56" s="563">
        <v>1.2434566510799234</v>
      </c>
      <c r="AM56" s="613" t="s">
        <v>1257</v>
      </c>
      <c r="AN56" s="571">
        <v>0</v>
      </c>
      <c r="AO56" s="561">
        <v>1</v>
      </c>
      <c r="AP56" s="563">
        <v>1.2434566510799234</v>
      </c>
      <c r="AQ56" s="562" t="s">
        <v>1257</v>
      </c>
      <c r="AR56" s="613"/>
      <c r="AS56" s="571">
        <v>0</v>
      </c>
      <c r="AT56" s="561">
        <v>1</v>
      </c>
      <c r="AU56" s="563">
        <v>1.2434566510799234</v>
      </c>
      <c r="AV56" s="562" t="s">
        <v>1257</v>
      </c>
    </row>
    <row r="57" spans="1:48" ht="36">
      <c r="A57" s="36">
        <v>1406</v>
      </c>
      <c r="B57" s="580" t="s">
        <v>525</v>
      </c>
      <c r="C57" s="554" t="s">
        <v>525</v>
      </c>
      <c r="D57" s="564" t="s">
        <v>526</v>
      </c>
      <c r="E57" s="565" t="s">
        <v>402</v>
      </c>
      <c r="F57" s="566" t="s">
        <v>1224</v>
      </c>
      <c r="G57" s="567" t="s">
        <v>393</v>
      </c>
      <c r="H57" s="568" t="s">
        <v>402</v>
      </c>
      <c r="I57" s="569" t="s">
        <v>402</v>
      </c>
      <c r="J57" s="570">
        <v>0</v>
      </c>
      <c r="K57" s="567" t="s">
        <v>395</v>
      </c>
      <c r="L57" s="571">
        <v>0</v>
      </c>
      <c r="M57" s="561">
        <v>1</v>
      </c>
      <c r="N57" s="563">
        <v>1.2434566510799234</v>
      </c>
      <c r="O57" s="613" t="s">
        <v>1257</v>
      </c>
      <c r="P57" s="571">
        <v>0</v>
      </c>
      <c r="Q57" s="561">
        <v>1</v>
      </c>
      <c r="R57" s="563">
        <v>1.2434566510799234</v>
      </c>
      <c r="S57" s="613" t="s">
        <v>1257</v>
      </c>
      <c r="T57" s="571">
        <v>0</v>
      </c>
      <c r="U57" s="561">
        <v>1</v>
      </c>
      <c r="V57" s="563">
        <v>1.2434566510799234</v>
      </c>
      <c r="W57" s="613" t="s">
        <v>1257</v>
      </c>
      <c r="X57" s="571">
        <v>0</v>
      </c>
      <c r="Y57" s="561">
        <v>1</v>
      </c>
      <c r="Z57" s="563">
        <v>1.2434566510799234</v>
      </c>
      <c r="AA57" s="613" t="s">
        <v>1257</v>
      </c>
      <c r="AB57" s="571">
        <v>0</v>
      </c>
      <c r="AC57" s="561">
        <v>1</v>
      </c>
      <c r="AD57" s="563">
        <v>1.2434566510799234</v>
      </c>
      <c r="AE57" s="613" t="s">
        <v>1257</v>
      </c>
      <c r="AF57" s="571">
        <v>0</v>
      </c>
      <c r="AG57" s="561">
        <v>1</v>
      </c>
      <c r="AH57" s="563">
        <v>1.2434566510799234</v>
      </c>
      <c r="AI57" s="613" t="s">
        <v>1257</v>
      </c>
      <c r="AJ57" s="571">
        <v>0</v>
      </c>
      <c r="AK57" s="561">
        <v>1</v>
      </c>
      <c r="AL57" s="563">
        <v>1.2434566510799234</v>
      </c>
      <c r="AM57" s="613" t="s">
        <v>1257</v>
      </c>
      <c r="AN57" s="571">
        <v>0</v>
      </c>
      <c r="AO57" s="561">
        <v>1</v>
      </c>
      <c r="AP57" s="563">
        <v>1.2434566510799234</v>
      </c>
      <c r="AQ57" s="562" t="s">
        <v>1257</v>
      </c>
      <c r="AR57" s="613"/>
      <c r="AS57" s="571">
        <v>0</v>
      </c>
      <c r="AT57" s="561">
        <v>1</v>
      </c>
      <c r="AU57" s="563">
        <v>1.2434566510799234</v>
      </c>
      <c r="AV57" s="562" t="s">
        <v>1257</v>
      </c>
    </row>
    <row r="58" spans="1:48" ht="36">
      <c r="A58" s="157">
        <v>2987</v>
      </c>
      <c r="B58" s="580" t="s">
        <v>152</v>
      </c>
      <c r="C58" s="554" t="s">
        <v>525</v>
      </c>
      <c r="D58" s="564" t="s">
        <v>526</v>
      </c>
      <c r="E58" s="565" t="s">
        <v>402</v>
      </c>
      <c r="F58" s="566" t="s">
        <v>59</v>
      </c>
      <c r="G58" s="567" t="s">
        <v>521</v>
      </c>
      <c r="H58" s="568" t="s">
        <v>402</v>
      </c>
      <c r="I58" s="569" t="s">
        <v>402</v>
      </c>
      <c r="J58" s="570">
        <v>0</v>
      </c>
      <c r="K58" s="567" t="s">
        <v>397</v>
      </c>
      <c r="L58" s="571">
        <v>0.92949765779092708</v>
      </c>
      <c r="M58" s="561">
        <v>1</v>
      </c>
      <c r="N58" s="563">
        <v>2.0949941301068096</v>
      </c>
      <c r="O58" s="613" t="s">
        <v>1258</v>
      </c>
      <c r="P58" s="571">
        <v>0.84609077087442475</v>
      </c>
      <c r="Q58" s="561">
        <v>1</v>
      </c>
      <c r="R58" s="563">
        <v>2.0949941301068096</v>
      </c>
      <c r="S58" s="613" t="s">
        <v>1258</v>
      </c>
      <c r="T58" s="571">
        <v>0.92949765779092708</v>
      </c>
      <c r="U58" s="561">
        <v>1</v>
      </c>
      <c r="V58" s="563">
        <v>2.0949941301068096</v>
      </c>
      <c r="W58" s="613" t="s">
        <v>1258</v>
      </c>
      <c r="X58" s="571">
        <v>0.84609077087442475</v>
      </c>
      <c r="Y58" s="561">
        <v>1</v>
      </c>
      <c r="Z58" s="563">
        <v>2.0949941301068096</v>
      </c>
      <c r="AA58" s="613" t="s">
        <v>1258</v>
      </c>
      <c r="AB58" s="571">
        <v>0.92949765779092708</v>
      </c>
      <c r="AC58" s="561">
        <v>1</v>
      </c>
      <c r="AD58" s="563">
        <v>2.0949941301068096</v>
      </c>
      <c r="AE58" s="613" t="s">
        <v>1258</v>
      </c>
      <c r="AF58" s="571">
        <v>0.84609077087442475</v>
      </c>
      <c r="AG58" s="561">
        <v>1</v>
      </c>
      <c r="AH58" s="563">
        <v>2.0949941301068096</v>
      </c>
      <c r="AI58" s="613" t="s">
        <v>1258</v>
      </c>
      <c r="AJ58" s="571">
        <v>0.92949765779092708</v>
      </c>
      <c r="AK58" s="561">
        <v>1</v>
      </c>
      <c r="AL58" s="563">
        <v>2.0949941301068096</v>
      </c>
      <c r="AM58" s="613" t="s">
        <v>1258</v>
      </c>
      <c r="AN58" s="571">
        <v>0.84609077087442475</v>
      </c>
      <c r="AO58" s="561">
        <v>1</v>
      </c>
      <c r="AP58" s="563">
        <v>2.0949941301068096</v>
      </c>
      <c r="AQ58" s="562" t="s">
        <v>1258</v>
      </c>
      <c r="AR58" s="613"/>
      <c r="AS58" s="571">
        <v>0.26466000000000001</v>
      </c>
      <c r="AT58" s="561">
        <v>1</v>
      </c>
      <c r="AU58" s="563">
        <v>2.0949941301068096</v>
      </c>
      <c r="AV58" s="562" t="s">
        <v>1258</v>
      </c>
    </row>
    <row r="59" spans="1:48" ht="36">
      <c r="A59" s="157">
        <v>1841</v>
      </c>
      <c r="B59" s="580" t="s">
        <v>525</v>
      </c>
      <c r="C59" s="554" t="s">
        <v>525</v>
      </c>
      <c r="D59" s="564" t="s">
        <v>526</v>
      </c>
      <c r="E59" s="565" t="s">
        <v>402</v>
      </c>
      <c r="F59" s="566" t="s">
        <v>62</v>
      </c>
      <c r="G59" s="567" t="s">
        <v>521</v>
      </c>
      <c r="H59" s="568" t="s">
        <v>402</v>
      </c>
      <c r="I59" s="569" t="s">
        <v>402</v>
      </c>
      <c r="J59" s="570">
        <v>0</v>
      </c>
      <c r="K59" s="567" t="s">
        <v>397</v>
      </c>
      <c r="L59" s="571">
        <v>3.8447759449767371</v>
      </c>
      <c r="M59" s="561">
        <v>1</v>
      </c>
      <c r="N59" s="563">
        <v>2.0949941301068096</v>
      </c>
      <c r="O59" s="613" t="s">
        <v>1258</v>
      </c>
      <c r="P59" s="571">
        <v>3.8644036570082956</v>
      </c>
      <c r="Q59" s="561">
        <v>1</v>
      </c>
      <c r="R59" s="563">
        <v>2.0949941301068096</v>
      </c>
      <c r="S59" s="613" t="s">
        <v>1258</v>
      </c>
      <c r="T59" s="571">
        <v>3.8447759449767371</v>
      </c>
      <c r="U59" s="561">
        <v>1</v>
      </c>
      <c r="V59" s="563">
        <v>2.0949941301068096</v>
      </c>
      <c r="W59" s="613" t="s">
        <v>1258</v>
      </c>
      <c r="X59" s="571">
        <v>3.8644036570082956</v>
      </c>
      <c r="Y59" s="561">
        <v>1</v>
      </c>
      <c r="Z59" s="563">
        <v>2.0949941301068096</v>
      </c>
      <c r="AA59" s="613" t="s">
        <v>1258</v>
      </c>
      <c r="AB59" s="571">
        <v>3.8447759449767371</v>
      </c>
      <c r="AC59" s="561">
        <v>1</v>
      </c>
      <c r="AD59" s="563">
        <v>2.0949941301068096</v>
      </c>
      <c r="AE59" s="613" t="s">
        <v>1258</v>
      </c>
      <c r="AF59" s="571">
        <v>3.8644036570082956</v>
      </c>
      <c r="AG59" s="561">
        <v>1</v>
      </c>
      <c r="AH59" s="563">
        <v>2.0949941301068096</v>
      </c>
      <c r="AI59" s="613" t="s">
        <v>1258</v>
      </c>
      <c r="AJ59" s="571">
        <v>3.8447759449767371</v>
      </c>
      <c r="AK59" s="561">
        <v>1</v>
      </c>
      <c r="AL59" s="563">
        <v>2.0949941301068096</v>
      </c>
      <c r="AM59" s="613" t="s">
        <v>1258</v>
      </c>
      <c r="AN59" s="571">
        <v>3.8644036570082956</v>
      </c>
      <c r="AO59" s="561">
        <v>1</v>
      </c>
      <c r="AP59" s="563">
        <v>2.0949941301068096</v>
      </c>
      <c r="AQ59" s="562" t="s">
        <v>1258</v>
      </c>
      <c r="AR59" s="613"/>
      <c r="AS59" s="571">
        <v>0.52495999999999998</v>
      </c>
      <c r="AT59" s="561">
        <v>1</v>
      </c>
      <c r="AU59" s="563">
        <v>2.0949941301068096</v>
      </c>
      <c r="AV59" s="562" t="s">
        <v>1258</v>
      </c>
    </row>
    <row r="60" spans="1:48" ht="36">
      <c r="A60" s="122">
        <v>4839</v>
      </c>
      <c r="B60" s="580" t="s">
        <v>154</v>
      </c>
      <c r="C60" s="554" t="s">
        <v>525</v>
      </c>
      <c r="D60" s="564" t="s">
        <v>526</v>
      </c>
      <c r="E60" s="565" t="s">
        <v>402</v>
      </c>
      <c r="F60" s="566" t="s">
        <v>1259</v>
      </c>
      <c r="G60" s="567" t="s">
        <v>268</v>
      </c>
      <c r="H60" s="568" t="s">
        <v>402</v>
      </c>
      <c r="I60" s="569" t="s">
        <v>402</v>
      </c>
      <c r="J60" s="570">
        <v>1</v>
      </c>
      <c r="K60" s="567" t="s">
        <v>522</v>
      </c>
      <c r="L60" s="571">
        <v>3.9999999999999998E-6</v>
      </c>
      <c r="M60" s="561">
        <v>1</v>
      </c>
      <c r="N60" s="563">
        <v>3.0037858420674688</v>
      </c>
      <c r="O60" s="613" t="s">
        <v>1239</v>
      </c>
      <c r="P60" s="571">
        <v>3.9999999999999998E-6</v>
      </c>
      <c r="Q60" s="561">
        <v>1</v>
      </c>
      <c r="R60" s="563">
        <v>3.0037858420674688</v>
      </c>
      <c r="S60" s="613" t="s">
        <v>1239</v>
      </c>
      <c r="T60" s="571">
        <v>3.9999999999999998E-6</v>
      </c>
      <c r="U60" s="561">
        <v>1</v>
      </c>
      <c r="V60" s="563">
        <v>3.0037858420674688</v>
      </c>
      <c r="W60" s="613" t="s">
        <v>1239</v>
      </c>
      <c r="X60" s="571">
        <v>3.9999999999999998E-6</v>
      </c>
      <c r="Y60" s="561">
        <v>1</v>
      </c>
      <c r="Z60" s="563">
        <v>3.0037858420674688</v>
      </c>
      <c r="AA60" s="613" t="s">
        <v>1239</v>
      </c>
      <c r="AB60" s="571">
        <v>3.9999999999999998E-6</v>
      </c>
      <c r="AC60" s="561">
        <v>1</v>
      </c>
      <c r="AD60" s="563">
        <v>3.0037858420674688</v>
      </c>
      <c r="AE60" s="613" t="s">
        <v>1239</v>
      </c>
      <c r="AF60" s="571">
        <v>3.9999999999999998E-6</v>
      </c>
      <c r="AG60" s="561">
        <v>1</v>
      </c>
      <c r="AH60" s="563">
        <v>3.0037858420674688</v>
      </c>
      <c r="AI60" s="613" t="s">
        <v>1239</v>
      </c>
      <c r="AJ60" s="571">
        <v>3.9999999999999998E-6</v>
      </c>
      <c r="AK60" s="561">
        <v>1</v>
      </c>
      <c r="AL60" s="563">
        <v>3.0037858420674688</v>
      </c>
      <c r="AM60" s="613" t="s">
        <v>1239</v>
      </c>
      <c r="AN60" s="571">
        <v>3.9999999999999998E-6</v>
      </c>
      <c r="AO60" s="561">
        <v>1</v>
      </c>
      <c r="AP60" s="563">
        <v>3.0037858420674688</v>
      </c>
      <c r="AQ60" s="562" t="s">
        <v>1239</v>
      </c>
      <c r="AR60" s="613"/>
      <c r="AS60" s="571">
        <v>3.9999999999999998E-6</v>
      </c>
      <c r="AT60" s="561">
        <v>1</v>
      </c>
      <c r="AU60" s="563">
        <v>3.0037858420674688</v>
      </c>
      <c r="AV60" s="562" t="s">
        <v>1239</v>
      </c>
    </row>
    <row r="61" spans="1:48" ht="36">
      <c r="A61" s="214">
        <v>490</v>
      </c>
      <c r="B61" s="580" t="s">
        <v>692</v>
      </c>
      <c r="C61" s="554" t="s">
        <v>525</v>
      </c>
      <c r="D61" s="564" t="s">
        <v>402</v>
      </c>
      <c r="E61" s="565" t="s">
        <v>527</v>
      </c>
      <c r="F61" s="566" t="s">
        <v>324</v>
      </c>
      <c r="G61" s="567" t="s">
        <v>402</v>
      </c>
      <c r="H61" s="568" t="s">
        <v>325</v>
      </c>
      <c r="I61" s="569" t="s">
        <v>685</v>
      </c>
      <c r="J61" s="570" t="s">
        <v>402</v>
      </c>
      <c r="K61" s="567" t="s">
        <v>677</v>
      </c>
      <c r="L61" s="571">
        <v>92.455621301775153</v>
      </c>
      <c r="M61" s="561">
        <v>1</v>
      </c>
      <c r="N61" s="563">
        <v>1.2620910621938648</v>
      </c>
      <c r="O61" s="613" t="s">
        <v>1238</v>
      </c>
      <c r="P61" s="571">
        <v>74.852071005917168</v>
      </c>
      <c r="Q61" s="561">
        <v>1</v>
      </c>
      <c r="R61" s="563">
        <v>1.2620910621938648</v>
      </c>
      <c r="S61" s="613" t="s">
        <v>1238</v>
      </c>
      <c r="T61" s="571">
        <v>92.455621301775153</v>
      </c>
      <c r="U61" s="561">
        <v>1</v>
      </c>
      <c r="V61" s="563">
        <v>1.2620910621938648</v>
      </c>
      <c r="W61" s="613" t="s">
        <v>1238</v>
      </c>
      <c r="X61" s="571">
        <v>74.852071005917168</v>
      </c>
      <c r="Y61" s="561">
        <v>1</v>
      </c>
      <c r="Z61" s="563">
        <v>1.2620910621938648</v>
      </c>
      <c r="AA61" s="613" t="s">
        <v>1238</v>
      </c>
      <c r="AB61" s="571">
        <v>92.455621301775153</v>
      </c>
      <c r="AC61" s="561">
        <v>1</v>
      </c>
      <c r="AD61" s="563">
        <v>1.2620910621938648</v>
      </c>
      <c r="AE61" s="613" t="s">
        <v>1238</v>
      </c>
      <c r="AF61" s="571">
        <v>74.852071005917168</v>
      </c>
      <c r="AG61" s="561">
        <v>1</v>
      </c>
      <c r="AH61" s="563">
        <v>1.2620910621938648</v>
      </c>
      <c r="AI61" s="613" t="s">
        <v>1238</v>
      </c>
      <c r="AJ61" s="571">
        <v>92.455621301775153</v>
      </c>
      <c r="AK61" s="561">
        <v>1</v>
      </c>
      <c r="AL61" s="563">
        <v>1.2620910621938648</v>
      </c>
      <c r="AM61" s="613" t="s">
        <v>1238</v>
      </c>
      <c r="AN61" s="571">
        <v>74.852071005917168</v>
      </c>
      <c r="AO61" s="561">
        <v>1</v>
      </c>
      <c r="AP61" s="563">
        <v>1.2620910621938648</v>
      </c>
      <c r="AQ61" s="562" t="s">
        <v>1238</v>
      </c>
      <c r="AR61" s="613"/>
      <c r="AS61" s="571">
        <v>152.28</v>
      </c>
      <c r="AT61" s="561">
        <v>1</v>
      </c>
      <c r="AU61" s="563">
        <v>1.2620910621938648</v>
      </c>
      <c r="AV61" s="562" t="s">
        <v>1238</v>
      </c>
    </row>
    <row r="62" spans="1:48" ht="36">
      <c r="A62" s="214">
        <v>826</v>
      </c>
      <c r="B62" s="580" t="s">
        <v>525</v>
      </c>
      <c r="C62" s="554" t="s">
        <v>525</v>
      </c>
      <c r="D62" s="564" t="s">
        <v>402</v>
      </c>
      <c r="E62" s="565" t="s">
        <v>527</v>
      </c>
      <c r="F62" s="566" t="s">
        <v>996</v>
      </c>
      <c r="G62" s="567" t="s">
        <v>402</v>
      </c>
      <c r="H62" s="568" t="s">
        <v>325</v>
      </c>
      <c r="I62" s="569" t="s">
        <v>685</v>
      </c>
      <c r="J62" s="570" t="s">
        <v>402</v>
      </c>
      <c r="K62" s="567" t="s">
        <v>395</v>
      </c>
      <c r="L62" s="571">
        <v>0</v>
      </c>
      <c r="M62" s="561">
        <v>1</v>
      </c>
      <c r="N62" s="563">
        <v>1.5804528752110836</v>
      </c>
      <c r="O62" s="613" t="s">
        <v>1257</v>
      </c>
      <c r="P62" s="571">
        <v>0</v>
      </c>
      <c r="Q62" s="561">
        <v>1</v>
      </c>
      <c r="R62" s="563">
        <v>1.5804528752110836</v>
      </c>
      <c r="S62" s="613" t="s">
        <v>1257</v>
      </c>
      <c r="T62" s="571">
        <v>0</v>
      </c>
      <c r="U62" s="561">
        <v>1</v>
      </c>
      <c r="V62" s="563">
        <v>1.5804528752110836</v>
      </c>
      <c r="W62" s="613" t="s">
        <v>1257</v>
      </c>
      <c r="X62" s="571">
        <v>0</v>
      </c>
      <c r="Y62" s="561">
        <v>1</v>
      </c>
      <c r="Z62" s="563">
        <v>1.5804528752110836</v>
      </c>
      <c r="AA62" s="613" t="s">
        <v>1257</v>
      </c>
      <c r="AB62" s="571">
        <v>0</v>
      </c>
      <c r="AC62" s="561">
        <v>1</v>
      </c>
      <c r="AD62" s="563">
        <v>1.5804528752110836</v>
      </c>
      <c r="AE62" s="613" t="s">
        <v>1257</v>
      </c>
      <c r="AF62" s="571">
        <v>0</v>
      </c>
      <c r="AG62" s="561">
        <v>1</v>
      </c>
      <c r="AH62" s="563">
        <v>1.5804528752110836</v>
      </c>
      <c r="AI62" s="613" t="s">
        <v>1257</v>
      </c>
      <c r="AJ62" s="571">
        <v>0</v>
      </c>
      <c r="AK62" s="561">
        <v>1</v>
      </c>
      <c r="AL62" s="563">
        <v>1.5804528752110836</v>
      </c>
      <c r="AM62" s="613" t="s">
        <v>1257</v>
      </c>
      <c r="AN62" s="571">
        <v>0</v>
      </c>
      <c r="AO62" s="561">
        <v>1</v>
      </c>
      <c r="AP62" s="563">
        <v>1.5804528752110836</v>
      </c>
      <c r="AQ62" s="562" t="s">
        <v>1257</v>
      </c>
      <c r="AR62" s="613"/>
      <c r="AS62" s="571">
        <v>0</v>
      </c>
      <c r="AT62" s="561">
        <v>1</v>
      </c>
      <c r="AU62" s="563">
        <v>1.5804528752110836</v>
      </c>
      <c r="AV62" s="562" t="s">
        <v>1257</v>
      </c>
    </row>
    <row r="63" spans="1:48" ht="36">
      <c r="A63" s="36">
        <v>1795</v>
      </c>
      <c r="B63" s="580" t="s">
        <v>399</v>
      </c>
      <c r="C63" s="554" t="s">
        <v>525</v>
      </c>
      <c r="D63" s="564" t="s">
        <v>402</v>
      </c>
      <c r="E63" s="565" t="s">
        <v>527</v>
      </c>
      <c r="F63" s="566" t="s">
        <v>331</v>
      </c>
      <c r="G63" s="567" t="s">
        <v>402</v>
      </c>
      <c r="H63" s="568" t="s">
        <v>211</v>
      </c>
      <c r="I63" s="569" t="s">
        <v>212</v>
      </c>
      <c r="J63" s="570" t="s">
        <v>402</v>
      </c>
      <c r="K63" s="567" t="s">
        <v>395</v>
      </c>
      <c r="L63" s="571">
        <v>0</v>
      </c>
      <c r="M63" s="561">
        <v>1</v>
      </c>
      <c r="N63" s="563">
        <v>1.5804528752110836</v>
      </c>
      <c r="O63" s="613" t="s">
        <v>1257</v>
      </c>
      <c r="P63" s="571">
        <v>0</v>
      </c>
      <c r="Q63" s="561">
        <v>1</v>
      </c>
      <c r="R63" s="563">
        <v>1.5804528752110836</v>
      </c>
      <c r="S63" s="613" t="s">
        <v>1257</v>
      </c>
      <c r="T63" s="571">
        <v>0</v>
      </c>
      <c r="U63" s="561">
        <v>1</v>
      </c>
      <c r="V63" s="563">
        <v>1.5804528752110836</v>
      </c>
      <c r="W63" s="613" t="s">
        <v>1257</v>
      </c>
      <c r="X63" s="571">
        <v>0</v>
      </c>
      <c r="Y63" s="561">
        <v>1</v>
      </c>
      <c r="Z63" s="563">
        <v>1.5804528752110836</v>
      </c>
      <c r="AA63" s="613" t="s">
        <v>1257</v>
      </c>
      <c r="AB63" s="571">
        <v>0</v>
      </c>
      <c r="AC63" s="561">
        <v>1</v>
      </c>
      <c r="AD63" s="563">
        <v>1.5804528752110836</v>
      </c>
      <c r="AE63" s="613" t="s">
        <v>1257</v>
      </c>
      <c r="AF63" s="571">
        <v>0</v>
      </c>
      <c r="AG63" s="561">
        <v>1</v>
      </c>
      <c r="AH63" s="563">
        <v>1.5804528752110836</v>
      </c>
      <c r="AI63" s="613" t="s">
        <v>1257</v>
      </c>
      <c r="AJ63" s="571">
        <v>0</v>
      </c>
      <c r="AK63" s="561">
        <v>1</v>
      </c>
      <c r="AL63" s="563">
        <v>1.5804528752110836</v>
      </c>
      <c r="AM63" s="613" t="s">
        <v>1257</v>
      </c>
      <c r="AN63" s="571">
        <v>0</v>
      </c>
      <c r="AO63" s="561">
        <v>1</v>
      </c>
      <c r="AP63" s="563">
        <v>1.5804528752110836</v>
      </c>
      <c r="AQ63" s="562" t="s">
        <v>1257</v>
      </c>
      <c r="AR63" s="613"/>
      <c r="AS63" s="571">
        <v>5.0128596140895144E-4</v>
      </c>
      <c r="AT63" s="561">
        <v>1</v>
      </c>
      <c r="AU63" s="563">
        <v>1.5804528752110836</v>
      </c>
      <c r="AV63" s="562" t="s">
        <v>1257</v>
      </c>
    </row>
    <row r="64" spans="1:48" ht="36">
      <c r="A64" s="36">
        <v>1894</v>
      </c>
      <c r="B64" s="580" t="s">
        <v>525</v>
      </c>
      <c r="C64" s="554" t="s">
        <v>525</v>
      </c>
      <c r="D64" s="564" t="s">
        <v>402</v>
      </c>
      <c r="E64" s="565" t="s">
        <v>527</v>
      </c>
      <c r="F64" s="566" t="s">
        <v>974</v>
      </c>
      <c r="G64" s="567" t="s">
        <v>402</v>
      </c>
      <c r="H64" s="568" t="s">
        <v>211</v>
      </c>
      <c r="I64" s="569" t="s">
        <v>212</v>
      </c>
      <c r="J64" s="570" t="s">
        <v>402</v>
      </c>
      <c r="K64" s="567" t="s">
        <v>395</v>
      </c>
      <c r="L64" s="571">
        <v>0</v>
      </c>
      <c r="M64" s="561">
        <v>1</v>
      </c>
      <c r="N64" s="563">
        <v>3.0628299498565337</v>
      </c>
      <c r="O64" s="613" t="s">
        <v>1260</v>
      </c>
      <c r="P64" s="571">
        <v>0</v>
      </c>
      <c r="Q64" s="561">
        <v>1</v>
      </c>
      <c r="R64" s="563">
        <v>3.0628299498565337</v>
      </c>
      <c r="S64" s="613" t="s">
        <v>1260</v>
      </c>
      <c r="T64" s="571">
        <v>0</v>
      </c>
      <c r="U64" s="561">
        <v>1</v>
      </c>
      <c r="V64" s="563">
        <v>3.0628299498565337</v>
      </c>
      <c r="W64" s="613" t="s">
        <v>1260</v>
      </c>
      <c r="X64" s="571">
        <v>0</v>
      </c>
      <c r="Y64" s="561">
        <v>1</v>
      </c>
      <c r="Z64" s="563">
        <v>3.0628299498565337</v>
      </c>
      <c r="AA64" s="613" t="s">
        <v>1260</v>
      </c>
      <c r="AB64" s="571">
        <v>0</v>
      </c>
      <c r="AC64" s="561">
        <v>1</v>
      </c>
      <c r="AD64" s="563">
        <v>3.0628299498565337</v>
      </c>
      <c r="AE64" s="613" t="s">
        <v>1260</v>
      </c>
      <c r="AF64" s="571">
        <v>0</v>
      </c>
      <c r="AG64" s="561">
        <v>1</v>
      </c>
      <c r="AH64" s="563">
        <v>3.0628299498565337</v>
      </c>
      <c r="AI64" s="613" t="s">
        <v>1260</v>
      </c>
      <c r="AJ64" s="571">
        <v>0</v>
      </c>
      <c r="AK64" s="561">
        <v>1</v>
      </c>
      <c r="AL64" s="563">
        <v>3.0628299498565337</v>
      </c>
      <c r="AM64" s="613" t="s">
        <v>1260</v>
      </c>
      <c r="AN64" s="571">
        <v>0</v>
      </c>
      <c r="AO64" s="561">
        <v>1</v>
      </c>
      <c r="AP64" s="563">
        <v>3.0628299498565337</v>
      </c>
      <c r="AQ64" s="562" t="s">
        <v>1260</v>
      </c>
      <c r="AR64" s="613"/>
      <c r="AS64" s="571">
        <v>0</v>
      </c>
      <c r="AT64" s="561">
        <v>1</v>
      </c>
      <c r="AU64" s="563">
        <v>3.0628299498565337</v>
      </c>
      <c r="AV64" s="562" t="s">
        <v>1260</v>
      </c>
    </row>
    <row r="65" spans="1:48" ht="36">
      <c r="A65" s="36">
        <v>2029</v>
      </c>
      <c r="B65" s="580" t="s">
        <v>525</v>
      </c>
      <c r="C65" s="554" t="s">
        <v>525</v>
      </c>
      <c r="D65" s="564" t="s">
        <v>402</v>
      </c>
      <c r="E65" s="565" t="s">
        <v>527</v>
      </c>
      <c r="F65" s="566" t="s">
        <v>982</v>
      </c>
      <c r="G65" s="567" t="s">
        <v>402</v>
      </c>
      <c r="H65" s="568" t="s">
        <v>211</v>
      </c>
      <c r="I65" s="569" t="s">
        <v>212</v>
      </c>
      <c r="J65" s="570" t="s">
        <v>402</v>
      </c>
      <c r="K65" s="567" t="s">
        <v>395</v>
      </c>
      <c r="L65" s="571">
        <v>0</v>
      </c>
      <c r="M65" s="561">
        <v>1</v>
      </c>
      <c r="N65" s="563">
        <v>3.0628299498565337</v>
      </c>
      <c r="O65" s="613" t="s">
        <v>1260</v>
      </c>
      <c r="P65" s="571">
        <v>0</v>
      </c>
      <c r="Q65" s="561">
        <v>1</v>
      </c>
      <c r="R65" s="563">
        <v>3.0628299498565337</v>
      </c>
      <c r="S65" s="613" t="s">
        <v>1260</v>
      </c>
      <c r="T65" s="571">
        <v>0</v>
      </c>
      <c r="U65" s="561">
        <v>1</v>
      </c>
      <c r="V65" s="563">
        <v>3.0628299498565337</v>
      </c>
      <c r="W65" s="613" t="s">
        <v>1260</v>
      </c>
      <c r="X65" s="571">
        <v>0</v>
      </c>
      <c r="Y65" s="561">
        <v>1</v>
      </c>
      <c r="Z65" s="563">
        <v>3.0628299498565337</v>
      </c>
      <c r="AA65" s="613" t="s">
        <v>1260</v>
      </c>
      <c r="AB65" s="571">
        <v>0</v>
      </c>
      <c r="AC65" s="561">
        <v>1</v>
      </c>
      <c r="AD65" s="563">
        <v>3.0628299498565337</v>
      </c>
      <c r="AE65" s="613" t="s">
        <v>1260</v>
      </c>
      <c r="AF65" s="571">
        <v>0</v>
      </c>
      <c r="AG65" s="561">
        <v>1</v>
      </c>
      <c r="AH65" s="563">
        <v>3.0628299498565337</v>
      </c>
      <c r="AI65" s="613" t="s">
        <v>1260</v>
      </c>
      <c r="AJ65" s="571">
        <v>0</v>
      </c>
      <c r="AK65" s="561">
        <v>1</v>
      </c>
      <c r="AL65" s="563">
        <v>3.0628299498565337</v>
      </c>
      <c r="AM65" s="613" t="s">
        <v>1260</v>
      </c>
      <c r="AN65" s="571">
        <v>0</v>
      </c>
      <c r="AO65" s="561">
        <v>1</v>
      </c>
      <c r="AP65" s="563">
        <v>3.0628299498565337</v>
      </c>
      <c r="AQ65" s="562" t="s">
        <v>1260</v>
      </c>
      <c r="AR65" s="613"/>
      <c r="AS65" s="571">
        <v>0</v>
      </c>
      <c r="AT65" s="561">
        <v>1</v>
      </c>
      <c r="AU65" s="563">
        <v>3.0628299498565337</v>
      </c>
      <c r="AV65" s="562" t="s">
        <v>1260</v>
      </c>
    </row>
    <row r="66" spans="1:48" ht="36">
      <c r="A66" s="36">
        <v>2083</v>
      </c>
      <c r="B66" s="580" t="s">
        <v>525</v>
      </c>
      <c r="C66" s="554" t="s">
        <v>525</v>
      </c>
      <c r="D66" s="564" t="s">
        <v>402</v>
      </c>
      <c r="E66" s="565" t="s">
        <v>527</v>
      </c>
      <c r="F66" s="566" t="s">
        <v>213</v>
      </c>
      <c r="G66" s="567" t="s">
        <v>402</v>
      </c>
      <c r="H66" s="568" t="s">
        <v>211</v>
      </c>
      <c r="I66" s="569" t="s">
        <v>212</v>
      </c>
      <c r="J66" s="570" t="s">
        <v>402</v>
      </c>
      <c r="K66" s="567" t="s">
        <v>395</v>
      </c>
      <c r="L66" s="571">
        <v>2.9544707429322813E-2</v>
      </c>
      <c r="M66" s="561">
        <v>1</v>
      </c>
      <c r="N66" s="563">
        <v>1.5804528752110836</v>
      </c>
      <c r="O66" s="613" t="s">
        <v>1257</v>
      </c>
      <c r="P66" s="571">
        <v>2.9544707429322813E-2</v>
      </c>
      <c r="Q66" s="561">
        <v>1</v>
      </c>
      <c r="R66" s="563">
        <v>1.5804528752110836</v>
      </c>
      <c r="S66" s="613" t="s">
        <v>1257</v>
      </c>
      <c r="T66" s="571">
        <v>2.9544707429322813E-2</v>
      </c>
      <c r="U66" s="561">
        <v>1</v>
      </c>
      <c r="V66" s="563">
        <v>1.5804528752110836</v>
      </c>
      <c r="W66" s="613" t="s">
        <v>1257</v>
      </c>
      <c r="X66" s="571">
        <v>2.9544707429322813E-2</v>
      </c>
      <c r="Y66" s="561">
        <v>1</v>
      </c>
      <c r="Z66" s="563">
        <v>1.5804528752110836</v>
      </c>
      <c r="AA66" s="613" t="s">
        <v>1257</v>
      </c>
      <c r="AB66" s="571">
        <v>2.9544707429322813E-2</v>
      </c>
      <c r="AC66" s="561">
        <v>1</v>
      </c>
      <c r="AD66" s="563">
        <v>1.5804528752110836</v>
      </c>
      <c r="AE66" s="613" t="s">
        <v>1257</v>
      </c>
      <c r="AF66" s="571">
        <v>2.9544707429322813E-2</v>
      </c>
      <c r="AG66" s="561">
        <v>1</v>
      </c>
      <c r="AH66" s="563">
        <v>1.5804528752110836</v>
      </c>
      <c r="AI66" s="613" t="s">
        <v>1257</v>
      </c>
      <c r="AJ66" s="571">
        <v>2.9544707429322813E-2</v>
      </c>
      <c r="AK66" s="561">
        <v>1</v>
      </c>
      <c r="AL66" s="563">
        <v>1.5804528752110836</v>
      </c>
      <c r="AM66" s="613" t="s">
        <v>1257</v>
      </c>
      <c r="AN66" s="571">
        <v>2.9544707429322813E-2</v>
      </c>
      <c r="AO66" s="561">
        <v>1</v>
      </c>
      <c r="AP66" s="563">
        <v>1.5804528752110836</v>
      </c>
      <c r="AQ66" s="562" t="s">
        <v>1257</v>
      </c>
      <c r="AR66" s="613"/>
      <c r="AS66" s="571">
        <v>2.9555157427202144E-2</v>
      </c>
      <c r="AT66" s="561">
        <v>1</v>
      </c>
      <c r="AU66" s="563">
        <v>1.5804528752110836</v>
      </c>
      <c r="AV66" s="562" t="s">
        <v>1257</v>
      </c>
    </row>
    <row r="67" spans="1:48" ht="36">
      <c r="A67" s="36">
        <v>2092</v>
      </c>
      <c r="B67" s="580" t="s">
        <v>525</v>
      </c>
      <c r="C67" s="554" t="s">
        <v>525</v>
      </c>
      <c r="D67" s="564" t="s">
        <v>402</v>
      </c>
      <c r="E67" s="565" t="s">
        <v>527</v>
      </c>
      <c r="F67" s="566" t="s">
        <v>332</v>
      </c>
      <c r="G67" s="567" t="s">
        <v>402</v>
      </c>
      <c r="H67" s="568" t="s">
        <v>211</v>
      </c>
      <c r="I67" s="569" t="s">
        <v>212</v>
      </c>
      <c r="J67" s="570" t="s">
        <v>402</v>
      </c>
      <c r="K67" s="567" t="s">
        <v>395</v>
      </c>
      <c r="L67" s="571">
        <v>0</v>
      </c>
      <c r="M67" s="561">
        <v>1</v>
      </c>
      <c r="N67" s="563">
        <v>3.0628299498565337</v>
      </c>
      <c r="O67" s="613" t="s">
        <v>1260</v>
      </c>
      <c r="P67" s="571">
        <v>0</v>
      </c>
      <c r="Q67" s="561">
        <v>1</v>
      </c>
      <c r="R67" s="563">
        <v>3.0628299498565337</v>
      </c>
      <c r="S67" s="613" t="s">
        <v>1260</v>
      </c>
      <c r="T67" s="571">
        <v>0</v>
      </c>
      <c r="U67" s="561">
        <v>1</v>
      </c>
      <c r="V67" s="563">
        <v>3.0628299498565337</v>
      </c>
      <c r="W67" s="613" t="s">
        <v>1260</v>
      </c>
      <c r="X67" s="571">
        <v>0</v>
      </c>
      <c r="Y67" s="561">
        <v>1</v>
      </c>
      <c r="Z67" s="563">
        <v>3.0628299498565337</v>
      </c>
      <c r="AA67" s="613" t="s">
        <v>1260</v>
      </c>
      <c r="AB67" s="571">
        <v>0</v>
      </c>
      <c r="AC67" s="561">
        <v>1</v>
      </c>
      <c r="AD67" s="563">
        <v>3.0628299498565337</v>
      </c>
      <c r="AE67" s="613" t="s">
        <v>1260</v>
      </c>
      <c r="AF67" s="571">
        <v>0</v>
      </c>
      <c r="AG67" s="561">
        <v>1</v>
      </c>
      <c r="AH67" s="563">
        <v>3.0628299498565337</v>
      </c>
      <c r="AI67" s="613" t="s">
        <v>1260</v>
      </c>
      <c r="AJ67" s="571">
        <v>0</v>
      </c>
      <c r="AK67" s="561">
        <v>1</v>
      </c>
      <c r="AL67" s="563">
        <v>3.0628299498565337</v>
      </c>
      <c r="AM67" s="613" t="s">
        <v>1260</v>
      </c>
      <c r="AN67" s="571">
        <v>0</v>
      </c>
      <c r="AO67" s="561">
        <v>1</v>
      </c>
      <c r="AP67" s="563">
        <v>3.0628299498565337</v>
      </c>
      <c r="AQ67" s="562" t="s">
        <v>1260</v>
      </c>
      <c r="AR67" s="613"/>
      <c r="AS67" s="571">
        <v>0</v>
      </c>
      <c r="AT67" s="561">
        <v>1</v>
      </c>
      <c r="AU67" s="563">
        <v>3.0628299498565337</v>
      </c>
      <c r="AV67" s="562" t="s">
        <v>1260</v>
      </c>
    </row>
    <row r="68" spans="1:48" ht="36">
      <c r="A68" s="36">
        <v>2407</v>
      </c>
      <c r="B68" s="580" t="s">
        <v>525</v>
      </c>
      <c r="C68" s="554" t="s">
        <v>525</v>
      </c>
      <c r="D68" s="564" t="s">
        <v>402</v>
      </c>
      <c r="E68" s="565" t="s">
        <v>527</v>
      </c>
      <c r="F68" s="566" t="s">
        <v>992</v>
      </c>
      <c r="G68" s="567" t="s">
        <v>402</v>
      </c>
      <c r="H68" s="568" t="s">
        <v>211</v>
      </c>
      <c r="I68" s="569" t="s">
        <v>212</v>
      </c>
      <c r="J68" s="570" t="s">
        <v>402</v>
      </c>
      <c r="K68" s="567" t="s">
        <v>395</v>
      </c>
      <c r="L68" s="571">
        <v>0</v>
      </c>
      <c r="M68" s="561">
        <v>1</v>
      </c>
      <c r="N68" s="563">
        <v>5.0716030916366286</v>
      </c>
      <c r="O68" s="613" t="s">
        <v>1260</v>
      </c>
      <c r="P68" s="571">
        <v>0</v>
      </c>
      <c r="Q68" s="561">
        <v>1</v>
      </c>
      <c r="R68" s="563">
        <v>5.0716030916366286</v>
      </c>
      <c r="S68" s="613" t="s">
        <v>1260</v>
      </c>
      <c r="T68" s="571">
        <v>0</v>
      </c>
      <c r="U68" s="561">
        <v>1</v>
      </c>
      <c r="V68" s="563">
        <v>5.0716030916366286</v>
      </c>
      <c r="W68" s="613" t="s">
        <v>1260</v>
      </c>
      <c r="X68" s="571">
        <v>0</v>
      </c>
      <c r="Y68" s="561">
        <v>1</v>
      </c>
      <c r="Z68" s="563">
        <v>5.0716030916366286</v>
      </c>
      <c r="AA68" s="613" t="s">
        <v>1260</v>
      </c>
      <c r="AB68" s="571">
        <v>0</v>
      </c>
      <c r="AC68" s="561">
        <v>1</v>
      </c>
      <c r="AD68" s="563">
        <v>5.0716030916366286</v>
      </c>
      <c r="AE68" s="613" t="s">
        <v>1260</v>
      </c>
      <c r="AF68" s="571">
        <v>0</v>
      </c>
      <c r="AG68" s="561">
        <v>1</v>
      </c>
      <c r="AH68" s="563">
        <v>5.0716030916366286</v>
      </c>
      <c r="AI68" s="613" t="s">
        <v>1260</v>
      </c>
      <c r="AJ68" s="571">
        <v>0</v>
      </c>
      <c r="AK68" s="561">
        <v>1</v>
      </c>
      <c r="AL68" s="563">
        <v>5.0716030916366286</v>
      </c>
      <c r="AM68" s="613" t="s">
        <v>1260</v>
      </c>
      <c r="AN68" s="571">
        <v>0</v>
      </c>
      <c r="AO68" s="561">
        <v>1</v>
      </c>
      <c r="AP68" s="563">
        <v>5.0716030916366286</v>
      </c>
      <c r="AQ68" s="562" t="s">
        <v>1260</v>
      </c>
      <c r="AR68" s="613"/>
      <c r="AS68" s="571">
        <v>0</v>
      </c>
      <c r="AT68" s="561">
        <v>1</v>
      </c>
      <c r="AU68" s="563">
        <v>5.0716030916366286</v>
      </c>
      <c r="AV68" s="562" t="s">
        <v>1260</v>
      </c>
    </row>
    <row r="69" spans="1:48" ht="36">
      <c r="A69" s="36">
        <v>2461</v>
      </c>
      <c r="B69" s="580" t="s">
        <v>525</v>
      </c>
      <c r="C69" s="554" t="s">
        <v>525</v>
      </c>
      <c r="D69" s="564" t="s">
        <v>402</v>
      </c>
      <c r="E69" s="565" t="s">
        <v>527</v>
      </c>
      <c r="F69" s="566" t="s">
        <v>993</v>
      </c>
      <c r="G69" s="567" t="s">
        <v>402</v>
      </c>
      <c r="H69" s="568" t="s">
        <v>211</v>
      </c>
      <c r="I69" s="569" t="s">
        <v>212</v>
      </c>
      <c r="J69" s="570" t="s">
        <v>402</v>
      </c>
      <c r="K69" s="567" t="s">
        <v>395</v>
      </c>
      <c r="L69" s="571">
        <v>0</v>
      </c>
      <c r="M69" s="561">
        <v>1</v>
      </c>
      <c r="N69" s="563">
        <v>5.0716030916366286</v>
      </c>
      <c r="O69" s="613" t="s">
        <v>1260</v>
      </c>
      <c r="P69" s="571">
        <v>0</v>
      </c>
      <c r="Q69" s="561">
        <v>1</v>
      </c>
      <c r="R69" s="563">
        <v>5.0716030916366286</v>
      </c>
      <c r="S69" s="613" t="s">
        <v>1260</v>
      </c>
      <c r="T69" s="571">
        <v>0</v>
      </c>
      <c r="U69" s="561">
        <v>1</v>
      </c>
      <c r="V69" s="563">
        <v>5.0716030916366286</v>
      </c>
      <c r="W69" s="613" t="s">
        <v>1260</v>
      </c>
      <c r="X69" s="571">
        <v>0</v>
      </c>
      <c r="Y69" s="561">
        <v>1</v>
      </c>
      <c r="Z69" s="563">
        <v>5.0716030916366286</v>
      </c>
      <c r="AA69" s="613" t="s">
        <v>1260</v>
      </c>
      <c r="AB69" s="571">
        <v>0</v>
      </c>
      <c r="AC69" s="561">
        <v>1</v>
      </c>
      <c r="AD69" s="563">
        <v>5.0716030916366286</v>
      </c>
      <c r="AE69" s="613" t="s">
        <v>1260</v>
      </c>
      <c r="AF69" s="571">
        <v>0</v>
      </c>
      <c r="AG69" s="561">
        <v>1</v>
      </c>
      <c r="AH69" s="563">
        <v>5.0716030916366286</v>
      </c>
      <c r="AI69" s="613" t="s">
        <v>1260</v>
      </c>
      <c r="AJ69" s="571">
        <v>0</v>
      </c>
      <c r="AK69" s="561">
        <v>1</v>
      </c>
      <c r="AL69" s="563">
        <v>5.0716030916366286</v>
      </c>
      <c r="AM69" s="613" t="s">
        <v>1260</v>
      </c>
      <c r="AN69" s="571">
        <v>0</v>
      </c>
      <c r="AO69" s="561">
        <v>1</v>
      </c>
      <c r="AP69" s="563">
        <v>5.0716030916366286</v>
      </c>
      <c r="AQ69" s="562" t="s">
        <v>1260</v>
      </c>
      <c r="AR69" s="613"/>
      <c r="AS69" s="571">
        <v>0</v>
      </c>
      <c r="AT69" s="561">
        <v>1</v>
      </c>
      <c r="AU69" s="563">
        <v>5.0716030916366286</v>
      </c>
      <c r="AV69" s="562" t="s">
        <v>1260</v>
      </c>
    </row>
    <row r="70" spans="1:48" ht="36">
      <c r="A70" s="36">
        <v>2542</v>
      </c>
      <c r="B70" s="580" t="s">
        <v>525</v>
      </c>
      <c r="C70" s="554" t="s">
        <v>525</v>
      </c>
      <c r="D70" s="564" t="s">
        <v>402</v>
      </c>
      <c r="E70" s="565" t="s">
        <v>527</v>
      </c>
      <c r="F70" s="566" t="s">
        <v>994</v>
      </c>
      <c r="G70" s="567" t="s">
        <v>402</v>
      </c>
      <c r="H70" s="568" t="s">
        <v>211</v>
      </c>
      <c r="I70" s="569" t="s">
        <v>212</v>
      </c>
      <c r="J70" s="570" t="s">
        <v>402</v>
      </c>
      <c r="K70" s="567" t="s">
        <v>395</v>
      </c>
      <c r="L70" s="571">
        <v>0</v>
      </c>
      <c r="M70" s="561">
        <v>1</v>
      </c>
      <c r="N70" s="563">
        <v>5.0716030916366286</v>
      </c>
      <c r="O70" s="613" t="s">
        <v>1260</v>
      </c>
      <c r="P70" s="571">
        <v>0</v>
      </c>
      <c r="Q70" s="561">
        <v>1</v>
      </c>
      <c r="R70" s="563">
        <v>5.0716030916366286</v>
      </c>
      <c r="S70" s="613" t="s">
        <v>1260</v>
      </c>
      <c r="T70" s="571">
        <v>0</v>
      </c>
      <c r="U70" s="561">
        <v>1</v>
      </c>
      <c r="V70" s="563">
        <v>5.0716030916366286</v>
      </c>
      <c r="W70" s="613" t="s">
        <v>1260</v>
      </c>
      <c r="X70" s="571">
        <v>0</v>
      </c>
      <c r="Y70" s="561">
        <v>1</v>
      </c>
      <c r="Z70" s="563">
        <v>5.0716030916366286</v>
      </c>
      <c r="AA70" s="613" t="s">
        <v>1260</v>
      </c>
      <c r="AB70" s="571">
        <v>0</v>
      </c>
      <c r="AC70" s="561">
        <v>1</v>
      </c>
      <c r="AD70" s="563">
        <v>5.0716030916366286</v>
      </c>
      <c r="AE70" s="613" t="s">
        <v>1260</v>
      </c>
      <c r="AF70" s="571">
        <v>0</v>
      </c>
      <c r="AG70" s="561">
        <v>1</v>
      </c>
      <c r="AH70" s="563">
        <v>5.0716030916366286</v>
      </c>
      <c r="AI70" s="613" t="s">
        <v>1260</v>
      </c>
      <c r="AJ70" s="571">
        <v>0</v>
      </c>
      <c r="AK70" s="561">
        <v>1</v>
      </c>
      <c r="AL70" s="563">
        <v>5.0716030916366286</v>
      </c>
      <c r="AM70" s="613" t="s">
        <v>1260</v>
      </c>
      <c r="AN70" s="571">
        <v>0</v>
      </c>
      <c r="AO70" s="561">
        <v>1</v>
      </c>
      <c r="AP70" s="563">
        <v>5.0716030916366286</v>
      </c>
      <c r="AQ70" s="562" t="s">
        <v>1260</v>
      </c>
      <c r="AR70" s="613"/>
      <c r="AS70" s="571">
        <v>0</v>
      </c>
      <c r="AT70" s="561">
        <v>1</v>
      </c>
      <c r="AU70" s="563">
        <v>5.0716030916366286</v>
      </c>
      <c r="AV70" s="562" t="s">
        <v>1260</v>
      </c>
    </row>
    <row r="71" spans="1:48" ht="36">
      <c r="A71" s="36">
        <v>2578</v>
      </c>
      <c r="B71" s="580" t="s">
        <v>525</v>
      </c>
      <c r="C71" s="554" t="s">
        <v>525</v>
      </c>
      <c r="D71" s="564" t="s">
        <v>402</v>
      </c>
      <c r="E71" s="565" t="s">
        <v>527</v>
      </c>
      <c r="F71" s="566" t="s">
        <v>333</v>
      </c>
      <c r="G71" s="567" t="s">
        <v>402</v>
      </c>
      <c r="H71" s="568" t="s">
        <v>211</v>
      </c>
      <c r="I71" s="569" t="s">
        <v>212</v>
      </c>
      <c r="J71" s="570" t="s">
        <v>402</v>
      </c>
      <c r="K71" s="567" t="s">
        <v>395</v>
      </c>
      <c r="L71" s="571">
        <v>0</v>
      </c>
      <c r="M71" s="561">
        <v>1</v>
      </c>
      <c r="N71" s="563">
        <v>1.5804528752110836</v>
      </c>
      <c r="O71" s="613" t="s">
        <v>1257</v>
      </c>
      <c r="P71" s="571">
        <v>0</v>
      </c>
      <c r="Q71" s="561">
        <v>1</v>
      </c>
      <c r="R71" s="563">
        <v>1.5804528752110836</v>
      </c>
      <c r="S71" s="613" t="s">
        <v>1257</v>
      </c>
      <c r="T71" s="571">
        <v>0</v>
      </c>
      <c r="U71" s="561">
        <v>1</v>
      </c>
      <c r="V71" s="563">
        <v>1.5804528752110836</v>
      </c>
      <c r="W71" s="613" t="s">
        <v>1257</v>
      </c>
      <c r="X71" s="571">
        <v>0</v>
      </c>
      <c r="Y71" s="561">
        <v>1</v>
      </c>
      <c r="Z71" s="563">
        <v>1.5804528752110836</v>
      </c>
      <c r="AA71" s="613" t="s">
        <v>1257</v>
      </c>
      <c r="AB71" s="571">
        <v>0</v>
      </c>
      <c r="AC71" s="561">
        <v>1</v>
      </c>
      <c r="AD71" s="563">
        <v>1.5804528752110836</v>
      </c>
      <c r="AE71" s="613" t="s">
        <v>1257</v>
      </c>
      <c r="AF71" s="571">
        <v>0</v>
      </c>
      <c r="AG71" s="561">
        <v>1</v>
      </c>
      <c r="AH71" s="563">
        <v>1.5804528752110836</v>
      </c>
      <c r="AI71" s="613" t="s">
        <v>1257</v>
      </c>
      <c r="AJ71" s="571">
        <v>0</v>
      </c>
      <c r="AK71" s="561">
        <v>1</v>
      </c>
      <c r="AL71" s="563">
        <v>1.5804528752110836</v>
      </c>
      <c r="AM71" s="613" t="s">
        <v>1257</v>
      </c>
      <c r="AN71" s="571">
        <v>0</v>
      </c>
      <c r="AO71" s="561">
        <v>1</v>
      </c>
      <c r="AP71" s="563">
        <v>1.5804528752110836</v>
      </c>
      <c r="AQ71" s="562" t="s">
        <v>1257</v>
      </c>
      <c r="AR71" s="613"/>
      <c r="AS71" s="571">
        <v>9.94486665375823E-3</v>
      </c>
      <c r="AT71" s="561">
        <v>1</v>
      </c>
      <c r="AU71" s="563">
        <v>1.5804528752110836</v>
      </c>
      <c r="AV71" s="562" t="s">
        <v>1257</v>
      </c>
    </row>
    <row r="72" spans="1:48" ht="36">
      <c r="A72" s="36">
        <v>2632</v>
      </c>
      <c r="B72" s="580" t="s">
        <v>525</v>
      </c>
      <c r="C72" s="554" t="s">
        <v>525</v>
      </c>
      <c r="D72" s="564" t="s">
        <v>402</v>
      </c>
      <c r="E72" s="565" t="s">
        <v>527</v>
      </c>
      <c r="F72" s="566" t="s">
        <v>334</v>
      </c>
      <c r="G72" s="567" t="s">
        <v>402</v>
      </c>
      <c r="H72" s="568" t="s">
        <v>211</v>
      </c>
      <c r="I72" s="569" t="s">
        <v>212</v>
      </c>
      <c r="J72" s="570" t="s">
        <v>402</v>
      </c>
      <c r="K72" s="567" t="s">
        <v>395</v>
      </c>
      <c r="L72" s="571">
        <v>0</v>
      </c>
      <c r="M72" s="561">
        <v>1</v>
      </c>
      <c r="N72" s="563">
        <v>1.5804528752110836</v>
      </c>
      <c r="O72" s="613" t="s">
        <v>1257</v>
      </c>
      <c r="P72" s="571">
        <v>0</v>
      </c>
      <c r="Q72" s="561">
        <v>1</v>
      </c>
      <c r="R72" s="563">
        <v>1.5804528752110836</v>
      </c>
      <c r="S72" s="613" t="s">
        <v>1257</v>
      </c>
      <c r="T72" s="571">
        <v>0</v>
      </c>
      <c r="U72" s="561">
        <v>1</v>
      </c>
      <c r="V72" s="563">
        <v>1.5804528752110836</v>
      </c>
      <c r="W72" s="613" t="s">
        <v>1257</v>
      </c>
      <c r="X72" s="571">
        <v>0</v>
      </c>
      <c r="Y72" s="561">
        <v>1</v>
      </c>
      <c r="Z72" s="563">
        <v>1.5804528752110836</v>
      </c>
      <c r="AA72" s="613" t="s">
        <v>1257</v>
      </c>
      <c r="AB72" s="571">
        <v>0</v>
      </c>
      <c r="AC72" s="561">
        <v>1</v>
      </c>
      <c r="AD72" s="563">
        <v>1.5804528752110836</v>
      </c>
      <c r="AE72" s="613" t="s">
        <v>1257</v>
      </c>
      <c r="AF72" s="571">
        <v>0</v>
      </c>
      <c r="AG72" s="561">
        <v>1</v>
      </c>
      <c r="AH72" s="563">
        <v>1.5804528752110836</v>
      </c>
      <c r="AI72" s="613" t="s">
        <v>1257</v>
      </c>
      <c r="AJ72" s="571">
        <v>0</v>
      </c>
      <c r="AK72" s="561">
        <v>1</v>
      </c>
      <c r="AL72" s="563">
        <v>1.5804528752110836</v>
      </c>
      <c r="AM72" s="613" t="s">
        <v>1257</v>
      </c>
      <c r="AN72" s="571">
        <v>0</v>
      </c>
      <c r="AO72" s="561">
        <v>1</v>
      </c>
      <c r="AP72" s="563">
        <v>1.5804528752110836</v>
      </c>
      <c r="AQ72" s="562" t="s">
        <v>1257</v>
      </c>
      <c r="AR72" s="613"/>
      <c r="AS72" s="571">
        <v>0</v>
      </c>
      <c r="AT72" s="561">
        <v>1</v>
      </c>
      <c r="AU72" s="563">
        <v>1.5804528752110836</v>
      </c>
      <c r="AV72" s="562" t="s">
        <v>1257</v>
      </c>
    </row>
    <row r="73" spans="1:48" ht="36">
      <c r="A73" s="36">
        <v>1876</v>
      </c>
      <c r="B73" s="581" t="s">
        <v>525</v>
      </c>
      <c r="C73" s="572" t="s">
        <v>525</v>
      </c>
      <c r="D73" s="573" t="s">
        <v>402</v>
      </c>
      <c r="E73" s="574" t="s">
        <v>527</v>
      </c>
      <c r="F73" s="575" t="s">
        <v>683</v>
      </c>
      <c r="G73" s="576" t="s">
        <v>402</v>
      </c>
      <c r="H73" s="577" t="s">
        <v>211</v>
      </c>
      <c r="I73" s="577" t="s">
        <v>212</v>
      </c>
      <c r="J73" s="574" t="s">
        <v>402</v>
      </c>
      <c r="K73" s="576" t="s">
        <v>395</v>
      </c>
      <c r="L73" s="571">
        <v>2.9544707429322813E-2</v>
      </c>
      <c r="M73" s="561">
        <v>1</v>
      </c>
      <c r="N73" s="563">
        <v>1.593471966319421</v>
      </c>
      <c r="O73" s="613" t="s">
        <v>1240</v>
      </c>
      <c r="P73" s="571">
        <v>2.9544707429322813E-2</v>
      </c>
      <c r="Q73" s="561">
        <v>1</v>
      </c>
      <c r="R73" s="563">
        <v>1.593471966319421</v>
      </c>
      <c r="S73" s="613" t="s">
        <v>1240</v>
      </c>
      <c r="T73" s="571">
        <v>2.9544707429322813E-2</v>
      </c>
      <c r="U73" s="561">
        <v>1</v>
      </c>
      <c r="V73" s="563">
        <v>1.593471966319421</v>
      </c>
      <c r="W73" s="613" t="s">
        <v>1240</v>
      </c>
      <c r="X73" s="571">
        <v>2.9544707429322813E-2</v>
      </c>
      <c r="Y73" s="561">
        <v>1</v>
      </c>
      <c r="Z73" s="563">
        <v>1.593471966319421</v>
      </c>
      <c r="AA73" s="613" t="s">
        <v>1240</v>
      </c>
      <c r="AB73" s="571">
        <v>2.9544707429322813E-2</v>
      </c>
      <c r="AC73" s="561">
        <v>1</v>
      </c>
      <c r="AD73" s="563">
        <v>1.593471966319421</v>
      </c>
      <c r="AE73" s="613" t="s">
        <v>1240</v>
      </c>
      <c r="AF73" s="571">
        <v>2.9544707429322813E-2</v>
      </c>
      <c r="AG73" s="561">
        <v>1</v>
      </c>
      <c r="AH73" s="563">
        <v>1.593471966319421</v>
      </c>
      <c r="AI73" s="613" t="s">
        <v>1240</v>
      </c>
      <c r="AJ73" s="571">
        <v>2.9544707429322813E-2</v>
      </c>
      <c r="AK73" s="561">
        <v>1</v>
      </c>
      <c r="AL73" s="563">
        <v>1.593471966319421</v>
      </c>
      <c r="AM73" s="613" t="s">
        <v>1240</v>
      </c>
      <c r="AN73" s="571">
        <v>2.9544707429322813E-2</v>
      </c>
      <c r="AO73" s="561">
        <v>1</v>
      </c>
      <c r="AP73" s="563">
        <v>1.593471966319421</v>
      </c>
      <c r="AQ73" s="562" t="s">
        <v>1240</v>
      </c>
      <c r="AR73" s="613"/>
      <c r="AS73" s="571">
        <v>2.9555157427202144E-2</v>
      </c>
      <c r="AT73" s="561">
        <v>1</v>
      </c>
      <c r="AU73" s="563">
        <v>1.593471966319421</v>
      </c>
      <c r="AV73" s="562" t="s">
        <v>1240</v>
      </c>
    </row>
    <row r="74" spans="1:48" ht="36">
      <c r="A74" s="36">
        <v>2083</v>
      </c>
      <c r="B74" s="581" t="s">
        <v>525</v>
      </c>
      <c r="C74" s="572" t="s">
        <v>525</v>
      </c>
      <c r="D74" s="573" t="s">
        <v>402</v>
      </c>
      <c r="E74" s="574" t="s">
        <v>527</v>
      </c>
      <c r="F74" s="575" t="s">
        <v>684</v>
      </c>
      <c r="G74" s="576" t="s">
        <v>402</v>
      </c>
      <c r="H74" s="577" t="s">
        <v>211</v>
      </c>
      <c r="I74" s="577" t="s">
        <v>212</v>
      </c>
      <c r="J74" s="574" t="s">
        <v>402</v>
      </c>
      <c r="K74" s="576" t="s">
        <v>395</v>
      </c>
      <c r="L74" s="571">
        <v>1.1094674556213017E-2</v>
      </c>
      <c r="M74" s="561">
        <v>1</v>
      </c>
      <c r="N74" s="563">
        <v>1.593471966319421</v>
      </c>
      <c r="O74" s="613" t="s">
        <v>1240</v>
      </c>
      <c r="P74" s="571">
        <v>1.1094674556213017E-2</v>
      </c>
      <c r="Q74" s="561">
        <v>1</v>
      </c>
      <c r="R74" s="563">
        <v>1.593471966319421</v>
      </c>
      <c r="S74" s="613" t="s">
        <v>1240</v>
      </c>
      <c r="T74" s="571">
        <v>1.1094674556213017E-2</v>
      </c>
      <c r="U74" s="561">
        <v>1</v>
      </c>
      <c r="V74" s="563">
        <v>1.593471966319421</v>
      </c>
      <c r="W74" s="613" t="s">
        <v>1240</v>
      </c>
      <c r="X74" s="571">
        <v>1.1094674556213017E-2</v>
      </c>
      <c r="Y74" s="561">
        <v>1</v>
      </c>
      <c r="Z74" s="563">
        <v>1.593471966319421</v>
      </c>
      <c r="AA74" s="613" t="s">
        <v>1240</v>
      </c>
      <c r="AB74" s="571">
        <v>1.1094674556213017E-2</v>
      </c>
      <c r="AC74" s="561">
        <v>1</v>
      </c>
      <c r="AD74" s="563">
        <v>1.593471966319421</v>
      </c>
      <c r="AE74" s="613" t="s">
        <v>1240</v>
      </c>
      <c r="AF74" s="571">
        <v>1.1094674556213017E-2</v>
      </c>
      <c r="AG74" s="561">
        <v>1</v>
      </c>
      <c r="AH74" s="563">
        <v>1.593471966319421</v>
      </c>
      <c r="AI74" s="613" t="s">
        <v>1240</v>
      </c>
      <c r="AJ74" s="571">
        <v>1.1094674556213017E-2</v>
      </c>
      <c r="AK74" s="561">
        <v>1</v>
      </c>
      <c r="AL74" s="563">
        <v>1.593471966319421</v>
      </c>
      <c r="AM74" s="613" t="s">
        <v>1240</v>
      </c>
      <c r="AN74" s="571">
        <v>1.1094674556213017E-2</v>
      </c>
      <c r="AO74" s="561">
        <v>1</v>
      </c>
      <c r="AP74" s="563">
        <v>1.593471966319421</v>
      </c>
      <c r="AQ74" s="562" t="s">
        <v>1240</v>
      </c>
      <c r="AR74" s="613"/>
      <c r="AS74" s="571">
        <v>1.1083184035200765E-2</v>
      </c>
      <c r="AT74" s="561">
        <v>1</v>
      </c>
      <c r="AU74" s="563">
        <v>1.593471966319421</v>
      </c>
      <c r="AV74" s="562" t="s">
        <v>1240</v>
      </c>
    </row>
    <row r="75" spans="1:48" ht="36">
      <c r="A75" s="36">
        <v>3064</v>
      </c>
      <c r="B75" s="581" t="s">
        <v>525</v>
      </c>
      <c r="C75" s="572" t="s">
        <v>525</v>
      </c>
      <c r="D75" s="573" t="s">
        <v>402</v>
      </c>
      <c r="E75" s="574" t="s">
        <v>527</v>
      </c>
      <c r="F75" s="575" t="s">
        <v>214</v>
      </c>
      <c r="G75" s="576" t="s">
        <v>402</v>
      </c>
      <c r="H75" s="577" t="s">
        <v>211</v>
      </c>
      <c r="I75" s="577" t="s">
        <v>212</v>
      </c>
      <c r="J75" s="574" t="s">
        <v>402</v>
      </c>
      <c r="K75" s="576" t="s">
        <v>395</v>
      </c>
      <c r="L75" s="571">
        <v>1.1094674556213017E-2</v>
      </c>
      <c r="M75" s="561">
        <v>1</v>
      </c>
      <c r="N75" s="563">
        <v>1.593471966319421</v>
      </c>
      <c r="O75" s="613" t="s">
        <v>1240</v>
      </c>
      <c r="P75" s="571">
        <v>1.1094674556213017E-2</v>
      </c>
      <c r="Q75" s="561">
        <v>1</v>
      </c>
      <c r="R75" s="563">
        <v>1.593471966319421</v>
      </c>
      <c r="S75" s="613" t="s">
        <v>1240</v>
      </c>
      <c r="T75" s="571">
        <v>1.1094674556213017E-2</v>
      </c>
      <c r="U75" s="561">
        <v>1</v>
      </c>
      <c r="V75" s="563">
        <v>1.593471966319421</v>
      </c>
      <c r="W75" s="613" t="s">
        <v>1240</v>
      </c>
      <c r="X75" s="571">
        <v>1.1094674556213017E-2</v>
      </c>
      <c r="Y75" s="561">
        <v>1</v>
      </c>
      <c r="Z75" s="563">
        <v>1.593471966319421</v>
      </c>
      <c r="AA75" s="613" t="s">
        <v>1240</v>
      </c>
      <c r="AB75" s="571">
        <v>1.1094674556213017E-2</v>
      </c>
      <c r="AC75" s="561">
        <v>1</v>
      </c>
      <c r="AD75" s="563">
        <v>1.593471966319421</v>
      </c>
      <c r="AE75" s="613" t="s">
        <v>1240</v>
      </c>
      <c r="AF75" s="571">
        <v>1.1094674556213017E-2</v>
      </c>
      <c r="AG75" s="561">
        <v>1</v>
      </c>
      <c r="AH75" s="563">
        <v>1.593471966319421</v>
      </c>
      <c r="AI75" s="613" t="s">
        <v>1240</v>
      </c>
      <c r="AJ75" s="571">
        <v>1.1094674556213017E-2</v>
      </c>
      <c r="AK75" s="561">
        <v>1</v>
      </c>
      <c r="AL75" s="563">
        <v>1.593471966319421</v>
      </c>
      <c r="AM75" s="613" t="s">
        <v>1240</v>
      </c>
      <c r="AN75" s="571">
        <v>1.1094674556213017E-2</v>
      </c>
      <c r="AO75" s="561">
        <v>1</v>
      </c>
      <c r="AP75" s="563">
        <v>1.593471966319421</v>
      </c>
      <c r="AQ75" s="562" t="s">
        <v>1240</v>
      </c>
      <c r="AR75" s="613"/>
      <c r="AS75" s="571">
        <v>1.1083184035200765E-2</v>
      </c>
      <c r="AT75" s="561">
        <v>1</v>
      </c>
      <c r="AU75" s="563">
        <v>1.593471966319421</v>
      </c>
      <c r="AV75" s="562" t="s">
        <v>1240</v>
      </c>
    </row>
    <row r="77" spans="1:48">
      <c r="A77" s="7" t="s">
        <v>1682</v>
      </c>
    </row>
    <row r="79" spans="1:48" s="689" customFormat="1" ht="36">
      <c r="A79" s="670">
        <v>2814</v>
      </c>
      <c r="B79" s="698"/>
      <c r="C79" s="699"/>
      <c r="D79" s="700" t="s">
        <v>526</v>
      </c>
      <c r="E79" s="701" t="s">
        <v>402</v>
      </c>
      <c r="F79" s="702" t="s">
        <v>1261</v>
      </c>
      <c r="G79" s="703" t="s">
        <v>521</v>
      </c>
      <c r="H79" s="704" t="s">
        <v>402</v>
      </c>
      <c r="I79" s="705" t="s">
        <v>402</v>
      </c>
      <c r="J79" s="706">
        <v>0</v>
      </c>
      <c r="K79" s="703" t="s">
        <v>395</v>
      </c>
      <c r="L79" s="707">
        <v>0</v>
      </c>
      <c r="M79" s="708">
        <v>1</v>
      </c>
      <c r="N79" s="709">
        <v>1.2644524816734823</v>
      </c>
      <c r="O79" s="710" t="s">
        <v>1240</v>
      </c>
      <c r="P79" s="707">
        <v>0</v>
      </c>
      <c r="Q79" s="708">
        <v>1</v>
      </c>
      <c r="R79" s="709">
        <v>1.2644524816734823</v>
      </c>
      <c r="S79" s="710" t="s">
        <v>1240</v>
      </c>
      <c r="T79" s="707">
        <v>0</v>
      </c>
      <c r="U79" s="708">
        <v>1</v>
      </c>
      <c r="V79" s="709">
        <v>1.2644524816734823</v>
      </c>
      <c r="W79" s="710" t="s">
        <v>1240</v>
      </c>
      <c r="X79" s="707">
        <v>0</v>
      </c>
      <c r="Y79" s="708">
        <v>1</v>
      </c>
      <c r="Z79" s="709">
        <v>1.2644524816734823</v>
      </c>
      <c r="AA79" s="710" t="s">
        <v>1240</v>
      </c>
      <c r="AB79" s="707">
        <v>0</v>
      </c>
      <c r="AC79" s="708">
        <v>1</v>
      </c>
      <c r="AD79" s="709">
        <v>1.2644524816734823</v>
      </c>
      <c r="AE79" s="710" t="s">
        <v>1240</v>
      </c>
      <c r="AF79" s="707">
        <v>0</v>
      </c>
      <c r="AG79" s="708">
        <v>1</v>
      </c>
      <c r="AH79" s="709">
        <v>1.2644524816734823</v>
      </c>
      <c r="AI79" s="710" t="s">
        <v>1240</v>
      </c>
      <c r="AJ79" s="707">
        <v>0</v>
      </c>
      <c r="AK79" s="708">
        <v>1</v>
      </c>
      <c r="AL79" s="709">
        <v>1.2644524816734823</v>
      </c>
      <c r="AM79" s="710" t="s">
        <v>1240</v>
      </c>
      <c r="AN79" s="707">
        <v>0</v>
      </c>
      <c r="AO79" s="708">
        <v>1</v>
      </c>
      <c r="AP79" s="709">
        <v>1.2644524816734823</v>
      </c>
      <c r="AQ79" s="711" t="s">
        <v>1240</v>
      </c>
      <c r="AR79" s="710"/>
      <c r="AS79" s="707">
        <v>0</v>
      </c>
      <c r="AT79" s="708">
        <v>1</v>
      </c>
      <c r="AU79" s="709">
        <v>1.2644524816734823</v>
      </c>
      <c r="AV79" s="711" t="s">
        <v>1240</v>
      </c>
    </row>
    <row r="80" spans="1:48" s="689" customFormat="1" ht="36">
      <c r="A80" s="670" t="s">
        <v>1126</v>
      </c>
      <c r="B80" s="698"/>
      <c r="C80" s="699"/>
      <c r="D80" s="700" t="s">
        <v>526</v>
      </c>
      <c r="E80" s="701" t="s">
        <v>402</v>
      </c>
      <c r="F80" s="702" t="e">
        <v>#N/A</v>
      </c>
      <c r="G80" s="703" t="e">
        <v>#N/A</v>
      </c>
      <c r="H80" s="704" t="s">
        <v>402</v>
      </c>
      <c r="I80" s="705" t="s">
        <v>402</v>
      </c>
      <c r="J80" s="706" t="e">
        <v>#N/A</v>
      </c>
      <c r="K80" s="703" t="e">
        <v>#N/A</v>
      </c>
      <c r="L80" s="707">
        <v>0</v>
      </c>
      <c r="M80" s="708">
        <v>1</v>
      </c>
      <c r="N80" s="709" t="e">
        <v>#N/A</v>
      </c>
      <c r="O80" s="710" t="s">
        <v>1240</v>
      </c>
      <c r="P80" s="707">
        <v>0</v>
      </c>
      <c r="Q80" s="708">
        <v>1</v>
      </c>
      <c r="R80" s="709" t="e">
        <v>#N/A</v>
      </c>
      <c r="S80" s="710" t="s">
        <v>1240</v>
      </c>
      <c r="T80" s="707">
        <v>0</v>
      </c>
      <c r="U80" s="708">
        <v>1</v>
      </c>
      <c r="V80" s="709" t="e">
        <v>#N/A</v>
      </c>
      <c r="W80" s="710" t="s">
        <v>1240</v>
      </c>
      <c r="X80" s="707">
        <v>0</v>
      </c>
      <c r="Y80" s="708">
        <v>1</v>
      </c>
      <c r="Z80" s="709" t="e">
        <v>#N/A</v>
      </c>
      <c r="AA80" s="710" t="s">
        <v>1240</v>
      </c>
      <c r="AB80" s="707">
        <v>0</v>
      </c>
      <c r="AC80" s="708">
        <v>1</v>
      </c>
      <c r="AD80" s="709" t="e">
        <v>#N/A</v>
      </c>
      <c r="AE80" s="710" t="s">
        <v>1240</v>
      </c>
      <c r="AF80" s="707">
        <v>0</v>
      </c>
      <c r="AG80" s="708">
        <v>1</v>
      </c>
      <c r="AH80" s="709" t="e">
        <v>#N/A</v>
      </c>
      <c r="AI80" s="710" t="s">
        <v>1240</v>
      </c>
      <c r="AJ80" s="707">
        <v>0</v>
      </c>
      <c r="AK80" s="708">
        <v>1</v>
      </c>
      <c r="AL80" s="709" t="e">
        <v>#N/A</v>
      </c>
      <c r="AM80" s="710" t="s">
        <v>1240</v>
      </c>
      <c r="AN80" s="707">
        <v>0</v>
      </c>
      <c r="AO80" s="708">
        <v>1</v>
      </c>
      <c r="AP80" s="709" t="e">
        <v>#N/A</v>
      </c>
      <c r="AQ80" s="711" t="s">
        <v>1240</v>
      </c>
      <c r="AR80" s="710"/>
      <c r="AS80" s="707">
        <v>0</v>
      </c>
      <c r="AT80" s="708">
        <v>1</v>
      </c>
      <c r="AU80" s="709" t="e">
        <v>#N/A</v>
      </c>
      <c r="AV80" s="711" t="s">
        <v>1240</v>
      </c>
    </row>
    <row r="81" spans="1:48" s="689" customFormat="1" ht="36">
      <c r="A81" s="670">
        <v>33207</v>
      </c>
      <c r="B81" s="698"/>
      <c r="C81" s="699"/>
      <c r="D81" s="700" t="s">
        <v>526</v>
      </c>
      <c r="E81" s="701" t="s">
        <v>402</v>
      </c>
      <c r="F81" s="702" t="s">
        <v>1262</v>
      </c>
      <c r="G81" s="703" t="s">
        <v>521</v>
      </c>
      <c r="H81" s="704" t="s">
        <v>402</v>
      </c>
      <c r="I81" s="705" t="s">
        <v>402</v>
      </c>
      <c r="J81" s="706">
        <v>0</v>
      </c>
      <c r="K81" s="703" t="s">
        <v>395</v>
      </c>
      <c r="L81" s="707">
        <v>0</v>
      </c>
      <c r="M81" s="708">
        <v>1</v>
      </c>
      <c r="N81" s="709">
        <v>1.2644524816734823</v>
      </c>
      <c r="O81" s="710" t="s">
        <v>1240</v>
      </c>
      <c r="P81" s="707">
        <v>0</v>
      </c>
      <c r="Q81" s="708">
        <v>1</v>
      </c>
      <c r="R81" s="709">
        <v>1.2644524816734823</v>
      </c>
      <c r="S81" s="710" t="s">
        <v>1240</v>
      </c>
      <c r="T81" s="707">
        <v>0</v>
      </c>
      <c r="U81" s="708">
        <v>1</v>
      </c>
      <c r="V81" s="709">
        <v>1.2644524816734823</v>
      </c>
      <c r="W81" s="710" t="s">
        <v>1240</v>
      </c>
      <c r="X81" s="707">
        <v>0</v>
      </c>
      <c r="Y81" s="708">
        <v>1</v>
      </c>
      <c r="Z81" s="709">
        <v>1.2644524816734823</v>
      </c>
      <c r="AA81" s="710" t="s">
        <v>1240</v>
      </c>
      <c r="AB81" s="707">
        <v>0</v>
      </c>
      <c r="AC81" s="708">
        <v>1</v>
      </c>
      <c r="AD81" s="709">
        <v>1.2644524816734823</v>
      </c>
      <c r="AE81" s="710" t="s">
        <v>1240</v>
      </c>
      <c r="AF81" s="707">
        <v>0</v>
      </c>
      <c r="AG81" s="708">
        <v>1</v>
      </c>
      <c r="AH81" s="709">
        <v>1.2644524816734823</v>
      </c>
      <c r="AI81" s="710" t="s">
        <v>1240</v>
      </c>
      <c r="AJ81" s="707">
        <v>0</v>
      </c>
      <c r="AK81" s="708">
        <v>1</v>
      </c>
      <c r="AL81" s="709">
        <v>1.2644524816734823</v>
      </c>
      <c r="AM81" s="710" t="s">
        <v>1240</v>
      </c>
      <c r="AN81" s="707">
        <v>0</v>
      </c>
      <c r="AO81" s="708">
        <v>1</v>
      </c>
      <c r="AP81" s="709">
        <v>1.2644524816734823</v>
      </c>
      <c r="AQ81" s="711" t="s">
        <v>1240</v>
      </c>
      <c r="AR81" s="710"/>
      <c r="AS81" s="707">
        <v>0</v>
      </c>
      <c r="AT81" s="708">
        <v>1</v>
      </c>
      <c r="AU81" s="709">
        <v>1.2644524816734823</v>
      </c>
      <c r="AV81" s="711" t="s">
        <v>1240</v>
      </c>
    </row>
  </sheetData>
  <phoneticPr fontId="0" type="noConversion"/>
  <dataValidations xWindow="643" yWindow="376" count="1">
    <dataValidation allowBlank="1" showInputMessage="1" showErrorMessage="1" prompt="always 1" sqref="P7:P16 L7:L16 X7:X16 T7:T16 AF7:AF16 AB7:AB16 AJ7:AJ16 AN7:AN16 AS7:AS16"/>
  </dataValidations>
  <pageMargins left="0.78740157480314965" right="0.78740157480314965" top="0.98425196850393704" bottom="0.98425196850393704" header="0.51181102362204722" footer="0.51181102362204722"/>
  <pageSetup paperSize="9" scale="40" orientation="portrait" r:id="rId1"/>
  <headerFooter alignWithMargins="0">
    <oddHeader>&amp;A</oddHeader>
    <oddFooter>&amp;L&amp;"Arial,Fett"&amp;F&amp;C&amp;D&amp;RSeite &amp;P</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68</vt:i4>
      </vt:variant>
      <vt:variant>
        <vt:lpstr>Named Ranges</vt:lpstr>
      </vt:variant>
      <vt:variant>
        <vt:i4>61</vt:i4>
      </vt:variant>
    </vt:vector>
  </HeadingPairs>
  <TitlesOfParts>
    <vt:vector size="129" baseType="lpstr">
      <vt:lpstr>intro</vt:lpstr>
      <vt:lpstr>Tables Sect. 5.1.1-5.1.8 --&gt;</vt:lpstr>
      <vt:lpstr>X-MG-Si</vt:lpstr>
      <vt:lpstr>X-MO-EG</vt:lpstr>
      <vt:lpstr>X-SoG-Siemens</vt:lpstr>
      <vt:lpstr>X-Si-Market</vt:lpstr>
      <vt:lpstr>X-CZ-Si</vt:lpstr>
      <vt:lpstr>X-mc-Si</vt:lpstr>
      <vt:lpstr>X-Wafer</vt:lpstr>
      <vt:lpstr>X-Wafer-Market</vt:lpstr>
      <vt:lpstr>X-cell</vt:lpstr>
      <vt:lpstr>X-Panel</vt:lpstr>
      <vt:lpstr>X-Panel-Market-RER</vt:lpstr>
      <vt:lpstr>X-Panel-Market-US</vt:lpstr>
      <vt:lpstr>old CdTe</vt:lpstr>
      <vt:lpstr>XXX-CdTe DE</vt:lpstr>
      <vt:lpstr>Fence</vt:lpstr>
      <vt:lpstr>XXX-Montage</vt:lpstr>
      <vt:lpstr>X-sc-plants-RER</vt:lpstr>
      <vt:lpstr>X-sc-plants-US</vt:lpstr>
      <vt:lpstr>X-sc-plants-APAC</vt:lpstr>
      <vt:lpstr>X-sc-plants-CN</vt:lpstr>
      <vt:lpstr>X-multi-plants-RER</vt:lpstr>
      <vt:lpstr>X-multi-plants-US</vt:lpstr>
      <vt:lpstr>X-multi-plants-APAC</vt:lpstr>
      <vt:lpstr>X-multi-plants-CN</vt:lpstr>
      <vt:lpstr>X-electricityCH_neu_old</vt:lpstr>
      <vt:lpstr>X-elecCH_scenario</vt:lpstr>
      <vt:lpstr>X-elecCH_old</vt:lpstr>
      <vt:lpstr>X-elec-CH</vt:lpstr>
      <vt:lpstr>X-elec-RER</vt:lpstr>
      <vt:lpstr>X-elec-US</vt:lpstr>
      <vt:lpstr>X-elec-APAC</vt:lpstr>
      <vt:lpstr>X-Process</vt:lpstr>
      <vt:lpstr>X-Source</vt:lpstr>
      <vt:lpstr>X-Person</vt:lpstr>
      <vt:lpstr>Tables Sect. 5.1.9 --&gt;</vt:lpstr>
      <vt:lpstr>intro (2)</vt:lpstr>
      <vt:lpstr>X-MG-Si (2)</vt:lpstr>
      <vt:lpstr>X-SoG-Si (2)</vt:lpstr>
      <vt:lpstr>X-Ingot (2)</vt:lpstr>
      <vt:lpstr>X-Cell (2)</vt:lpstr>
      <vt:lpstr>X-Panel (2)</vt:lpstr>
      <vt:lpstr>X-Plant (2)</vt:lpstr>
      <vt:lpstr>X-Elec (2)</vt:lpstr>
      <vt:lpstr>X-Process (2)</vt:lpstr>
      <vt:lpstr>X-Source (2)</vt:lpstr>
      <vt:lpstr>X-Person (2)</vt:lpstr>
      <vt:lpstr>Tables Sect. 5.2-5.3 --&gt;</vt:lpstr>
      <vt:lpstr>X-CIS</vt:lpstr>
      <vt:lpstr>X-a-Si</vt:lpstr>
      <vt:lpstr>X-a-plants</vt:lpstr>
      <vt:lpstr>X-CdTe</vt:lpstr>
      <vt:lpstr>X-CdTe-RER</vt:lpstr>
      <vt:lpstr>X-CdTe-Plant</vt:lpstr>
      <vt:lpstr>Tables Section 5.5 --&gt;</vt:lpstr>
      <vt:lpstr>X-Mounting</vt:lpstr>
      <vt:lpstr>Tables Section 5.9 --&gt;</vt:lpstr>
      <vt:lpstr>Table-JP</vt:lpstr>
      <vt:lpstr>Table-MY</vt:lpstr>
      <vt:lpstr>Table-KR</vt:lpstr>
      <vt:lpstr>Table-TW</vt:lpstr>
      <vt:lpstr>Table-CN</vt:lpstr>
      <vt:lpstr>Table-IN</vt:lpstr>
      <vt:lpstr>Table-ES</vt:lpstr>
      <vt:lpstr>Table-DE</vt:lpstr>
      <vt:lpstr>Table-MX</vt:lpstr>
      <vt:lpstr>Table-US</vt:lpstr>
      <vt:lpstr>'Table-MY'!_ENREF_25</vt:lpstr>
      <vt:lpstr>'X-multi-plants-APAC'!amount_inverter</vt:lpstr>
      <vt:lpstr>'X-multi-plants-CN'!amount_inverter</vt:lpstr>
      <vt:lpstr>'X-multi-plants-RER'!amount_inverter</vt:lpstr>
      <vt:lpstr>'X-multi-plants-US'!amount_inverter</vt:lpstr>
      <vt:lpstr>disposal_panel</vt:lpstr>
      <vt:lpstr>entry</vt:lpstr>
      <vt:lpstr>eric</vt:lpstr>
      <vt:lpstr>generator</vt:lpstr>
      <vt:lpstr>'X-elecCH_scenario'!lifetime</vt:lpstr>
      <vt:lpstr>lifetime</vt:lpstr>
      <vt:lpstr>mariska</vt:lpstr>
      <vt:lpstr>intro!names</vt:lpstr>
      <vt:lpstr>names</vt:lpstr>
      <vt:lpstr>Fence!Print_Area</vt:lpstr>
      <vt:lpstr>intro!Print_Area</vt:lpstr>
      <vt:lpstr>'old CdTe'!Print_Area</vt:lpstr>
      <vt:lpstr>'X-a-plants'!Print_Area</vt:lpstr>
      <vt:lpstr>'X-a-Si'!Print_Area</vt:lpstr>
      <vt:lpstr>'X-CdTe-Plant'!Print_Area</vt:lpstr>
      <vt:lpstr>'X-CdTe-RER'!Print_Area</vt:lpstr>
      <vt:lpstr>'X-cell'!Print_Area</vt:lpstr>
      <vt:lpstr>'X-CIS'!Print_Area</vt:lpstr>
      <vt:lpstr>'X-CZ-Si'!Print_Area</vt:lpstr>
      <vt:lpstr>'X-elec-APAC'!Print_Area</vt:lpstr>
      <vt:lpstr>'X-elec-CH'!Print_Area</vt:lpstr>
      <vt:lpstr>'X-elecCH_old'!Print_Area</vt:lpstr>
      <vt:lpstr>'X-elecCH_scenario'!Print_Area</vt:lpstr>
      <vt:lpstr>'X-elec-RER'!Print_Area</vt:lpstr>
      <vt:lpstr>'X-electricityCH_neu_old'!Print_Area</vt:lpstr>
      <vt:lpstr>'X-elec-US'!Print_Area</vt:lpstr>
      <vt:lpstr>'X-mc-Si'!Print_Area</vt:lpstr>
      <vt:lpstr>'X-MG-Si'!Print_Area</vt:lpstr>
      <vt:lpstr>'X-MO-EG'!Print_Area</vt:lpstr>
      <vt:lpstr>'X-multi-plants-APAC'!Print_Area</vt:lpstr>
      <vt:lpstr>'X-multi-plants-CN'!Print_Area</vt:lpstr>
      <vt:lpstr>'X-multi-plants-RER'!Print_Area</vt:lpstr>
      <vt:lpstr>'X-multi-plants-US'!Print_Area</vt:lpstr>
      <vt:lpstr>'X-Panel'!Print_Area</vt:lpstr>
      <vt:lpstr>'X-Panel-Market-RER'!Print_Area</vt:lpstr>
      <vt:lpstr>'X-Panel-Market-US'!Print_Area</vt:lpstr>
      <vt:lpstr>'X-sc-plants-APAC'!Print_Area</vt:lpstr>
      <vt:lpstr>'X-sc-plants-CN'!Print_Area</vt:lpstr>
      <vt:lpstr>'X-sc-plants-RER'!Print_Area</vt:lpstr>
      <vt:lpstr>'X-sc-plants-US'!Print_Area</vt:lpstr>
      <vt:lpstr>'X-Si-Market'!Print_Area</vt:lpstr>
      <vt:lpstr>'X-SoG-Siemens'!Print_Area</vt:lpstr>
      <vt:lpstr>'X-Wafer'!Print_Area</vt:lpstr>
      <vt:lpstr>'X-Wafer-Market'!Print_Area</vt:lpstr>
      <vt:lpstr>'XXX-CdTe DE'!Print_Area</vt:lpstr>
      <vt:lpstr>'XXX-Montage'!Print_Area</vt:lpstr>
      <vt:lpstr>'X-CdTe'!Print_Titles</vt:lpstr>
      <vt:lpstr>'X-elec-APAC'!Print_Titles</vt:lpstr>
      <vt:lpstr>'X-elec-RER'!Print_Titles</vt:lpstr>
      <vt:lpstr>'X-elec-US'!Print_Titles</vt:lpstr>
      <vt:lpstr>Print_Titles</vt:lpstr>
      <vt:lpstr>review</vt:lpstr>
      <vt:lpstr>review2009</vt:lpstr>
      <vt:lpstr>source</vt:lpstr>
      <vt:lpstr>SourceNumber</vt:lpstr>
      <vt:lpstr>Validator</vt:lpstr>
    </vt:vector>
  </TitlesOfParts>
  <Company>ESU-services</Company>
  <LinksUpToDate>false</LinksUpToDate>
  <SharedDoc>false</SharedDoc>
  <HyperlinkBase>www.esu-services.ch</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Inventardaten für das Ökobilanz-Update von Photovoltaikanlagen</dc:title>
  <dc:creator>Niels Jungbluth/Rolf Frischknecht</dc:creator>
  <cp:lastModifiedBy>Parikhit Sinha</cp:lastModifiedBy>
  <cp:lastPrinted>2013-09-18T09:57:46Z</cp:lastPrinted>
  <dcterms:created xsi:type="dcterms:W3CDTF">2000-03-31T13:47:06Z</dcterms:created>
  <dcterms:modified xsi:type="dcterms:W3CDTF">2014-10-31T19:21:16Z</dcterms:modified>
</cp:coreProperties>
</file>